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2026-1-0152门头沟共有产回购\"/>
    </mc:Choice>
  </mc:AlternateContent>
  <xr:revisionPtr revIDLastSave="0" documentId="13_ncr:1_{97DE2846-692E-402C-9C54-E3C8293BB3E9}" xr6:coauthVersionLast="47" xr6:coauthVersionMax="47" xr10:uidLastSave="{00000000-0000-0000-0000-000000000000}"/>
  <bookViews>
    <workbookView xWindow="-120" yWindow="-120" windowWidth="38640" windowHeight="21240" tabRatio="899" firstSheet="17" activeTab="4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测算结果" sheetId="80" r:id="rId26"/>
    <sheet name="比较法-诺德彩园2020.12.27"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比较法-诺德彩园2026.4.10" sheetId="85" r:id="rId46"/>
    <sheet name="诺德彩园案例" sheetId="83" r:id="rId47"/>
    <sheet name="比较法-西山印2023.11.29" sheetId="84" r:id="rId48"/>
    <sheet name="比较法-西山印2026.4.10" sheetId="86" r:id="rId49"/>
    <sheet name="西山印案例" sheetId="82" r:id="rId50"/>
    <sheet name="存贷款利率" sheetId="73" r:id="rId51"/>
    <sheet name="统计局数据" sheetId="81" r:id="rId52"/>
  </sheets>
  <externalReferences>
    <externalReference r:id="rId53"/>
    <externalReference r:id="rId54"/>
    <externalReference r:id="rId55"/>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'比较法-诺德彩园2020.12.27'!$A$1:$L$49</definedName>
    <definedName name="_xlnm._FilterDatabase" localSheetId="45" hidden="1">'比较法-诺德彩园2026.4.10'!$A$1:$L$49</definedName>
    <definedName name="_xlnm._FilterDatabase" localSheetId="27" hidden="1">'比较法-商业'!$A$1:$L$49</definedName>
    <definedName name="_xlnm._FilterDatabase" localSheetId="47" hidden="1">'比较法-西山印2023.11.29'!$A$1:$L$49</definedName>
    <definedName name="_xlnm._FilterDatabase" localSheetId="48" hidden="1">'比较法-西山印2026.4.10'!$A$1:$L$49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'比较法-诺德彩园2020.12.27'!$A$1:$K$54,'比较法-诺德彩园2020.12.27'!$A$57:$M$131</definedName>
    <definedName name="_xlnm.Print_Area" localSheetId="45">'比较法-诺德彩园2026.4.10'!$A$1:$K$54,'比较法-诺德彩园2026.4.10'!$A$57:$M$131</definedName>
    <definedName name="_xlnm.Print_Area" localSheetId="27">'比较法-商业'!$A$1:$K$54,'比较法-商业'!$A$57:$M$131</definedName>
    <definedName name="_xlnm.Print_Area" localSheetId="47">'比较法-西山印2023.11.29'!$A$1:$K$54,'比较法-西山印2023.11.29'!$A$57:$M$131</definedName>
    <definedName name="_xlnm.Print_Area" localSheetId="48">'比较法-西山印2026.4.10'!$A$1:$K$54,'比较法-西山印2026.4.10'!$A$57:$M$131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房屋产权性质">[1]楼层测算!$N$2:$N$9</definedName>
    <definedName name="房屋朝向">[1]楼层测算!$A$117:$A$126</definedName>
    <definedName name="房屋装修">[1]楼层测算!$K$2:$K$5</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配备电梯">[1]楼层测算!$M$2:$M$3</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所在楼层">[1]楼层测算!$L$2:$L$6</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 localSheetId="45">'比较法-诺德彩园2026.4.10'!$B$88:$M$88</definedName>
    <definedName name="住宅朝向" localSheetId="47">'比较法-西山印2023.11.29'!$B$88:$M$88</definedName>
    <definedName name="住宅朝向" localSheetId="48">'比较法-西山印2026.4.10'!$B$88:$M$88</definedName>
    <definedName name="住宅朝向">'比较法-诺德彩园2020.12.27'!$B$88:$M$88</definedName>
    <definedName name="住宅房型" localSheetId="45">'比较法-诺德彩园2026.4.10'!$B$118:$M$118</definedName>
    <definedName name="住宅房型" localSheetId="47">'比较法-西山印2023.11.29'!$B$118:$M$118</definedName>
    <definedName name="住宅房型" localSheetId="48">'比较法-西山印2026.4.10'!$B$118:$M$118</definedName>
    <definedName name="住宅房型">'比较法-诺德彩园2020.12.27'!$B$118:$M$118</definedName>
    <definedName name="住宅公共部分装修" localSheetId="45">'比较法-诺德彩园2026.4.10'!$B$109:$M$109</definedName>
    <definedName name="住宅公共部分装修" localSheetId="47">'比较法-西山印2023.11.29'!$B$109:$M$109</definedName>
    <definedName name="住宅公共部分装修" localSheetId="48">'比较法-西山印2026.4.10'!$B$109:$M$109</definedName>
    <definedName name="住宅公共部分装修">'比较法-诺德彩园2020.12.27'!$B$109:$M$109</definedName>
    <definedName name="住宅基础设施水平" localSheetId="45">'比较法-诺德彩园2026.4.10'!$B$116:$M$116</definedName>
    <definedName name="住宅基础设施水平" localSheetId="47">'比较法-西山印2023.11.29'!$B$116:$M$116</definedName>
    <definedName name="住宅基础设施水平" localSheetId="48">'比较法-西山印2026.4.10'!$B$116:$M$116</definedName>
    <definedName name="住宅基础设施水平">'比较法-诺德彩园2020.12.27'!$B$116:$M$116</definedName>
    <definedName name="住宅建筑结构" localSheetId="45">'比较法-诺德彩园2026.4.10'!$B$105:$M$105</definedName>
    <definedName name="住宅建筑结构" localSheetId="47">'比较法-西山印2023.11.29'!$B$105:$M$105</definedName>
    <definedName name="住宅建筑结构" localSheetId="48">'比较法-西山印2026.4.10'!$B$105:$M$105</definedName>
    <definedName name="住宅建筑结构">'比较法-诺德彩园2020.12.27'!$B$105:$M$105</definedName>
    <definedName name="住宅建筑类型" localSheetId="45">'比较法-诺德彩园2026.4.10'!$B$100:$M$100</definedName>
    <definedName name="住宅建筑类型" localSheetId="47">'比较法-西山印2023.11.29'!$B$100:$M$100</definedName>
    <definedName name="住宅建筑类型" localSheetId="48">'比较法-西山印2026.4.10'!$B$100:$M$100</definedName>
    <definedName name="住宅建筑类型">'比较法-诺德彩园2020.12.27'!$B$100:$M$100</definedName>
    <definedName name="住宅建筑品质" localSheetId="45">'比较法-诺德彩园2026.4.10'!$B$107:$M$107</definedName>
    <definedName name="住宅建筑品质" localSheetId="47">'比较法-西山印2023.11.29'!$B$107:$M$107</definedName>
    <definedName name="住宅建筑品质" localSheetId="48">'比较法-西山印2026.4.10'!$B$107:$M$107</definedName>
    <definedName name="住宅建筑品质">'比较法-诺德彩园2020.12.27'!$B$107:$M$107</definedName>
    <definedName name="住宅交易情况" localSheetId="45">'比较法-诺德彩园2026.4.10'!$A$61:$M$61</definedName>
    <definedName name="住宅交易情况" localSheetId="47">'比较法-西山印2023.11.29'!$A$61:$M$61</definedName>
    <definedName name="住宅交易情况" localSheetId="48">'比较法-西山印2026.4.10'!$A$61:$M$61</definedName>
    <definedName name="住宅交易情况">'比较法-诺德彩园2020.12.27'!$A$61:$M$61</definedName>
    <definedName name="住宅楼层" localSheetId="45">'比较法-诺德彩园2026.4.10'!$B$86:$M$86</definedName>
    <definedName name="住宅楼层" localSheetId="47">'比较法-西山印2023.11.29'!$B$86:$M$86</definedName>
    <definedName name="住宅楼层" localSheetId="48">'比较法-西山印2026.4.10'!$B$86:$M$86</definedName>
    <definedName name="住宅楼层">'比较法-诺德彩园2020.12.27'!$B$86:$M$86</definedName>
    <definedName name="住宅内部装修" localSheetId="45">'比较法-诺德彩园2026.4.10'!$B$122:$M$122</definedName>
    <definedName name="住宅内部装修" localSheetId="47">'比较法-西山印2023.11.29'!$B$122:$M$122</definedName>
    <definedName name="住宅内部装修" localSheetId="48">'比较法-西山印2026.4.10'!$B$122:$M$122</definedName>
    <definedName name="住宅内部装修">'比较法-诺德彩园2020.12.27'!$B$122:$M$122</definedName>
    <definedName name="住宅物业管理" localSheetId="45">'比较法-诺德彩园2026.4.10'!$B$114:$M$114</definedName>
    <definedName name="住宅物业管理" localSheetId="47">'比较法-西山印2023.11.29'!$B$114:$M$114</definedName>
    <definedName name="住宅物业管理" localSheetId="48">'比较法-西山印2026.4.10'!$B$114:$M$114</definedName>
    <definedName name="住宅物业管理">'比较法-诺德彩园2020.12.27'!$B$114:$M$114</definedName>
    <definedName name="住宅用途" localSheetId="45">'比较法-诺德彩园2026.4.10'!$B$63:$M$63</definedName>
    <definedName name="住宅用途" localSheetId="47">'比较法-西山印2023.11.29'!$B$63:$M$63</definedName>
    <definedName name="住宅用途" localSheetId="48">'比较法-西山印2026.4.10'!$B$63:$M$63</definedName>
    <definedName name="住宅用途">'比较法-诺德彩园2020.12.27'!$B$63:$M$63</definedName>
    <definedName name="住宅主力户型面积" localSheetId="45">'比较法-诺德彩园2026.4.10'!$B$120:$M$120</definedName>
    <definedName name="住宅主力户型面积" localSheetId="47">'比较法-西山印2023.11.29'!$B$120:$M$120</definedName>
    <definedName name="住宅主力户型面积" localSheetId="48">'比较法-西山印2026.4.10'!$B$120:$M$120</definedName>
    <definedName name="住宅主力户型面积">'比较法-诺德彩园2020.12.27'!$B$120:$M$120</definedName>
    <definedName name="注册房地产估价师">估价师及机构信息!$A$3:$A$16</definedName>
  </definedNames>
  <calcPr calcId="181029"/>
</workbook>
</file>

<file path=xl/calcChain.xml><?xml version="1.0" encoding="utf-8"?>
<calcChain xmlns="http://schemas.openxmlformats.org/spreadsheetml/2006/main">
  <c r="C19" i="80" l="1"/>
  <c r="K19" i="86"/>
  <c r="K15" i="86"/>
  <c r="I33" i="84" l="1"/>
  <c r="E33" i="84"/>
  <c r="F33" i="84" s="1"/>
  <c r="AA33" i="84" s="1"/>
  <c r="I7" i="84"/>
  <c r="E7" i="84"/>
  <c r="I47" i="84"/>
  <c r="E47" i="84"/>
  <c r="R47" i="84" s="1"/>
  <c r="F19" i="80"/>
  <c r="D113" i="86"/>
  <c r="E113" i="86" s="1"/>
  <c r="I47" i="86"/>
  <c r="G54" i="86" s="1"/>
  <c r="H54" i="86" s="1"/>
  <c r="G47" i="86"/>
  <c r="E47" i="86"/>
  <c r="M40" i="86"/>
  <c r="M39" i="86"/>
  <c r="M38" i="86"/>
  <c r="I33" i="86"/>
  <c r="J33" i="86" s="1"/>
  <c r="AC33" i="86" s="1"/>
  <c r="G33" i="86"/>
  <c r="E33" i="86"/>
  <c r="F33" i="86" s="1"/>
  <c r="I7" i="86"/>
  <c r="G7" i="86"/>
  <c r="E7" i="86"/>
  <c r="C145" i="86"/>
  <c r="K143" i="86"/>
  <c r="J142" i="86"/>
  <c r="J140" i="86"/>
  <c r="K144" i="86" s="1"/>
  <c r="K139" i="86"/>
  <c r="B130" i="86"/>
  <c r="B128" i="86"/>
  <c r="B126" i="86"/>
  <c r="E125" i="86"/>
  <c r="F125" i="86" s="1"/>
  <c r="G125" i="86" s="1"/>
  <c r="D125" i="86"/>
  <c r="D123" i="86"/>
  <c r="H42" i="86" s="1"/>
  <c r="AB42" i="86" s="1"/>
  <c r="E119" i="86"/>
  <c r="F119" i="86" s="1"/>
  <c r="G119" i="86" s="1"/>
  <c r="H119" i="86" s="1"/>
  <c r="I119" i="86" s="1"/>
  <c r="J119" i="86" s="1"/>
  <c r="K119" i="86" s="1"/>
  <c r="L119" i="86" s="1"/>
  <c r="M119" i="86" s="1"/>
  <c r="D119" i="86"/>
  <c r="G117" i="86"/>
  <c r="E117" i="86"/>
  <c r="F117" i="86" s="1"/>
  <c r="D117" i="86"/>
  <c r="I115" i="86"/>
  <c r="J115" i="86" s="1"/>
  <c r="K115" i="86" s="1"/>
  <c r="L115" i="86" s="1"/>
  <c r="M115" i="86" s="1"/>
  <c r="E115" i="86"/>
  <c r="F115" i="86" s="1"/>
  <c r="G115" i="86" s="1"/>
  <c r="H115" i="86" s="1"/>
  <c r="D115" i="86"/>
  <c r="H111" i="86"/>
  <c r="G111" i="86"/>
  <c r="F111" i="86"/>
  <c r="E111" i="86"/>
  <c r="D111" i="86"/>
  <c r="C111" i="86"/>
  <c r="F110" i="86"/>
  <c r="G110" i="86" s="1"/>
  <c r="H110" i="86" s="1"/>
  <c r="I110" i="86" s="1"/>
  <c r="J110" i="86" s="1"/>
  <c r="K110" i="86" s="1"/>
  <c r="L110" i="86" s="1"/>
  <c r="M110" i="86" s="1"/>
  <c r="D110" i="86"/>
  <c r="E110" i="86" s="1"/>
  <c r="D108" i="86"/>
  <c r="E108" i="86" s="1"/>
  <c r="F108" i="86" s="1"/>
  <c r="G108" i="86" s="1"/>
  <c r="H108" i="86" s="1"/>
  <c r="I108" i="86" s="1"/>
  <c r="J108" i="86" s="1"/>
  <c r="K108" i="86" s="1"/>
  <c r="L108" i="86" s="1"/>
  <c r="M108" i="86" s="1"/>
  <c r="F106" i="86"/>
  <c r="G106" i="86" s="1"/>
  <c r="H106" i="86" s="1"/>
  <c r="I106" i="86" s="1"/>
  <c r="J106" i="86" s="1"/>
  <c r="K106" i="86" s="1"/>
  <c r="L106" i="86" s="1"/>
  <c r="M106" i="86" s="1"/>
  <c r="D106" i="86"/>
  <c r="E106" i="86" s="1"/>
  <c r="M102" i="86"/>
  <c r="L102" i="86"/>
  <c r="K102" i="86"/>
  <c r="J102" i="86"/>
  <c r="I102" i="86"/>
  <c r="H102" i="86"/>
  <c r="G102" i="86"/>
  <c r="F102" i="86"/>
  <c r="E102" i="86"/>
  <c r="D102" i="86"/>
  <c r="C102" i="86"/>
  <c r="G101" i="86"/>
  <c r="H101" i="86" s="1"/>
  <c r="I101" i="86" s="1"/>
  <c r="J101" i="86" s="1"/>
  <c r="K101" i="86" s="1"/>
  <c r="L101" i="86" s="1"/>
  <c r="M101" i="86" s="1"/>
  <c r="E101" i="86"/>
  <c r="F101" i="86" s="1"/>
  <c r="D101" i="86"/>
  <c r="B98" i="86"/>
  <c r="J31" i="86" s="1"/>
  <c r="B96" i="86"/>
  <c r="B94" i="86"/>
  <c r="B92" i="86"/>
  <c r="B90" i="86"/>
  <c r="J27" i="86" s="1"/>
  <c r="D89" i="86"/>
  <c r="E89" i="86" s="1"/>
  <c r="F89" i="86" s="1"/>
  <c r="G89" i="86" s="1"/>
  <c r="H89" i="86" s="1"/>
  <c r="I89" i="86" s="1"/>
  <c r="J89" i="86" s="1"/>
  <c r="K89" i="86" s="1"/>
  <c r="L89" i="86" s="1"/>
  <c r="M89" i="86" s="1"/>
  <c r="M87" i="86"/>
  <c r="L87" i="86"/>
  <c r="K87" i="86"/>
  <c r="J87" i="86"/>
  <c r="I87" i="86"/>
  <c r="H87" i="86"/>
  <c r="G87" i="86"/>
  <c r="F87" i="86"/>
  <c r="E87" i="86"/>
  <c r="D87" i="86"/>
  <c r="D85" i="86"/>
  <c r="E85" i="86" s="1"/>
  <c r="F85" i="86" s="1"/>
  <c r="G85" i="86" s="1"/>
  <c r="D83" i="86"/>
  <c r="E83" i="86" s="1"/>
  <c r="F83" i="86" s="1"/>
  <c r="G83" i="86" s="1"/>
  <c r="D81" i="86"/>
  <c r="E81" i="86" s="1"/>
  <c r="F81" i="86" s="1"/>
  <c r="G81" i="86" s="1"/>
  <c r="D79" i="86"/>
  <c r="E79" i="86" s="1"/>
  <c r="F79" i="86" s="1"/>
  <c r="G79" i="86" s="1"/>
  <c r="D77" i="86"/>
  <c r="E77" i="86" s="1"/>
  <c r="F77" i="86" s="1"/>
  <c r="G77" i="86" s="1"/>
  <c r="B74" i="86"/>
  <c r="B72" i="86"/>
  <c r="B70" i="86"/>
  <c r="I69" i="86"/>
  <c r="J69" i="86" s="1"/>
  <c r="K69" i="86" s="1"/>
  <c r="L69" i="86" s="1"/>
  <c r="M69" i="86" s="1"/>
  <c r="E69" i="86"/>
  <c r="F69" i="86" s="1"/>
  <c r="G69" i="86" s="1"/>
  <c r="H69" i="86" s="1"/>
  <c r="D69" i="86"/>
  <c r="M67" i="86"/>
  <c r="L67" i="86"/>
  <c r="K67" i="86"/>
  <c r="J67" i="86"/>
  <c r="I67" i="86"/>
  <c r="H67" i="86"/>
  <c r="G67" i="86"/>
  <c r="F67" i="86"/>
  <c r="E67" i="86"/>
  <c r="D67" i="86"/>
  <c r="C67" i="86"/>
  <c r="C63" i="86"/>
  <c r="C58" i="86"/>
  <c r="D58" i="86" s="1"/>
  <c r="E58" i="86" s="1"/>
  <c r="E54" i="86"/>
  <c r="F54" i="86" s="1"/>
  <c r="P49" i="86"/>
  <c r="P48" i="86"/>
  <c r="K48" i="86"/>
  <c r="P47" i="86"/>
  <c r="V47" i="86"/>
  <c r="R47" i="86"/>
  <c r="W46" i="86"/>
  <c r="Q46" i="86"/>
  <c r="Z46" i="86" s="1"/>
  <c r="J46" i="86"/>
  <c r="AC46" i="86" s="1"/>
  <c r="H46" i="86"/>
  <c r="AB46" i="86" s="1"/>
  <c r="F46" i="86"/>
  <c r="AA46" i="86" s="1"/>
  <c r="U45" i="86"/>
  <c r="Q45" i="86"/>
  <c r="Z45" i="86" s="1"/>
  <c r="J45" i="86"/>
  <c r="AC45" i="86" s="1"/>
  <c r="H45" i="86"/>
  <c r="AB45" i="86" s="1"/>
  <c r="F45" i="86"/>
  <c r="AA45" i="86" s="1"/>
  <c r="Q44" i="86"/>
  <c r="Z44" i="86" s="1"/>
  <c r="J44" i="86"/>
  <c r="AC44" i="86" s="1"/>
  <c r="H44" i="86"/>
  <c r="AB44" i="86" s="1"/>
  <c r="F44" i="86"/>
  <c r="AA44" i="86" s="1"/>
  <c r="Q43" i="86"/>
  <c r="Z43" i="86" s="1"/>
  <c r="J43" i="86"/>
  <c r="AC43" i="86" s="1"/>
  <c r="H43" i="86"/>
  <c r="AB43" i="86" s="1"/>
  <c r="F43" i="86"/>
  <c r="AA43" i="86" s="1"/>
  <c r="Q42" i="86"/>
  <c r="Z42" i="86" s="1"/>
  <c r="Q41" i="86"/>
  <c r="Z41" i="86" s="1"/>
  <c r="J41" i="86"/>
  <c r="AC41" i="86" s="1"/>
  <c r="H41" i="86"/>
  <c r="U41" i="86" s="1"/>
  <c r="F41" i="86"/>
  <c r="AA41" i="86" s="1"/>
  <c r="AC40" i="86"/>
  <c r="AA40" i="86"/>
  <c r="W40" i="86"/>
  <c r="S40" i="86"/>
  <c r="Q40" i="86"/>
  <c r="Z40" i="86" s="1"/>
  <c r="J40" i="86"/>
  <c r="H40" i="86"/>
  <c r="F40" i="86"/>
  <c r="AC39" i="86"/>
  <c r="AA39" i="86"/>
  <c r="W39" i="86"/>
  <c r="S39" i="86"/>
  <c r="Q39" i="86"/>
  <c r="Z39" i="86" s="1"/>
  <c r="J39" i="86"/>
  <c r="H39" i="86"/>
  <c r="F39" i="86"/>
  <c r="AA38" i="86"/>
  <c r="S38" i="86"/>
  <c r="Q38" i="86"/>
  <c r="Z38" i="86" s="1"/>
  <c r="J38" i="86"/>
  <c r="AC38" i="86" s="1"/>
  <c r="H38" i="86"/>
  <c r="F38" i="86"/>
  <c r="Q37" i="86"/>
  <c r="Z37" i="86" s="1"/>
  <c r="Q36" i="86"/>
  <c r="Z36" i="86" s="1"/>
  <c r="J36" i="86"/>
  <c r="AC36" i="86" s="1"/>
  <c r="H36" i="86"/>
  <c r="AB36" i="86" s="1"/>
  <c r="F36" i="86"/>
  <c r="AA36" i="86" s="1"/>
  <c r="AC35" i="86"/>
  <c r="W35" i="86"/>
  <c r="Q35" i="86"/>
  <c r="Z35" i="86" s="1"/>
  <c r="J35" i="86"/>
  <c r="H35" i="86"/>
  <c r="AB35" i="86" s="1"/>
  <c r="F35" i="86"/>
  <c r="AA35" i="86" s="1"/>
  <c r="Q34" i="86"/>
  <c r="Z34" i="86" s="1"/>
  <c r="J34" i="86"/>
  <c r="AC34" i="86" s="1"/>
  <c r="H34" i="86"/>
  <c r="AB34" i="86" s="1"/>
  <c r="F34" i="86"/>
  <c r="AA34" i="86" s="1"/>
  <c r="Q33" i="86"/>
  <c r="Z33" i="86" s="1"/>
  <c r="H33" i="86"/>
  <c r="Q32" i="86"/>
  <c r="Z32" i="86" s="1"/>
  <c r="J32" i="86"/>
  <c r="AC32" i="86" s="1"/>
  <c r="H32" i="86"/>
  <c r="AB32" i="86" s="1"/>
  <c r="F32" i="86"/>
  <c r="AA32" i="86" s="1"/>
  <c r="AA31" i="86"/>
  <c r="S31" i="86"/>
  <c r="Q31" i="86"/>
  <c r="Z31" i="86" s="1"/>
  <c r="H31" i="86"/>
  <c r="U31" i="86" s="1"/>
  <c r="F31" i="86"/>
  <c r="Q30" i="86"/>
  <c r="Z30" i="86" s="1"/>
  <c r="J30" i="86"/>
  <c r="AC30" i="86" s="1"/>
  <c r="H30" i="86"/>
  <c r="AB30" i="86" s="1"/>
  <c r="F30" i="86"/>
  <c r="AA30" i="86" s="1"/>
  <c r="Q29" i="86"/>
  <c r="Z29" i="86" s="1"/>
  <c r="J29" i="86"/>
  <c r="AC29" i="86" s="1"/>
  <c r="H29" i="86"/>
  <c r="AB29" i="86" s="1"/>
  <c r="F29" i="86"/>
  <c r="AA29" i="86" s="1"/>
  <c r="AC28" i="86"/>
  <c r="W28" i="86"/>
  <c r="Q28" i="86"/>
  <c r="Z28" i="86" s="1"/>
  <c r="J28" i="86"/>
  <c r="H28" i="86"/>
  <c r="AB28" i="86" s="1"/>
  <c r="F28" i="86"/>
  <c r="AA28" i="86" s="1"/>
  <c r="AB27" i="86"/>
  <c r="Q27" i="86"/>
  <c r="Z27" i="86" s="1"/>
  <c r="H27" i="86"/>
  <c r="U27" i="86" s="1"/>
  <c r="F27" i="86"/>
  <c r="AA27" i="86" s="1"/>
  <c r="Q26" i="86"/>
  <c r="Z26" i="86" s="1"/>
  <c r="J26" i="86"/>
  <c r="AC26" i="86" s="1"/>
  <c r="F26" i="86"/>
  <c r="S26" i="86" s="1"/>
  <c r="Z25" i="86"/>
  <c r="W25" i="86"/>
  <c r="Q25" i="86"/>
  <c r="J25" i="86"/>
  <c r="AC25" i="86" s="1"/>
  <c r="H25" i="86"/>
  <c r="U25" i="86" s="1"/>
  <c r="F25" i="86"/>
  <c r="AA25" i="86" s="1"/>
  <c r="AB23" i="86"/>
  <c r="Q23" i="86"/>
  <c r="Z23" i="86" s="1"/>
  <c r="J23" i="86"/>
  <c r="W23" i="86" s="1"/>
  <c r="H23" i="86"/>
  <c r="U23" i="86" s="1"/>
  <c r="F23" i="86"/>
  <c r="AA23" i="86" s="1"/>
  <c r="C23" i="86"/>
  <c r="AA21" i="86"/>
  <c r="Q21" i="86"/>
  <c r="Z21" i="86" s="1"/>
  <c r="J21" i="86"/>
  <c r="W21" i="86" s="1"/>
  <c r="H21" i="86"/>
  <c r="U21" i="86" s="1"/>
  <c r="F21" i="86"/>
  <c r="S21" i="86" s="1"/>
  <c r="C21" i="86"/>
  <c r="Q19" i="86"/>
  <c r="Z19" i="86" s="1"/>
  <c r="J19" i="86"/>
  <c r="AC19" i="86" s="1"/>
  <c r="H19" i="86"/>
  <c r="U19" i="86" s="1"/>
  <c r="F19" i="86"/>
  <c r="S19" i="86" s="1"/>
  <c r="C19" i="86"/>
  <c r="AC17" i="86"/>
  <c r="Q17" i="86"/>
  <c r="Z17" i="86" s="1"/>
  <c r="J17" i="86"/>
  <c r="W17" i="86" s="1"/>
  <c r="H17" i="86"/>
  <c r="AB17" i="86" s="1"/>
  <c r="F17" i="86"/>
  <c r="S17" i="86" s="1"/>
  <c r="C17" i="86"/>
  <c r="Q15" i="86"/>
  <c r="Z15" i="86" s="1"/>
  <c r="J15" i="86"/>
  <c r="W15" i="86" s="1"/>
  <c r="H15" i="86"/>
  <c r="U15" i="86" s="1"/>
  <c r="F15" i="86"/>
  <c r="AA15" i="86" s="1"/>
  <c r="C15" i="86"/>
  <c r="AC14" i="86"/>
  <c r="AA14" i="86"/>
  <c r="Q14" i="86"/>
  <c r="Z14" i="86" s="1"/>
  <c r="J14" i="86"/>
  <c r="W14" i="86" s="1"/>
  <c r="H14" i="86"/>
  <c r="U14" i="86" s="1"/>
  <c r="F14" i="86"/>
  <c r="S14" i="86" s="1"/>
  <c r="Q13" i="86"/>
  <c r="Z13" i="86" s="1"/>
  <c r="J13" i="86"/>
  <c r="AC13" i="86" s="1"/>
  <c r="H13" i="86"/>
  <c r="AB13" i="86" s="1"/>
  <c r="F13" i="86"/>
  <c r="AA13" i="86" s="1"/>
  <c r="Q12" i="86"/>
  <c r="Z12" i="86" s="1"/>
  <c r="J12" i="86"/>
  <c r="AC12" i="86" s="1"/>
  <c r="H12" i="86"/>
  <c r="AB12" i="86" s="1"/>
  <c r="F12" i="86"/>
  <c r="AA12" i="86" s="1"/>
  <c r="Q11" i="86"/>
  <c r="Z11" i="86" s="1"/>
  <c r="J11" i="86"/>
  <c r="AC11" i="86" s="1"/>
  <c r="H11" i="86"/>
  <c r="AB11" i="86" s="1"/>
  <c r="F11" i="86"/>
  <c r="S11" i="86" s="1"/>
  <c r="Q10" i="86"/>
  <c r="Z10" i="86" s="1"/>
  <c r="J10" i="86"/>
  <c r="AC10" i="86" s="1"/>
  <c r="H10" i="86"/>
  <c r="AB10" i="86" s="1"/>
  <c r="F10" i="86"/>
  <c r="AA10" i="86" s="1"/>
  <c r="Q9" i="86"/>
  <c r="Z9" i="86" s="1"/>
  <c r="J9" i="86"/>
  <c r="AC9" i="86" s="1"/>
  <c r="H9" i="86"/>
  <c r="AB9" i="86" s="1"/>
  <c r="F9" i="86"/>
  <c r="AA9" i="86" s="1"/>
  <c r="AA8" i="86"/>
  <c r="W8" i="86"/>
  <c r="S8" i="86"/>
  <c r="J8" i="86"/>
  <c r="AC8" i="86" s="1"/>
  <c r="H8" i="86"/>
  <c r="U8" i="86" s="1"/>
  <c r="F8" i="86"/>
  <c r="I5" i="86"/>
  <c r="G5" i="86"/>
  <c r="E5" i="86"/>
  <c r="D3" i="86"/>
  <c r="B2" i="86"/>
  <c r="B3" i="86" s="1"/>
  <c r="M40" i="84"/>
  <c r="M39" i="84"/>
  <c r="M38" i="84"/>
  <c r="M35" i="21"/>
  <c r="J33" i="84"/>
  <c r="AC33" i="84" s="1"/>
  <c r="G33" i="84"/>
  <c r="H33" i="84" s="1"/>
  <c r="AB33" i="84" s="1"/>
  <c r="G47" i="84"/>
  <c r="G54" i="84" s="1"/>
  <c r="H54" i="84" s="1"/>
  <c r="G7" i="84"/>
  <c r="I5" i="84"/>
  <c r="G5" i="84"/>
  <c r="E5" i="84"/>
  <c r="I47" i="85"/>
  <c r="G54" i="85" s="1"/>
  <c r="H54" i="85" s="1"/>
  <c r="G47" i="85"/>
  <c r="E47" i="85"/>
  <c r="E54" i="85" s="1"/>
  <c r="F54" i="85" s="1"/>
  <c r="I33" i="85"/>
  <c r="G33" i="85"/>
  <c r="H33" i="85" s="1"/>
  <c r="E33" i="85"/>
  <c r="I7" i="85"/>
  <c r="G7" i="85"/>
  <c r="E7" i="85"/>
  <c r="C145" i="85"/>
  <c r="J142" i="85"/>
  <c r="J140" i="85"/>
  <c r="K145" i="85" s="1"/>
  <c r="K139" i="85"/>
  <c r="K141" i="85" s="1"/>
  <c r="B130" i="85"/>
  <c r="B128" i="85"/>
  <c r="B126" i="85"/>
  <c r="G125" i="85"/>
  <c r="E125" i="85"/>
  <c r="F125" i="85" s="1"/>
  <c r="D125" i="85"/>
  <c r="M123" i="85"/>
  <c r="I123" i="85"/>
  <c r="J123" i="85" s="1"/>
  <c r="K123" i="85" s="1"/>
  <c r="L123" i="85" s="1"/>
  <c r="E123" i="85"/>
  <c r="F123" i="85" s="1"/>
  <c r="G123" i="85" s="1"/>
  <c r="H123" i="85" s="1"/>
  <c r="D123" i="85"/>
  <c r="K119" i="85"/>
  <c r="L119" i="85" s="1"/>
  <c r="M119" i="85" s="1"/>
  <c r="G119" i="85"/>
  <c r="H119" i="85" s="1"/>
  <c r="I119" i="85" s="1"/>
  <c r="J119" i="85" s="1"/>
  <c r="E119" i="85"/>
  <c r="F119" i="85" s="1"/>
  <c r="D119" i="85"/>
  <c r="G117" i="85"/>
  <c r="E117" i="85"/>
  <c r="F117" i="85" s="1"/>
  <c r="D117" i="85"/>
  <c r="I115" i="85"/>
  <c r="J115" i="85" s="1"/>
  <c r="K115" i="85" s="1"/>
  <c r="L115" i="85" s="1"/>
  <c r="M115" i="85" s="1"/>
  <c r="E115" i="85"/>
  <c r="F115" i="85" s="1"/>
  <c r="G115" i="85" s="1"/>
  <c r="H115" i="85" s="1"/>
  <c r="D115" i="85"/>
  <c r="D113" i="85"/>
  <c r="E113" i="85" s="1"/>
  <c r="H111" i="85"/>
  <c r="G111" i="85"/>
  <c r="F111" i="85"/>
  <c r="E111" i="85"/>
  <c r="D111" i="85"/>
  <c r="C111" i="85"/>
  <c r="F110" i="85"/>
  <c r="G110" i="85" s="1"/>
  <c r="H110" i="85" s="1"/>
  <c r="I110" i="85" s="1"/>
  <c r="J110" i="85" s="1"/>
  <c r="K110" i="85" s="1"/>
  <c r="L110" i="85" s="1"/>
  <c r="M110" i="85" s="1"/>
  <c r="D110" i="85"/>
  <c r="E110" i="85" s="1"/>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M102" i="85"/>
  <c r="L102" i="85"/>
  <c r="K102" i="85"/>
  <c r="J102" i="85"/>
  <c r="I102" i="85"/>
  <c r="H102" i="85"/>
  <c r="G102" i="85"/>
  <c r="F102" i="85"/>
  <c r="E102" i="85"/>
  <c r="D102" i="85"/>
  <c r="C102" i="85"/>
  <c r="G101" i="85"/>
  <c r="H101" i="85" s="1"/>
  <c r="I101" i="85" s="1"/>
  <c r="J101" i="85" s="1"/>
  <c r="K101" i="85" s="1"/>
  <c r="L101" i="85" s="1"/>
  <c r="M101" i="85" s="1"/>
  <c r="E101" i="85"/>
  <c r="F101" i="85" s="1"/>
  <c r="D101" i="85"/>
  <c r="B98" i="85"/>
  <c r="B96" i="85"/>
  <c r="B94" i="85"/>
  <c r="B92" i="85"/>
  <c r="B90" i="85"/>
  <c r="D89" i="85"/>
  <c r="E89" i="85" s="1"/>
  <c r="F89" i="85" s="1"/>
  <c r="G89" i="85" s="1"/>
  <c r="H89" i="85" s="1"/>
  <c r="I89" i="85" s="1"/>
  <c r="J89" i="85" s="1"/>
  <c r="K89" i="85" s="1"/>
  <c r="L89" i="85" s="1"/>
  <c r="M89" i="85" s="1"/>
  <c r="M87" i="85"/>
  <c r="L87" i="85"/>
  <c r="K87" i="85"/>
  <c r="J87" i="85"/>
  <c r="I87" i="85"/>
  <c r="H87" i="85"/>
  <c r="G87" i="85"/>
  <c r="F87" i="85"/>
  <c r="E87" i="85"/>
  <c r="D87" i="85"/>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B72" i="85"/>
  <c r="B70" i="85"/>
  <c r="E69" i="85"/>
  <c r="F69" i="85" s="1"/>
  <c r="G69" i="85" s="1"/>
  <c r="H69" i="85" s="1"/>
  <c r="I69" i="85" s="1"/>
  <c r="J69" i="85" s="1"/>
  <c r="K69" i="85" s="1"/>
  <c r="L69" i="85" s="1"/>
  <c r="M69" i="85" s="1"/>
  <c r="D69" i="85"/>
  <c r="M67" i="85"/>
  <c r="L67" i="85"/>
  <c r="K67" i="85"/>
  <c r="J67" i="85"/>
  <c r="I67" i="85"/>
  <c r="H67" i="85"/>
  <c r="G67" i="85"/>
  <c r="F67" i="85"/>
  <c r="E67" i="85"/>
  <c r="D67" i="85"/>
  <c r="C67" i="85"/>
  <c r="C63" i="85"/>
  <c r="C58" i="85"/>
  <c r="D58" i="85" s="1"/>
  <c r="I54" i="85"/>
  <c r="J54" i="85" s="1"/>
  <c r="P49" i="85"/>
  <c r="P48" i="85"/>
  <c r="K48" i="85"/>
  <c r="P47" i="85"/>
  <c r="V47" i="85"/>
  <c r="R47" i="85"/>
  <c r="AC46" i="85"/>
  <c r="W46" i="85"/>
  <c r="Q46" i="85"/>
  <c r="Z46" i="85" s="1"/>
  <c r="J46" i="85"/>
  <c r="H46" i="85"/>
  <c r="AB46" i="85" s="1"/>
  <c r="F46" i="85"/>
  <c r="AA46" i="85" s="1"/>
  <c r="Q45" i="85"/>
  <c r="Z45" i="85" s="1"/>
  <c r="J45" i="85"/>
  <c r="AC45" i="85" s="1"/>
  <c r="H45" i="85"/>
  <c r="AB45" i="85" s="1"/>
  <c r="F45" i="85"/>
  <c r="AA45" i="85" s="1"/>
  <c r="AC44" i="85"/>
  <c r="AA44" i="85"/>
  <c r="W44" i="85"/>
  <c r="S44" i="85"/>
  <c r="Q44" i="85"/>
  <c r="Z44" i="85" s="1"/>
  <c r="M44" i="85"/>
  <c r="J44" i="85"/>
  <c r="H44" i="85"/>
  <c r="F44" i="85"/>
  <c r="AA43" i="85"/>
  <c r="S43" i="85"/>
  <c r="Q43" i="85"/>
  <c r="Z43" i="85" s="1"/>
  <c r="M43" i="85"/>
  <c r="J43" i="85"/>
  <c r="AC43" i="85" s="1"/>
  <c r="H43" i="85"/>
  <c r="F43" i="85"/>
  <c r="S42" i="85"/>
  <c r="Q42" i="85"/>
  <c r="Z42" i="85" s="1"/>
  <c r="J42" i="85"/>
  <c r="H42" i="85"/>
  <c r="E42" i="85"/>
  <c r="F42" i="85" s="1"/>
  <c r="AA42" i="85" s="1"/>
  <c r="Q41" i="85"/>
  <c r="Z41" i="85" s="1"/>
  <c r="J41" i="85"/>
  <c r="AC41" i="85" s="1"/>
  <c r="H41" i="85"/>
  <c r="AB41" i="85" s="1"/>
  <c r="F41" i="85"/>
  <c r="AA41" i="85" s="1"/>
  <c r="Q40" i="85"/>
  <c r="Z40" i="85" s="1"/>
  <c r="J40" i="85"/>
  <c r="AC40" i="85" s="1"/>
  <c r="H40" i="85"/>
  <c r="U40" i="85" s="1"/>
  <c r="F40" i="85"/>
  <c r="AA40" i="85" s="1"/>
  <c r="Q39" i="85"/>
  <c r="Z39" i="85" s="1"/>
  <c r="J39" i="85"/>
  <c r="AC39" i="85" s="1"/>
  <c r="H39" i="85"/>
  <c r="AB39" i="85" s="1"/>
  <c r="F39" i="85"/>
  <c r="AA39" i="85" s="1"/>
  <c r="Z38" i="85"/>
  <c r="Q38" i="85"/>
  <c r="J38" i="85"/>
  <c r="AC38" i="85" s="1"/>
  <c r="H38" i="85"/>
  <c r="AB38" i="85" s="1"/>
  <c r="F38" i="85"/>
  <c r="AA38" i="85" s="1"/>
  <c r="Q37" i="85"/>
  <c r="Z37" i="85" s="1"/>
  <c r="Q36" i="85"/>
  <c r="Z36" i="85" s="1"/>
  <c r="J36" i="85"/>
  <c r="AC36" i="85" s="1"/>
  <c r="H36" i="85"/>
  <c r="AB36" i="85" s="1"/>
  <c r="F36" i="85"/>
  <c r="AA36" i="85" s="1"/>
  <c r="Q35" i="85"/>
  <c r="Z35" i="85" s="1"/>
  <c r="J35" i="85"/>
  <c r="AC35" i="85" s="1"/>
  <c r="H35" i="85"/>
  <c r="AB35" i="85" s="1"/>
  <c r="F35" i="85"/>
  <c r="S35" i="85" s="1"/>
  <c r="Z34" i="85"/>
  <c r="Q34" i="85"/>
  <c r="J34" i="85"/>
  <c r="AC34" i="85" s="1"/>
  <c r="H34" i="85"/>
  <c r="AB34" i="85" s="1"/>
  <c r="F34" i="85"/>
  <c r="AA34" i="85" s="1"/>
  <c r="Q33" i="85"/>
  <c r="Z33" i="85" s="1"/>
  <c r="J33" i="85"/>
  <c r="AC33" i="85" s="1"/>
  <c r="F33" i="85"/>
  <c r="Q32" i="85"/>
  <c r="Z32" i="85" s="1"/>
  <c r="J32" i="85"/>
  <c r="AC32" i="85" s="1"/>
  <c r="H32" i="85"/>
  <c r="AB32" i="85" s="1"/>
  <c r="F32" i="85"/>
  <c r="AA32" i="85" s="1"/>
  <c r="Q31" i="85"/>
  <c r="Z31" i="85" s="1"/>
  <c r="F31" i="85"/>
  <c r="AA31" i="85" s="1"/>
  <c r="W30" i="85"/>
  <c r="Q30" i="85"/>
  <c r="Z30" i="85" s="1"/>
  <c r="J30" i="85"/>
  <c r="AC30" i="85" s="1"/>
  <c r="H30" i="85"/>
  <c r="AB30" i="85" s="1"/>
  <c r="F30" i="85"/>
  <c r="AA30" i="85" s="1"/>
  <c r="AC29" i="85"/>
  <c r="AB29" i="85"/>
  <c r="U29" i="85"/>
  <c r="Q29" i="85"/>
  <c r="Z29" i="85" s="1"/>
  <c r="J29" i="85"/>
  <c r="W29" i="85" s="1"/>
  <c r="H29" i="85"/>
  <c r="F29" i="85"/>
  <c r="AA29" i="85" s="1"/>
  <c r="AB28" i="85"/>
  <c r="Q28" i="85"/>
  <c r="Z28" i="85" s="1"/>
  <c r="J28" i="85"/>
  <c r="AC28" i="85" s="1"/>
  <c r="H28" i="85"/>
  <c r="U28" i="85" s="1"/>
  <c r="F28" i="85"/>
  <c r="AA28" i="85" s="1"/>
  <c r="Q27" i="85"/>
  <c r="Z27" i="85" s="1"/>
  <c r="F27" i="85"/>
  <c r="AA27" i="85" s="1"/>
  <c r="Q26" i="85"/>
  <c r="Z26" i="85" s="1"/>
  <c r="J26" i="85"/>
  <c r="AC26" i="85" s="1"/>
  <c r="H26" i="85"/>
  <c r="AB26" i="85" s="1"/>
  <c r="F26" i="85"/>
  <c r="AA26" i="85" s="1"/>
  <c r="AC25" i="85"/>
  <c r="AB25" i="85"/>
  <c r="U25" i="85"/>
  <c r="Q25" i="85"/>
  <c r="Z25" i="85" s="1"/>
  <c r="J25" i="85"/>
  <c r="W25" i="85" s="1"/>
  <c r="H25" i="85"/>
  <c r="F25" i="85"/>
  <c r="AA25" i="85" s="1"/>
  <c r="AB23" i="85"/>
  <c r="Q23" i="85"/>
  <c r="Z23" i="85" s="1"/>
  <c r="J23" i="85"/>
  <c r="AC23" i="85" s="1"/>
  <c r="H23" i="85"/>
  <c r="U23" i="85" s="1"/>
  <c r="F23" i="85"/>
  <c r="AA23" i="85" s="1"/>
  <c r="C23" i="85"/>
  <c r="AA21" i="85"/>
  <c r="Q21" i="85"/>
  <c r="Z21" i="85" s="1"/>
  <c r="J21" i="85"/>
  <c r="AC21" i="85" s="1"/>
  <c r="H21" i="85"/>
  <c r="U21" i="85" s="1"/>
  <c r="F21" i="85"/>
  <c r="S21" i="85" s="1"/>
  <c r="C21" i="85"/>
  <c r="AC19" i="85"/>
  <c r="Q19" i="85"/>
  <c r="Z19" i="85" s="1"/>
  <c r="J19" i="85"/>
  <c r="W19" i="85" s="1"/>
  <c r="H19" i="85"/>
  <c r="AB19" i="85" s="1"/>
  <c r="F19" i="85"/>
  <c r="S19" i="85" s="1"/>
  <c r="C19" i="85"/>
  <c r="Q17" i="85"/>
  <c r="Z17" i="85" s="1"/>
  <c r="F17" i="85"/>
  <c r="AA17" i="85" s="1"/>
  <c r="C17" i="85"/>
  <c r="Q15" i="85"/>
  <c r="Z15" i="85" s="1"/>
  <c r="J15" i="85"/>
  <c r="AC15" i="85" s="1"/>
  <c r="H15" i="85"/>
  <c r="AB15" i="85" s="1"/>
  <c r="F15" i="85"/>
  <c r="AA15" i="85" s="1"/>
  <c r="C15" i="85"/>
  <c r="AA14" i="85"/>
  <c r="Q14" i="85"/>
  <c r="Z14" i="85" s="1"/>
  <c r="J14" i="85"/>
  <c r="AC14" i="85" s="1"/>
  <c r="H14" i="85"/>
  <c r="AB14" i="85" s="1"/>
  <c r="F14" i="85"/>
  <c r="S14" i="85" s="1"/>
  <c r="Q13" i="85"/>
  <c r="Z13" i="85" s="1"/>
  <c r="J13" i="85"/>
  <c r="AC13" i="85" s="1"/>
  <c r="H13" i="85"/>
  <c r="AB13" i="85" s="1"/>
  <c r="F13" i="85"/>
  <c r="AA13" i="85" s="1"/>
  <c r="Q12" i="85"/>
  <c r="Z12" i="85" s="1"/>
  <c r="J12" i="85"/>
  <c r="AC12" i="85" s="1"/>
  <c r="H12" i="85"/>
  <c r="AB12" i="85" s="1"/>
  <c r="F12" i="85"/>
  <c r="AA12" i="85" s="1"/>
  <c r="Q11" i="85"/>
  <c r="Z11" i="85" s="1"/>
  <c r="J11" i="85"/>
  <c r="AC11" i="85" s="1"/>
  <c r="H11" i="85"/>
  <c r="U11" i="85" s="1"/>
  <c r="F11" i="85"/>
  <c r="AA11" i="85" s="1"/>
  <c r="Q10" i="85"/>
  <c r="Z10" i="85" s="1"/>
  <c r="J10" i="85"/>
  <c r="AC10" i="85" s="1"/>
  <c r="H10" i="85"/>
  <c r="U10" i="85" s="1"/>
  <c r="F10" i="85"/>
  <c r="AA10" i="85" s="1"/>
  <c r="Q9" i="85"/>
  <c r="Z9" i="85" s="1"/>
  <c r="J9" i="85"/>
  <c r="AC9" i="85" s="1"/>
  <c r="H9" i="85"/>
  <c r="AB9" i="85" s="1"/>
  <c r="F9" i="85"/>
  <c r="AA9" i="85" s="1"/>
  <c r="AC8" i="85"/>
  <c r="W8" i="85"/>
  <c r="U8" i="85"/>
  <c r="J8" i="85"/>
  <c r="H8" i="85"/>
  <c r="AB8" i="85" s="1"/>
  <c r="F8" i="85"/>
  <c r="S8" i="85" s="1"/>
  <c r="I5" i="85"/>
  <c r="G5" i="85"/>
  <c r="E5" i="85"/>
  <c r="D3" i="85"/>
  <c r="B2" i="85"/>
  <c r="I5" i="21"/>
  <c r="G5" i="21"/>
  <c r="E5" i="21"/>
  <c r="I42" i="21"/>
  <c r="G42" i="21"/>
  <c r="E42" i="21"/>
  <c r="M44" i="21"/>
  <c r="M43" i="21"/>
  <c r="I33" i="21"/>
  <c r="G33" i="21"/>
  <c r="E33" i="21"/>
  <c r="I47" i="21"/>
  <c r="G47" i="21"/>
  <c r="E47" i="21"/>
  <c r="I7" i="21"/>
  <c r="G7" i="21"/>
  <c r="E7" i="21"/>
  <c r="C145" i="84"/>
  <c r="J142" i="84"/>
  <c r="J140" i="84"/>
  <c r="K145" i="84" s="1"/>
  <c r="K139" i="84"/>
  <c r="B130" i="84"/>
  <c r="B128" i="84"/>
  <c r="B126" i="84"/>
  <c r="D125" i="84"/>
  <c r="E125" i="84" s="1"/>
  <c r="F125" i="84" s="1"/>
  <c r="G125" i="84" s="1"/>
  <c r="D123" i="84"/>
  <c r="E123" i="84" s="1"/>
  <c r="D119" i="84"/>
  <c r="E119" i="84" s="1"/>
  <c r="F119" i="84" s="1"/>
  <c r="G119" i="84" s="1"/>
  <c r="H119" i="84" s="1"/>
  <c r="I119" i="84" s="1"/>
  <c r="J119" i="84" s="1"/>
  <c r="K119" i="84" s="1"/>
  <c r="L119" i="84" s="1"/>
  <c r="M119" i="84" s="1"/>
  <c r="D117" i="84"/>
  <c r="E117" i="84" s="1"/>
  <c r="F117" i="84" s="1"/>
  <c r="G117" i="84" s="1"/>
  <c r="F115" i="84"/>
  <c r="G115" i="84" s="1"/>
  <c r="H115" i="84" s="1"/>
  <c r="I115" i="84" s="1"/>
  <c r="J115" i="84" s="1"/>
  <c r="K115" i="84" s="1"/>
  <c r="L115" i="84" s="1"/>
  <c r="M115" i="84" s="1"/>
  <c r="E115" i="84"/>
  <c r="D115" i="84"/>
  <c r="D113" i="84"/>
  <c r="E113" i="84" s="1"/>
  <c r="F113" i="84" s="1"/>
  <c r="G113" i="84" s="1"/>
  <c r="H113" i="84" s="1"/>
  <c r="H111" i="84"/>
  <c r="G111" i="84"/>
  <c r="F111" i="84"/>
  <c r="E111" i="84"/>
  <c r="D111" i="84"/>
  <c r="C111" i="84"/>
  <c r="G110" i="84"/>
  <c r="H110" i="84" s="1"/>
  <c r="I110" i="84" s="1"/>
  <c r="J110" i="84" s="1"/>
  <c r="K110" i="84" s="1"/>
  <c r="L110" i="84" s="1"/>
  <c r="M110" i="84" s="1"/>
  <c r="F110" i="84"/>
  <c r="E110" i="84"/>
  <c r="D110" i="84"/>
  <c r="E108" i="84"/>
  <c r="F108" i="84" s="1"/>
  <c r="G108" i="84" s="1"/>
  <c r="H108" i="84" s="1"/>
  <c r="I108" i="84" s="1"/>
  <c r="J108" i="84" s="1"/>
  <c r="K108" i="84" s="1"/>
  <c r="L108" i="84" s="1"/>
  <c r="M108" i="84" s="1"/>
  <c r="D108" i="84"/>
  <c r="D106" i="84"/>
  <c r="E106" i="84" s="1"/>
  <c r="F106" i="84" s="1"/>
  <c r="G106" i="84" s="1"/>
  <c r="H106" i="84" s="1"/>
  <c r="I106" i="84" s="1"/>
  <c r="J106" i="84" s="1"/>
  <c r="K106" i="84" s="1"/>
  <c r="L106" i="84" s="1"/>
  <c r="M106" i="84" s="1"/>
  <c r="M102" i="84"/>
  <c r="L102" i="84"/>
  <c r="K102" i="84"/>
  <c r="J102" i="84"/>
  <c r="I102" i="84"/>
  <c r="H102" i="84"/>
  <c r="G102" i="84"/>
  <c r="F102" i="84"/>
  <c r="E102" i="84"/>
  <c r="D102" i="84"/>
  <c r="C102" i="84"/>
  <c r="D101" i="84"/>
  <c r="E101" i="84" s="1"/>
  <c r="F101" i="84" s="1"/>
  <c r="G101" i="84" s="1"/>
  <c r="H101" i="84" s="1"/>
  <c r="I101" i="84" s="1"/>
  <c r="J101" i="84" s="1"/>
  <c r="K101" i="84" s="1"/>
  <c r="L101" i="84" s="1"/>
  <c r="M101" i="84" s="1"/>
  <c r="B98" i="84"/>
  <c r="B96" i="84"/>
  <c r="B94" i="84"/>
  <c r="B92" i="84"/>
  <c r="B90" i="84"/>
  <c r="D89" i="84"/>
  <c r="E89" i="84" s="1"/>
  <c r="F89" i="84" s="1"/>
  <c r="G89" i="84" s="1"/>
  <c r="H89" i="84" s="1"/>
  <c r="I89" i="84" s="1"/>
  <c r="J89" i="84" s="1"/>
  <c r="K89" i="84" s="1"/>
  <c r="L89" i="84" s="1"/>
  <c r="M89" i="84" s="1"/>
  <c r="M87" i="84"/>
  <c r="L87" i="84"/>
  <c r="K87" i="84"/>
  <c r="J87" i="84"/>
  <c r="I87" i="84"/>
  <c r="H87" i="84"/>
  <c r="G87" i="84"/>
  <c r="F87" i="84"/>
  <c r="E87" i="84"/>
  <c r="D87" i="84"/>
  <c r="E85" i="84"/>
  <c r="F85" i="84" s="1"/>
  <c r="G85" i="84" s="1"/>
  <c r="D85" i="84"/>
  <c r="E83" i="84"/>
  <c r="F83" i="84" s="1"/>
  <c r="G83" i="84" s="1"/>
  <c r="D83" i="84"/>
  <c r="D81" i="84"/>
  <c r="E81" i="84" s="1"/>
  <c r="D79" i="84"/>
  <c r="E79" i="84" s="1"/>
  <c r="D77" i="84"/>
  <c r="E77" i="84" s="1"/>
  <c r="B74" i="84"/>
  <c r="B72" i="84"/>
  <c r="B70" i="84"/>
  <c r="F69" i="84"/>
  <c r="G69" i="84" s="1"/>
  <c r="H69" i="84" s="1"/>
  <c r="I69" i="84" s="1"/>
  <c r="J69" i="84" s="1"/>
  <c r="K69" i="84" s="1"/>
  <c r="L69" i="84" s="1"/>
  <c r="M69" i="84" s="1"/>
  <c r="E69" i="84"/>
  <c r="D69" i="84"/>
  <c r="M67" i="84"/>
  <c r="L67" i="84"/>
  <c r="K67" i="84"/>
  <c r="J67" i="84"/>
  <c r="I67" i="84"/>
  <c r="H67" i="84"/>
  <c r="G67" i="84"/>
  <c r="F67" i="84"/>
  <c r="E67" i="84"/>
  <c r="D67" i="84"/>
  <c r="C67" i="84"/>
  <c r="C63" i="84"/>
  <c r="E54" i="84"/>
  <c r="F54" i="84" s="1"/>
  <c r="P49" i="84"/>
  <c r="P48" i="84"/>
  <c r="K48" i="84"/>
  <c r="V47" i="84"/>
  <c r="T47" i="84"/>
  <c r="P47" i="84"/>
  <c r="Q46" i="84"/>
  <c r="Z46" i="84" s="1"/>
  <c r="J46" i="84"/>
  <c r="AC46" i="84" s="1"/>
  <c r="H46" i="84"/>
  <c r="AB46" i="84" s="1"/>
  <c r="F46" i="84"/>
  <c r="AA46" i="84" s="1"/>
  <c r="Q45" i="84"/>
  <c r="Z45" i="84" s="1"/>
  <c r="J45" i="84"/>
  <c r="AC45" i="84" s="1"/>
  <c r="H45" i="84"/>
  <c r="AB45" i="84" s="1"/>
  <c r="F45" i="84"/>
  <c r="AA45" i="84" s="1"/>
  <c r="Q44" i="84"/>
  <c r="Z44" i="84" s="1"/>
  <c r="J44" i="84"/>
  <c r="AC44" i="84" s="1"/>
  <c r="H44" i="84"/>
  <c r="AB44" i="84" s="1"/>
  <c r="F44" i="84"/>
  <c r="AA44" i="84" s="1"/>
  <c r="Q43" i="84"/>
  <c r="Z43" i="84" s="1"/>
  <c r="J43" i="84"/>
  <c r="AC43" i="84" s="1"/>
  <c r="H43" i="84"/>
  <c r="AB43" i="84" s="1"/>
  <c r="F43" i="84"/>
  <c r="AA43" i="84" s="1"/>
  <c r="Q42" i="84"/>
  <c r="Z42" i="84" s="1"/>
  <c r="J42" i="84"/>
  <c r="AC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J38" i="84"/>
  <c r="AC38" i="84" s="1"/>
  <c r="H38" i="84"/>
  <c r="AB38" i="84" s="1"/>
  <c r="F38" i="84"/>
  <c r="AA38" i="84" s="1"/>
  <c r="Q37" i="84"/>
  <c r="Z37" i="84" s="1"/>
  <c r="J37" i="84"/>
  <c r="AC37" i="84" s="1"/>
  <c r="Q36" i="84"/>
  <c r="Z36" i="84" s="1"/>
  <c r="J36" i="84"/>
  <c r="AC36" i="84" s="1"/>
  <c r="H36" i="84"/>
  <c r="AB36" i="84" s="1"/>
  <c r="F36" i="84"/>
  <c r="AA36" i="84" s="1"/>
  <c r="Q35" i="84"/>
  <c r="Z35" i="84" s="1"/>
  <c r="J35" i="84"/>
  <c r="AC35" i="84" s="1"/>
  <c r="H35" i="84"/>
  <c r="AB35" i="84" s="1"/>
  <c r="F35" i="84"/>
  <c r="AA35" i="84" s="1"/>
  <c r="Q34" i="84"/>
  <c r="Z34" i="84" s="1"/>
  <c r="J34" i="84"/>
  <c r="AC34" i="84" s="1"/>
  <c r="H34" i="84"/>
  <c r="AB34" i="84" s="1"/>
  <c r="F34" i="84"/>
  <c r="AA34" i="84" s="1"/>
  <c r="Q33" i="84"/>
  <c r="Z33" i="84" s="1"/>
  <c r="Q32" i="84"/>
  <c r="Z32" i="84" s="1"/>
  <c r="J32" i="84"/>
  <c r="AC32" i="84" s="1"/>
  <c r="H32" i="84"/>
  <c r="AB32" i="84" s="1"/>
  <c r="F32" i="84"/>
  <c r="AA32" i="84" s="1"/>
  <c r="Q31" i="84"/>
  <c r="Z31" i="84" s="1"/>
  <c r="J31" i="84"/>
  <c r="AC31" i="84" s="1"/>
  <c r="H31" i="84"/>
  <c r="AB31" i="84" s="1"/>
  <c r="F31" i="84"/>
  <c r="AA31" i="84" s="1"/>
  <c r="Q30" i="84"/>
  <c r="Z30" i="84" s="1"/>
  <c r="J30" i="84"/>
  <c r="AC30" i="84" s="1"/>
  <c r="H30" i="84"/>
  <c r="AB30" i="84" s="1"/>
  <c r="F30" i="84"/>
  <c r="AA30" i="84" s="1"/>
  <c r="Q29" i="84"/>
  <c r="Z29" i="84" s="1"/>
  <c r="J29" i="84"/>
  <c r="AC29" i="84" s="1"/>
  <c r="H29" i="84"/>
  <c r="AB29" i="84" s="1"/>
  <c r="F29" i="84"/>
  <c r="AA29" i="84" s="1"/>
  <c r="Q28" i="84"/>
  <c r="Z28" i="84" s="1"/>
  <c r="J28" i="84"/>
  <c r="AC28" i="84" s="1"/>
  <c r="H28" i="84"/>
  <c r="AB28" i="84" s="1"/>
  <c r="F28" i="84"/>
  <c r="AA28" i="84" s="1"/>
  <c r="Q27" i="84"/>
  <c r="Z27" i="84" s="1"/>
  <c r="J27" i="84"/>
  <c r="AC27" i="84" s="1"/>
  <c r="H27" i="84"/>
  <c r="AB27" i="84" s="1"/>
  <c r="F27" i="84"/>
  <c r="AA27" i="84" s="1"/>
  <c r="Q26" i="84"/>
  <c r="Z26" i="84" s="1"/>
  <c r="H26" i="84"/>
  <c r="AB26" i="84" s="1"/>
  <c r="F26" i="84"/>
  <c r="AA26" i="84" s="1"/>
  <c r="Q25" i="84"/>
  <c r="Z25" i="84" s="1"/>
  <c r="J25" i="84"/>
  <c r="AC25" i="84" s="1"/>
  <c r="H25" i="84"/>
  <c r="AB25" i="84" s="1"/>
  <c r="F25" i="84"/>
  <c r="AA25" i="84" s="1"/>
  <c r="Q23" i="84"/>
  <c r="Z23" i="84" s="1"/>
  <c r="J23" i="84"/>
  <c r="AC23" i="84" s="1"/>
  <c r="H23" i="84"/>
  <c r="AB23" i="84" s="1"/>
  <c r="F23" i="84"/>
  <c r="AA23" i="84" s="1"/>
  <c r="C23" i="84"/>
  <c r="Q21" i="84"/>
  <c r="Z21" i="84" s="1"/>
  <c r="J21" i="84"/>
  <c r="AC21" i="84" s="1"/>
  <c r="H21" i="84"/>
  <c r="AB21" i="84" s="1"/>
  <c r="F21" i="84"/>
  <c r="AA21" i="84" s="1"/>
  <c r="C21" i="84"/>
  <c r="Q19" i="84"/>
  <c r="Z19" i="84" s="1"/>
  <c r="C19" i="84"/>
  <c r="Q17" i="84"/>
  <c r="Z17" i="84" s="1"/>
  <c r="C17" i="84"/>
  <c r="Q15" i="84"/>
  <c r="Z15" i="84" s="1"/>
  <c r="C15" i="84"/>
  <c r="AA14" i="84"/>
  <c r="Q14" i="84"/>
  <c r="Z14" i="84" s="1"/>
  <c r="J14" i="84"/>
  <c r="AC14" i="84" s="1"/>
  <c r="H14" i="84"/>
  <c r="AB14" i="84" s="1"/>
  <c r="F14" i="84"/>
  <c r="S14" i="84" s="1"/>
  <c r="Q13" i="84"/>
  <c r="Z13" i="84" s="1"/>
  <c r="J13" i="84"/>
  <c r="H13" i="84"/>
  <c r="AB13" i="84" s="1"/>
  <c r="F13" i="84"/>
  <c r="AA13" i="84" s="1"/>
  <c r="AC12" i="84"/>
  <c r="AB12" i="84"/>
  <c r="U12" i="84"/>
  <c r="Q12" i="84"/>
  <c r="Z12" i="84" s="1"/>
  <c r="J12" i="84"/>
  <c r="W12" i="84" s="1"/>
  <c r="H12" i="84"/>
  <c r="F12" i="84"/>
  <c r="AA12" i="84" s="1"/>
  <c r="Q11" i="84"/>
  <c r="Z11" i="84" s="1"/>
  <c r="J11" i="84"/>
  <c r="AC11" i="84" s="1"/>
  <c r="H11" i="84"/>
  <c r="U11" i="84" s="1"/>
  <c r="F11" i="84"/>
  <c r="AA11" i="84" s="1"/>
  <c r="AA10" i="84"/>
  <c r="Q10" i="84"/>
  <c r="Z10" i="84" s="1"/>
  <c r="J10" i="84"/>
  <c r="AC10" i="84" s="1"/>
  <c r="H10" i="84"/>
  <c r="AB10" i="84" s="1"/>
  <c r="F10" i="84"/>
  <c r="S10" i="84" s="1"/>
  <c r="AC9" i="84"/>
  <c r="W9" i="84"/>
  <c r="Q9" i="84"/>
  <c r="Z9" i="84" s="1"/>
  <c r="J9" i="84"/>
  <c r="H9" i="84"/>
  <c r="AB9" i="84" s="1"/>
  <c r="F9" i="84"/>
  <c r="S9" i="84" s="1"/>
  <c r="AC8" i="84"/>
  <c r="W8" i="84"/>
  <c r="U8" i="84"/>
  <c r="J8" i="84"/>
  <c r="H8" i="84"/>
  <c r="AB8" i="84" s="1"/>
  <c r="F8" i="84"/>
  <c r="AA8" i="84" s="1"/>
  <c r="C58" i="84"/>
  <c r="D58" i="84" s="1"/>
  <c r="E58" i="84" s="1"/>
  <c r="F58" i="84" s="1"/>
  <c r="G58" i="84" s="1"/>
  <c r="H58" i="84" s="1"/>
  <c r="I58" i="84" s="1"/>
  <c r="J58" i="84" s="1"/>
  <c r="K58" i="84" s="1"/>
  <c r="L58" i="84" s="1"/>
  <c r="M58" i="84" s="1"/>
  <c r="N58" i="84" s="1"/>
  <c r="O58" i="84" s="1"/>
  <c r="D3" i="84"/>
  <c r="B2" i="84"/>
  <c r="B3" i="84" s="1"/>
  <c r="AV11" i="83"/>
  <c r="AV12" i="83" s="1"/>
  <c r="AH13" i="83"/>
  <c r="AC14" i="82"/>
  <c r="AG14" i="82" s="1"/>
  <c r="AH14" i="82" s="1"/>
  <c r="AI14" i="82" s="1"/>
  <c r="R14" i="82"/>
  <c r="AG12" i="83"/>
  <c r="AG11" i="83"/>
  <c r="AG10" i="83"/>
  <c r="AA10" i="83"/>
  <c r="AG9" i="83"/>
  <c r="AD9" i="83"/>
  <c r="AA9" i="83"/>
  <c r="AG8" i="83"/>
  <c r="AD8" i="83"/>
  <c r="AA8" i="83"/>
  <c r="AG7" i="83"/>
  <c r="AG6" i="83"/>
  <c r="AG5" i="83"/>
  <c r="AA5" i="83"/>
  <c r="AG4" i="83"/>
  <c r="AA4" i="83"/>
  <c r="V27" i="82"/>
  <c r="M12" i="80"/>
  <c r="M13" i="80" s="1"/>
  <c r="Q5" i="80"/>
  <c r="Q6" i="80"/>
  <c r="Q8" i="80"/>
  <c r="P8" i="80"/>
  <c r="P6" i="80"/>
  <c r="P5" i="80"/>
  <c r="R16" i="80"/>
  <c r="D2" i="86"/>
  <c r="D2" i="85"/>
  <c r="D2" i="84"/>
  <c r="AB15" i="86" l="1"/>
  <c r="F81" i="84"/>
  <c r="G81" i="84" s="1"/>
  <c r="H19" i="84"/>
  <c r="AB19" i="84" s="1"/>
  <c r="F19" i="84"/>
  <c r="AA19" i="84" s="1"/>
  <c r="J19" i="84"/>
  <c r="AC19" i="84" s="1"/>
  <c r="F79" i="84"/>
  <c r="G79" i="84" s="1"/>
  <c r="F17" i="84"/>
  <c r="AA17" i="84" s="1"/>
  <c r="J17" i="84"/>
  <c r="AC17" i="84" s="1"/>
  <c r="H17" i="84"/>
  <c r="AB17" i="84" s="1"/>
  <c r="F77" i="84"/>
  <c r="G77" i="84" s="1"/>
  <c r="H15" i="84"/>
  <c r="AB15" i="84" s="1"/>
  <c r="F15" i="84"/>
  <c r="S15" i="84" s="1"/>
  <c r="J15" i="84"/>
  <c r="AC15" i="84" s="1"/>
  <c r="J42" i="86"/>
  <c r="W42" i="86" s="1"/>
  <c r="H42" i="84"/>
  <c r="AB42" i="84" s="1"/>
  <c r="I54" i="84"/>
  <c r="J54" i="84" s="1"/>
  <c r="E123" i="86"/>
  <c r="F42" i="84"/>
  <c r="AA42" i="84" s="1"/>
  <c r="F123" i="84"/>
  <c r="G123" i="84" s="1"/>
  <c r="H123" i="84" s="1"/>
  <c r="I123" i="84" s="1"/>
  <c r="J123" i="84" s="1"/>
  <c r="K123" i="84" s="1"/>
  <c r="L123" i="84" s="1"/>
  <c r="M123" i="84" s="1"/>
  <c r="F37" i="84"/>
  <c r="AA37" i="84" s="1"/>
  <c r="H37" i="84"/>
  <c r="AB37" i="84" s="1"/>
  <c r="H26" i="86"/>
  <c r="AB26" i="86" s="1"/>
  <c r="I54" i="86"/>
  <c r="J54" i="86" s="1"/>
  <c r="AA33" i="86"/>
  <c r="S33" i="86"/>
  <c r="J26" i="84"/>
  <c r="AC26" i="84" s="1"/>
  <c r="F58" i="86"/>
  <c r="G58" i="86" s="1"/>
  <c r="H58" i="86" s="1"/>
  <c r="I58" i="86" s="1"/>
  <c r="J58" i="86" s="1"/>
  <c r="K58" i="86" s="1"/>
  <c r="L58" i="86" s="1"/>
  <c r="M58" i="86" s="1"/>
  <c r="N58" i="86" s="1"/>
  <c r="O58" i="86" s="1"/>
  <c r="F7" i="86"/>
  <c r="J7" i="86"/>
  <c r="W9" i="86"/>
  <c r="AA11" i="86"/>
  <c r="S15" i="86"/>
  <c r="U17" i="86"/>
  <c r="W19" i="86"/>
  <c r="S23" i="86"/>
  <c r="S30" i="86"/>
  <c r="AB41" i="86"/>
  <c r="S44" i="86"/>
  <c r="AB8" i="86"/>
  <c r="U12" i="86"/>
  <c r="W13" i="86"/>
  <c r="S10" i="86"/>
  <c r="U11" i="86"/>
  <c r="W12" i="86"/>
  <c r="AB14" i="86"/>
  <c r="AC15" i="86"/>
  <c r="AA19" i="86"/>
  <c r="AB21" i="86"/>
  <c r="AC23" i="86"/>
  <c r="AB25" i="86"/>
  <c r="AA26" i="86"/>
  <c r="S27" i="86"/>
  <c r="U28" i="86"/>
  <c r="W29" i="86"/>
  <c r="AB31" i="86"/>
  <c r="U34" i="86"/>
  <c r="AC27" i="86"/>
  <c r="W27" i="86"/>
  <c r="AC31" i="86"/>
  <c r="W31" i="86"/>
  <c r="F113" i="86"/>
  <c r="S9" i="86"/>
  <c r="U10" i="86"/>
  <c r="W11" i="86"/>
  <c r="S13" i="86"/>
  <c r="AA17" i="86"/>
  <c r="AB19" i="86"/>
  <c r="AC21" i="86"/>
  <c r="W32" i="86"/>
  <c r="AB39" i="86"/>
  <c r="U39" i="86"/>
  <c r="U9" i="86"/>
  <c r="W10" i="86"/>
  <c r="S12" i="86"/>
  <c r="U13" i="86"/>
  <c r="AB33" i="86"/>
  <c r="U33" i="86"/>
  <c r="AB38" i="86"/>
  <c r="U38" i="86"/>
  <c r="AB40" i="86"/>
  <c r="U40" i="86"/>
  <c r="K145" i="86"/>
  <c r="K141" i="86"/>
  <c r="S25" i="86"/>
  <c r="S29" i="86"/>
  <c r="U30" i="86"/>
  <c r="W34" i="86"/>
  <c r="S36" i="86"/>
  <c r="W41" i="86"/>
  <c r="S43" i="86"/>
  <c r="U44" i="86"/>
  <c r="W45" i="86"/>
  <c r="W26" i="86"/>
  <c r="S28" i="86"/>
  <c r="U29" i="86"/>
  <c r="W30" i="86"/>
  <c r="S32" i="86"/>
  <c r="W33" i="86"/>
  <c r="S35" i="86"/>
  <c r="U36" i="86"/>
  <c r="W38" i="86"/>
  <c r="U43" i="86"/>
  <c r="W44" i="86"/>
  <c r="S46" i="86"/>
  <c r="T47" i="86"/>
  <c r="U32" i="86"/>
  <c r="S34" i="86"/>
  <c r="U35" i="86"/>
  <c r="W36" i="86"/>
  <c r="S41" i="86"/>
  <c r="U42" i="86"/>
  <c r="W43" i="86"/>
  <c r="S45" i="86"/>
  <c r="U46" i="86"/>
  <c r="AB11" i="84"/>
  <c r="AC15" i="82"/>
  <c r="W26" i="85"/>
  <c r="B3" i="85"/>
  <c r="F7" i="85"/>
  <c r="S10" i="85"/>
  <c r="AB11" i="85"/>
  <c r="U19" i="85"/>
  <c r="W21" i="85"/>
  <c r="AA33" i="85"/>
  <c r="S33" i="85"/>
  <c r="S9" i="85"/>
  <c r="AB10" i="85"/>
  <c r="U15" i="85"/>
  <c r="H17" i="85"/>
  <c r="S23" i="85"/>
  <c r="S28" i="85"/>
  <c r="S32" i="85"/>
  <c r="AB33" i="85"/>
  <c r="U33" i="85"/>
  <c r="W33" i="85"/>
  <c r="AA35" i="85"/>
  <c r="S39" i="85"/>
  <c r="W41" i="85"/>
  <c r="AB42" i="85"/>
  <c r="U42" i="85"/>
  <c r="E58" i="85"/>
  <c r="F58" i="85" s="1"/>
  <c r="G58" i="85" s="1"/>
  <c r="H58" i="85" s="1"/>
  <c r="I58" i="85" s="1"/>
  <c r="J58" i="85" s="1"/>
  <c r="K58" i="85" s="1"/>
  <c r="L58" i="85" s="1"/>
  <c r="M58" i="85" s="1"/>
  <c r="N58" i="85" s="1"/>
  <c r="O58" i="85" s="1"/>
  <c r="J27" i="85"/>
  <c r="H27" i="85"/>
  <c r="J31" i="85"/>
  <c r="H31" i="85"/>
  <c r="F113" i="85"/>
  <c r="G113" i="85" s="1"/>
  <c r="W12" i="85"/>
  <c r="S15" i="85"/>
  <c r="S17" i="85"/>
  <c r="W11" i="85"/>
  <c r="S13" i="85"/>
  <c r="U14" i="85"/>
  <c r="AA8" i="85"/>
  <c r="U9" i="85"/>
  <c r="W10" i="85"/>
  <c r="S12" i="85"/>
  <c r="U13" i="85"/>
  <c r="W14" i="85"/>
  <c r="W15" i="85"/>
  <c r="J17" i="85"/>
  <c r="AA19" i="85"/>
  <c r="AB21" i="85"/>
  <c r="S27" i="85"/>
  <c r="S31" i="85"/>
  <c r="U36" i="85"/>
  <c r="AC42" i="85"/>
  <c r="W42" i="85"/>
  <c r="AB44" i="85"/>
  <c r="U44" i="85"/>
  <c r="U45" i="85"/>
  <c r="K143" i="85"/>
  <c r="AB40" i="85"/>
  <c r="W9" i="85"/>
  <c r="S11" i="85"/>
  <c r="U12" i="85"/>
  <c r="W13" i="85"/>
  <c r="AB43" i="85"/>
  <c r="U43" i="85"/>
  <c r="U32" i="85"/>
  <c r="S34" i="85"/>
  <c r="U35" i="85"/>
  <c r="W36" i="85"/>
  <c r="S38" i="85"/>
  <c r="U39" i="85"/>
  <c r="W40" i="85"/>
  <c r="W45" i="85"/>
  <c r="K144" i="85"/>
  <c r="W23" i="85"/>
  <c r="S26" i="85"/>
  <c r="W28" i="85"/>
  <c r="S30" i="85"/>
  <c r="W32" i="85"/>
  <c r="U34" i="85"/>
  <c r="W35" i="85"/>
  <c r="U38" i="85"/>
  <c r="W39" i="85"/>
  <c r="S41" i="85"/>
  <c r="W43" i="85"/>
  <c r="S46" i="85"/>
  <c r="T47" i="85"/>
  <c r="S25" i="85"/>
  <c r="U26" i="85"/>
  <c r="S29" i="85"/>
  <c r="U30" i="85"/>
  <c r="W34" i="85"/>
  <c r="S36" i="85"/>
  <c r="W38" i="85"/>
  <c r="S40" i="85"/>
  <c r="U41" i="85"/>
  <c r="S45" i="85"/>
  <c r="U46" i="85"/>
  <c r="AY11" i="83"/>
  <c r="AZ11" i="83" s="1"/>
  <c r="BA11" i="83" s="1"/>
  <c r="F7" i="84"/>
  <c r="H7" i="84"/>
  <c r="S11" i="84"/>
  <c r="J7" i="84"/>
  <c r="U10" i="84"/>
  <c r="S8" i="84"/>
  <c r="AA9" i="84"/>
  <c r="AC13" i="84"/>
  <c r="W13" i="84"/>
  <c r="S17" i="84"/>
  <c r="W11" i="84"/>
  <c r="S13" i="84"/>
  <c r="U14" i="84"/>
  <c r="U17" i="84"/>
  <c r="U21" i="84"/>
  <c r="U23" i="84"/>
  <c r="W25" i="84"/>
  <c r="S27" i="84"/>
  <c r="U28" i="84"/>
  <c r="W29" i="84"/>
  <c r="S31" i="84"/>
  <c r="U32" i="84"/>
  <c r="W33" i="84"/>
  <c r="S35" i="84"/>
  <c r="U36" i="84"/>
  <c r="W37" i="84"/>
  <c r="S39" i="84"/>
  <c r="U40" i="84"/>
  <c r="W41" i="84"/>
  <c r="S43" i="84"/>
  <c r="U44" i="84"/>
  <c r="W45" i="84"/>
  <c r="K143" i="84"/>
  <c r="U9" i="84"/>
  <c r="W10" i="84"/>
  <c r="S12" i="84"/>
  <c r="U13" i="84"/>
  <c r="W14" i="84"/>
  <c r="W17" i="84"/>
  <c r="W21" i="84"/>
  <c r="W23" i="84"/>
  <c r="S26" i="84"/>
  <c r="U27" i="84"/>
  <c r="W28" i="84"/>
  <c r="S30" i="84"/>
  <c r="U31" i="84"/>
  <c r="W32" i="84"/>
  <c r="S34" i="84"/>
  <c r="U35" i="84"/>
  <c r="W36" i="84"/>
  <c r="S38" i="84"/>
  <c r="U39" i="84"/>
  <c r="W40" i="84"/>
  <c r="U43" i="84"/>
  <c r="W44" i="84"/>
  <c r="S46" i="84"/>
  <c r="K144" i="84"/>
  <c r="S25" i="84"/>
  <c r="U26" i="84"/>
  <c r="W27" i="84"/>
  <c r="S29" i="84"/>
  <c r="U30" i="84"/>
  <c r="W31" i="84"/>
  <c r="S33" i="84"/>
  <c r="U34" i="84"/>
  <c r="W35" i="84"/>
  <c r="U38" i="84"/>
  <c r="W39" i="84"/>
  <c r="S41" i="84"/>
  <c r="U42" i="84"/>
  <c r="W43" i="84"/>
  <c r="S45" i="84"/>
  <c r="U46" i="84"/>
  <c r="K141" i="84"/>
  <c r="S21" i="84"/>
  <c r="S23" i="84"/>
  <c r="U25" i="84"/>
  <c r="S28" i="84"/>
  <c r="U29" i="84"/>
  <c r="W30" i="84"/>
  <c r="S32" i="84"/>
  <c r="U33" i="84"/>
  <c r="W34" i="84"/>
  <c r="S36" i="84"/>
  <c r="W38" i="84"/>
  <c r="S40" i="84"/>
  <c r="U41" i="84"/>
  <c r="W42" i="84"/>
  <c r="S44" i="84"/>
  <c r="U45" i="84"/>
  <c r="W46" i="84"/>
  <c r="P15" i="80"/>
  <c r="P16" i="80" s="1"/>
  <c r="E27" i="45"/>
  <c r="W19" i="84" l="1"/>
  <c r="W15" i="84"/>
  <c r="U15" i="84"/>
  <c r="U19" i="84"/>
  <c r="S19" i="84"/>
  <c r="AA15" i="84"/>
  <c r="AC42" i="86"/>
  <c r="F123" i="86"/>
  <c r="G123" i="86" s="1"/>
  <c r="H123" i="86" s="1"/>
  <c r="I123" i="86" s="1"/>
  <c r="J123" i="86" s="1"/>
  <c r="K123" i="86" s="1"/>
  <c r="L123" i="86" s="1"/>
  <c r="M123" i="86" s="1"/>
  <c r="F42" i="86"/>
  <c r="S42" i="84"/>
  <c r="U37" i="84"/>
  <c r="S37" i="84"/>
  <c r="U26" i="86"/>
  <c r="W26" i="84"/>
  <c r="H7" i="86"/>
  <c r="AB7" i="86" s="1"/>
  <c r="W7" i="86"/>
  <c r="AC7" i="86"/>
  <c r="S7" i="86"/>
  <c r="AA7" i="86"/>
  <c r="G113" i="86"/>
  <c r="H113" i="85"/>
  <c r="J37" i="85"/>
  <c r="AB17" i="85"/>
  <c r="U17" i="85"/>
  <c r="F37" i="85"/>
  <c r="J7" i="85"/>
  <c r="AB27" i="85"/>
  <c r="U27" i="85"/>
  <c r="AC27" i="85"/>
  <c r="W27" i="85"/>
  <c r="AB31" i="85"/>
  <c r="U31" i="85"/>
  <c r="W17" i="85"/>
  <c r="AC17" i="85"/>
  <c r="AC31" i="85"/>
  <c r="W31" i="85"/>
  <c r="H37" i="85"/>
  <c r="H7" i="85"/>
  <c r="S7" i="85"/>
  <c r="AA7" i="85"/>
  <c r="AC7" i="84"/>
  <c r="V48" i="84" s="1"/>
  <c r="I48" i="84" s="1"/>
  <c r="W7" i="84"/>
  <c r="S7" i="84"/>
  <c r="AA7" i="84"/>
  <c r="AB7" i="84"/>
  <c r="T48" i="84" s="1"/>
  <c r="G48" i="84" s="1"/>
  <c r="U7" i="84"/>
  <c r="S5" i="80"/>
  <c r="E14" i="74" s="1"/>
  <c r="S8" i="80"/>
  <c r="T8" i="80" s="1"/>
  <c r="S6" i="80"/>
  <c r="T6" i="80" s="1"/>
  <c r="G14" i="73"/>
  <c r="F14" i="73"/>
  <c r="E14" i="73"/>
  <c r="R48" i="84" l="1"/>
  <c r="R49" i="84" s="1"/>
  <c r="AA42" i="86"/>
  <c r="S42" i="86"/>
  <c r="U7" i="86"/>
  <c r="H113" i="86"/>
  <c r="F37" i="86"/>
  <c r="H37" i="86"/>
  <c r="J37" i="86"/>
  <c r="U7" i="85"/>
  <c r="AB7" i="85"/>
  <c r="AB37" i="85"/>
  <c r="U37" i="85"/>
  <c r="AC7" i="85"/>
  <c r="W7" i="85"/>
  <c r="AC37" i="85"/>
  <c r="W37" i="85"/>
  <c r="AA37" i="85"/>
  <c r="R48" i="85" s="1"/>
  <c r="S37" i="85"/>
  <c r="G52" i="84"/>
  <c r="H52" i="84" s="1"/>
  <c r="G53" i="84"/>
  <c r="H53" i="84" s="1"/>
  <c r="I52" i="84"/>
  <c r="J52" i="84" s="1"/>
  <c r="T5" i="80"/>
  <c r="I12" i="79"/>
  <c r="E48" i="84" l="1"/>
  <c r="I53" i="84" s="1"/>
  <c r="J53" i="84" s="1"/>
  <c r="AC37" i="86"/>
  <c r="V48" i="86" s="1"/>
  <c r="I48" i="86" s="1"/>
  <c r="W37" i="86"/>
  <c r="AB37" i="86"/>
  <c r="T48" i="86" s="1"/>
  <c r="G48" i="86" s="1"/>
  <c r="U37" i="86"/>
  <c r="AA37" i="86"/>
  <c r="R48" i="86" s="1"/>
  <c r="S37" i="86"/>
  <c r="E48" i="85"/>
  <c r="T48" i="85"/>
  <c r="G48" i="85" s="1"/>
  <c r="V48" i="85"/>
  <c r="I48" i="85" s="1"/>
  <c r="C49" i="84"/>
  <c r="C48" i="84"/>
  <c r="B26" i="80"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E52" i="84" l="1"/>
  <c r="F52" i="84" s="1"/>
  <c r="E53" i="84"/>
  <c r="F53" i="84" s="1"/>
  <c r="R49" i="86"/>
  <c r="E48" i="86"/>
  <c r="I53" i="86" s="1"/>
  <c r="J53" i="86" s="1"/>
  <c r="I52" i="86"/>
  <c r="J52" i="86" s="1"/>
  <c r="G53" i="86"/>
  <c r="H53" i="86" s="1"/>
  <c r="G52" i="86"/>
  <c r="H52" i="86" s="1"/>
  <c r="I53" i="85"/>
  <c r="J53" i="85" s="1"/>
  <c r="I52" i="85"/>
  <c r="J52" i="85" s="1"/>
  <c r="G53" i="85"/>
  <c r="H53" i="85" s="1"/>
  <c r="G52" i="85"/>
  <c r="H52" i="85" s="1"/>
  <c r="E53" i="85"/>
  <c r="F53" i="85" s="1"/>
  <c r="E52" i="85"/>
  <c r="F52" i="85" s="1"/>
  <c r="R49" i="85"/>
  <c r="AB33" i="79"/>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E53" i="86" l="1"/>
  <c r="F53" i="86" s="1"/>
  <c r="E52" i="86"/>
  <c r="F52" i="86" s="1"/>
  <c r="C49" i="86"/>
  <c r="C48" i="86"/>
  <c r="C26" i="80" s="1"/>
  <c r="C49" i="85"/>
  <c r="C48" i="85"/>
  <c r="C22" i="80" s="1"/>
  <c r="AR7" i="79"/>
  <c r="AD33" i="79"/>
  <c r="AR34" i="79"/>
  <c r="AR35" i="79"/>
  <c r="AR36" i="79" s="1"/>
  <c r="AR8" i="79"/>
  <c r="C60" i="78"/>
  <c r="D60" i="78" s="1"/>
  <c r="D53" i="78"/>
  <c r="D52" i="78"/>
  <c r="B51" i="78"/>
  <c r="B56" i="78" s="1"/>
  <c r="D26" i="80" l="1"/>
  <c r="C29" i="80"/>
  <c r="E26" i="80"/>
  <c r="G26" i="80" s="1"/>
  <c r="F29" i="80" s="1"/>
  <c r="D51" i="78"/>
  <c r="B55" i="78"/>
  <c r="D55" i="78" s="1"/>
  <c r="C51" i="78"/>
  <c r="C56" i="78" s="1"/>
  <c r="C58" i="78" s="1"/>
  <c r="B62" i="78"/>
  <c r="B54" i="78"/>
  <c r="D54" i="78" s="1"/>
  <c r="D56" i="78" l="1"/>
  <c r="D58" i="78" s="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U50" i="79" l="1"/>
  <c r="AI50" i="79" s="1"/>
  <c r="AA31" i="79"/>
  <c r="AD31" i="79" s="1"/>
  <c r="Z3" i="79"/>
  <c r="AD51" i="79"/>
  <c r="S20" i="79"/>
  <c r="AG20" i="79" s="1"/>
  <c r="T22" i="79"/>
  <c r="AD38" i="79"/>
  <c r="AD36" i="79"/>
  <c r="AD35" i="79"/>
  <c r="AD37" i="79"/>
  <c r="AD34" i="79"/>
  <c r="AR40" i="79"/>
  <c r="AR41" i="79" s="1"/>
  <c r="AR42" i="79" s="1"/>
  <c r="AR43" i="79" s="1"/>
  <c r="AR44" i="79" s="1"/>
  <c r="AR45" i="79" s="1"/>
  <c r="AR46" i="79" s="1"/>
  <c r="AR47" i="79" s="1"/>
  <c r="AR48" i="79" s="1"/>
  <c r="AR49" i="79" s="1"/>
  <c r="AR50" i="79" s="1"/>
  <c r="AR51" i="79" s="1"/>
  <c r="AR52" i="79" s="1"/>
  <c r="S35" i="79"/>
  <c r="AG35" i="79" s="1"/>
  <c r="S33" i="79"/>
  <c r="AG33" i="79" s="1"/>
  <c r="S34" i="79"/>
  <c r="AG34" i="79" s="1"/>
  <c r="T40" i="79"/>
  <c r="U46" i="79"/>
  <c r="AI46" i="79" s="1"/>
  <c r="AD47" i="79"/>
  <c r="S48" i="79"/>
  <c r="AG48" i="79" s="1"/>
  <c r="T33" i="79"/>
  <c r="T34" i="79"/>
  <c r="T35" i="79"/>
  <c r="U34" i="79"/>
  <c r="AI34" i="79" s="1"/>
  <c r="U35" i="79"/>
  <c r="AI35"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9" i="79" l="1"/>
  <c r="AK39" i="79" s="1"/>
  <c r="W15" i="79"/>
  <c r="AK15" i="79" s="1"/>
  <c r="AH15" i="79"/>
  <c r="W13" i="79"/>
  <c r="AK13" i="79" s="1"/>
  <c r="AH13" i="79"/>
  <c r="W48" i="79"/>
  <c r="AK48" i="79" s="1"/>
  <c r="AH48" i="79"/>
  <c r="W49" i="79"/>
  <c r="AK49" i="79" s="1"/>
  <c r="AH49" i="79"/>
  <c r="W43" i="79"/>
  <c r="AK43" i="79" s="1"/>
  <c r="AH43" i="79"/>
  <c r="W38" i="79"/>
  <c r="AK38" i="79" s="1"/>
  <c r="AH38" i="79"/>
  <c r="W33" i="79"/>
  <c r="AK33" i="79" s="1"/>
  <c r="AH33" i="79"/>
  <c r="W40" i="79"/>
  <c r="AK40" i="79" s="1"/>
  <c r="AH40"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5" i="79"/>
  <c r="AK35" i="79" s="1"/>
  <c r="AH35" i="79"/>
  <c r="W22" i="79"/>
  <c r="AK22" i="79" s="1"/>
  <c r="AH22"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4" i="79"/>
  <c r="W34" i="79"/>
  <c r="AK34"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X3" i="71" s="1"/>
  <c r="AH17" i="71"/>
  <c r="AG17" i="71"/>
  <c r="AE17" i="71"/>
  <c r="AF17" i="71" s="1"/>
  <c r="AD17" i="71"/>
  <c r="Q18" i="71"/>
  <c r="Q19" i="71"/>
  <c r="P18" i="71"/>
  <c r="P19" i="71"/>
  <c r="O18" i="71"/>
  <c r="O19" i="71"/>
  <c r="N18" i="71"/>
  <c r="N19" i="71"/>
  <c r="AH18" i="71"/>
  <c r="AG18" i="71"/>
  <c r="AE18" i="71"/>
  <c r="AF18" i="71" s="1"/>
  <c r="AD18" i="71"/>
  <c r="F24" i="12"/>
  <c r="F7" i="69"/>
  <c r="C7" i="69" s="1"/>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D3" i="71" s="1"/>
  <c r="AH21" i="71"/>
  <c r="AG21" i="71"/>
  <c r="AE21" i="71"/>
  <c r="AF21" i="71" s="1"/>
  <c r="AD21" i="71"/>
  <c r="Q21" i="71"/>
  <c r="Q22" i="71"/>
  <c r="P21" i="71"/>
  <c r="P22" i="71"/>
  <c r="AA20" i="71" s="1"/>
  <c r="O21" i="71"/>
  <c r="O22" i="71"/>
  <c r="Y19" i="71" s="1"/>
  <c r="Z19" i="71" s="1"/>
  <c r="N21" i="71"/>
  <c r="N22" i="71"/>
  <c r="N23" i="71"/>
  <c r="X23" i="71" s="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Q25" i="71"/>
  <c r="AB19"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B17" i="72" s="1"/>
  <c r="A21" i="51"/>
  <c r="A20" i="51"/>
  <c r="A15" i="62"/>
  <c r="A14" i="62"/>
  <c r="B60" i="72" s="1"/>
  <c r="A13" i="62"/>
  <c r="B59" i="72" s="1"/>
  <c r="A19" i="62"/>
  <c r="B65" i="72" s="1"/>
  <c r="A12" i="62"/>
  <c r="B58" i="72" s="1"/>
  <c r="A120" i="9"/>
  <c r="H2" i="52"/>
  <c r="A1" i="52"/>
  <c r="A3" i="53"/>
  <c r="Q26" i="71"/>
  <c r="P26" i="71"/>
  <c r="O26" i="71"/>
  <c r="N26" i="71"/>
  <c r="B26" i="71" s="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E111" i="9"/>
  <c r="A126" i="9" s="1"/>
  <c r="A12" i="52" s="1"/>
  <c r="B56" i="72" s="1"/>
  <c r="E109" i="9"/>
  <c r="A124" i="9" s="1"/>
  <c r="A10" i="52" s="1"/>
  <c r="B55" i="72" s="1"/>
  <c r="B44" i="72"/>
  <c r="B42" i="72"/>
  <c r="B69" i="72"/>
  <c r="B68" i="72"/>
  <c r="B63" i="72"/>
  <c r="B62" i="72"/>
  <c r="B16"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E80" i="71"/>
  <c r="U80" i="71" s="1"/>
  <c r="C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B72" i="71"/>
  <c r="Q71" i="71"/>
  <c r="P71" i="71"/>
  <c r="O71" i="71"/>
  <c r="N71" i="71"/>
  <c r="F71" i="71"/>
  <c r="F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C63" i="71" s="1"/>
  <c r="N62" i="71"/>
  <c r="Q61" i="71"/>
  <c r="F62" i="71" s="1"/>
  <c r="F63" i="71" s="1"/>
  <c r="F64" i="71" s="1"/>
  <c r="V64" i="71" s="1"/>
  <c r="P61" i="71"/>
  <c r="E62" i="71" s="1"/>
  <c r="E63" i="71" s="1"/>
  <c r="E64" i="71" s="1"/>
  <c r="U64"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O53" i="71"/>
  <c r="C54" i="71" s="1"/>
  <c r="N53" i="71"/>
  <c r="B54" i="71" s="1"/>
  <c r="B55" i="71" s="1"/>
  <c r="B56" i="71"/>
  <c r="S56" i="71" s="1"/>
  <c r="D53" i="71"/>
  <c r="Q52" i="71"/>
  <c r="P52" i="71"/>
  <c r="O52" i="71"/>
  <c r="N52" i="71"/>
  <c r="Q51" i="71"/>
  <c r="P51" i="71"/>
  <c r="O51" i="71"/>
  <c r="N51" i="71"/>
  <c r="Q50" i="71"/>
  <c r="P50" i="71"/>
  <c r="O50" i="71"/>
  <c r="N50" i="71"/>
  <c r="Q49" i="71"/>
  <c r="F50" i="71"/>
  <c r="F51" i="71" s="1"/>
  <c r="P49" i="71"/>
  <c r="E50" i="71" s="1"/>
  <c r="E51" i="71" s="1"/>
  <c r="E52" i="71" s="1"/>
  <c r="U52" i="71" s="1"/>
  <c r="O49" i="71"/>
  <c r="C50" i="7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O41" i="71"/>
  <c r="C42" i="71" s="1"/>
  <c r="D42" i="71" s="1"/>
  <c r="N41" i="71"/>
  <c r="B42" i="71"/>
  <c r="B43" i="71"/>
  <c r="B44" i="71" s="1"/>
  <c r="S44" i="71" s="1"/>
  <c r="D41" i="71"/>
  <c r="Q40" i="71"/>
  <c r="P40" i="71"/>
  <c r="O40" i="71"/>
  <c r="N40" i="71"/>
  <c r="Q39" i="71"/>
  <c r="AB39" i="71" s="1"/>
  <c r="P39" i="71"/>
  <c r="O39" i="71"/>
  <c r="N39" i="71"/>
  <c r="X39" i="71" s="1"/>
  <c r="Q38" i="71"/>
  <c r="P38" i="71"/>
  <c r="O38" i="71"/>
  <c r="Y38" i="71" s="1"/>
  <c r="Z38" i="71" s="1"/>
  <c r="N38" i="71"/>
  <c r="F38" i="71"/>
  <c r="F39" i="71" s="1"/>
  <c r="Q37" i="71"/>
  <c r="P37" i="71"/>
  <c r="O37" i="71"/>
  <c r="N37" i="71"/>
  <c r="B38" i="71" s="1"/>
  <c r="D37" i="71"/>
  <c r="Q36" i="71"/>
  <c r="P36" i="71"/>
  <c r="O36" i="71"/>
  <c r="N36" i="71"/>
  <c r="Q35" i="71"/>
  <c r="P35" i="71"/>
  <c r="O35" i="71"/>
  <c r="N35" i="71"/>
  <c r="X34" i="71" s="1"/>
  <c r="Q34" i="71"/>
  <c r="P34" i="71"/>
  <c r="O34" i="71"/>
  <c r="N34" i="71"/>
  <c r="Q33" i="71"/>
  <c r="F34" i="71" s="1"/>
  <c r="P33" i="71"/>
  <c r="O33" i="71"/>
  <c r="N33" i="71"/>
  <c r="D33" i="71"/>
  <c r="Q32" i="71"/>
  <c r="P32" i="71"/>
  <c r="O32" i="71"/>
  <c r="N32" i="71"/>
  <c r="Q31" i="71"/>
  <c r="P31" i="71"/>
  <c r="O31" i="71"/>
  <c r="N31" i="71"/>
  <c r="Q30" i="71"/>
  <c r="P30" i="71"/>
  <c r="O30" i="71"/>
  <c r="N30" i="71"/>
  <c r="B31" i="71" s="1"/>
  <c r="B32" i="71" s="1"/>
  <c r="S32" i="71" s="1"/>
  <c r="Q29" i="71"/>
  <c r="F30" i="71" s="1"/>
  <c r="P29" i="71"/>
  <c r="E30" i="71" s="1"/>
  <c r="E31" i="71" s="1"/>
  <c r="E32" i="71" s="1"/>
  <c r="U32" i="71" s="1"/>
  <c r="O29" i="71"/>
  <c r="N29" i="71"/>
  <c r="D29" i="71"/>
  <c r="O28" i="71"/>
  <c r="N28" i="71"/>
  <c r="B30" i="71"/>
  <c r="B39" i="71"/>
  <c r="E34" i="71"/>
  <c r="X31" i="71"/>
  <c r="C34" i="71"/>
  <c r="D34" i="71" s="1"/>
  <c r="B28" i="71"/>
  <c r="B27" i="71" s="1"/>
  <c r="P28" i="71"/>
  <c r="E28" i="71" s="1"/>
  <c r="U68" i="71"/>
  <c r="E67" i="71"/>
  <c r="Q28" i="71"/>
  <c r="F28" i="71" s="1"/>
  <c r="F27" i="71" s="1"/>
  <c r="F26" i="71" s="1"/>
  <c r="D68" i="71"/>
  <c r="C67" i="71"/>
  <c r="D67" i="71" s="1"/>
  <c r="Q68" i="71"/>
  <c r="E71" i="71"/>
  <c r="E7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21" i="34"/>
  <c r="H25" i="40"/>
  <c r="AB25" i="40" s="1"/>
  <c r="J25" i="40"/>
  <c r="AC25" i="40" s="1"/>
  <c r="H29" i="39"/>
  <c r="AB29" i="39" s="1"/>
  <c r="J29" i="39"/>
  <c r="AC29" i="39" s="1"/>
  <c r="J18" i="36"/>
  <c r="AC18" i="36" s="1"/>
  <c r="H18" i="35"/>
  <c r="AB18" i="35" s="1"/>
  <c r="J18" i="35"/>
  <c r="H21" i="37"/>
  <c r="F21" i="37"/>
  <c r="AA21" i="37" s="1"/>
  <c r="H21" i="34"/>
  <c r="H21" i="33"/>
  <c r="F21" i="33"/>
  <c r="AA21" i="33" s="1"/>
  <c r="E83" i="21"/>
  <c r="F83" i="21" s="1"/>
  <c r="G83" i="21" s="1"/>
  <c r="H1" i="69"/>
  <c r="W25" i="40"/>
  <c r="U25" i="40"/>
  <c r="W18" i="36"/>
  <c r="AB21" i="37"/>
  <c r="U21" i="37"/>
  <c r="AC18" i="35"/>
  <c r="W18" i="35"/>
  <c r="J21" i="37"/>
  <c r="W21" i="37" s="1"/>
  <c r="J21" i="34"/>
  <c r="W21" i="34" s="1"/>
  <c r="J21" i="33"/>
  <c r="W21" i="33" s="1"/>
  <c r="H21" i="21"/>
  <c r="U21" i="21" s="1"/>
  <c r="F38" i="69"/>
  <c r="E37" i="69"/>
  <c r="F36" i="69"/>
  <c r="F35" i="69"/>
  <c r="F21" i="69"/>
  <c r="F20" i="69"/>
  <c r="F39" i="69" s="1"/>
  <c r="E10" i="69"/>
  <c r="E9" i="69"/>
  <c r="AC21" i="37"/>
  <c r="AC21" i="33"/>
  <c r="J21" i="21"/>
  <c r="W21" i="21" s="1"/>
  <c r="F38" i="68"/>
  <c r="E37" i="68"/>
  <c r="F36" i="68"/>
  <c r="F35" i="68"/>
  <c r="F21" i="68"/>
  <c r="C40" i="68" s="1"/>
  <c r="F20" i="68"/>
  <c r="F39" i="68" s="1"/>
  <c r="E10" i="68"/>
  <c r="E9" i="68"/>
  <c r="AC21" i="21"/>
  <c r="Q72" i="67"/>
  <c r="Q59" i="67"/>
  <c r="Q58" i="67"/>
  <c r="Q51" i="67"/>
  <c r="J50" i="67"/>
  <c r="M47" i="67"/>
  <c r="D46" i="67"/>
  <c r="F33" i="67"/>
  <c r="F61" i="67" s="1"/>
  <c r="F23" i="67"/>
  <c r="D24" i="67" s="1"/>
  <c r="F21" i="67"/>
  <c r="F20" i="67"/>
  <c r="M19" i="67"/>
  <c r="F18" i="67"/>
  <c r="F17" i="67"/>
  <c r="F15" i="67"/>
  <c r="S2" i="4"/>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A98" i="3" s="1"/>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A77" i="3" s="1"/>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A50" i="3" s="1"/>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A175" i="3" s="1"/>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L146" i="3" s="1"/>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K127" i="3"/>
  <c r="BJ127" i="3"/>
  <c r="BI127" i="3"/>
  <c r="BH127" i="3"/>
  <c r="BG127" i="3"/>
  <c r="BA127" i="3" s="1"/>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I5" i="3" s="1"/>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K5" i="3" s="1"/>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A240" i="3" s="1"/>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L394" i="3" s="1"/>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L390" i="3" s="1"/>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A362" i="3" s="1"/>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A347" i="3" s="1"/>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L339" i="3" s="1"/>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A337" i="3" s="1"/>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A336" i="3" s="1"/>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L334" i="3" s="1"/>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L327" i="3" s="1"/>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A326" i="3" s="1"/>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A321" i="3" s="1"/>
  <c r="BE321" i="3"/>
  <c r="BD321" i="3"/>
  <c r="BC321" i="3"/>
  <c r="BB321" i="3"/>
  <c r="AX321" i="3"/>
  <c r="AW321" i="3"/>
  <c r="AV321" i="3"/>
  <c r="AC321" i="3"/>
  <c r="H321" i="3"/>
  <c r="BT320" i="3"/>
  <c r="BS320" i="3"/>
  <c r="BR320" i="3"/>
  <c r="BL320" i="3" s="1"/>
  <c r="BQ320" i="3"/>
  <c r="BP320" i="3"/>
  <c r="BO320" i="3"/>
  <c r="BN320" i="3"/>
  <c r="BM320" i="3"/>
  <c r="BK320" i="3"/>
  <c r="BJ320" i="3"/>
  <c r="BI320" i="3"/>
  <c r="BH320" i="3"/>
  <c r="BG320" i="3"/>
  <c r="BF320" i="3"/>
  <c r="BE320" i="3"/>
  <c r="BA320" i="3" s="1"/>
  <c r="AZ320" i="3" s="1"/>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G312" i="3" s="1"/>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A310" i="3" s="1"/>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A308" i="3" s="1"/>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L306" i="3" s="1"/>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L305" i="3" s="1"/>
  <c r="BN305" i="3"/>
  <c r="BM305" i="3"/>
  <c r="BK305" i="3"/>
  <c r="BJ305" i="3"/>
  <c r="BI305" i="3"/>
  <c r="BH305" i="3"/>
  <c r="BG305" i="3"/>
  <c r="BF305" i="3"/>
  <c r="BE305" i="3"/>
  <c r="BD305" i="3"/>
  <c r="BC305" i="3"/>
  <c r="BB305" i="3"/>
  <c r="BA305" i="3" s="1"/>
  <c r="AZ305" i="3" s="1"/>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L484" i="3" s="1"/>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A473" i="3" s="1"/>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A437" i="3" s="1"/>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A419" i="3" s="1"/>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S29" i="31" s="1"/>
  <c r="R30" i="31"/>
  <c r="R31" i="31"/>
  <c r="S31" i="31" s="1"/>
  <c r="R32" i="31"/>
  <c r="R33" i="31"/>
  <c r="R34" i="31"/>
  <c r="R35" i="31"/>
  <c r="R36" i="31"/>
  <c r="R37" i="31"/>
  <c r="S37" i="31" s="1"/>
  <c r="R38" i="31"/>
  <c r="R39" i="31"/>
  <c r="R40" i="31"/>
  <c r="R41" i="31"/>
  <c r="S41" i="31" s="1"/>
  <c r="R42" i="31"/>
  <c r="R43" i="31"/>
  <c r="R44" i="31"/>
  <c r="R45" i="31"/>
  <c r="R46" i="31"/>
  <c r="R47" i="31"/>
  <c r="R48" i="31"/>
  <c r="R49" i="31"/>
  <c r="S49" i="31" s="1"/>
  <c r="R50" i="31"/>
  <c r="R51" i="31"/>
  <c r="R52" i="31"/>
  <c r="R53" i="31"/>
  <c r="S53" i="31" s="1"/>
  <c r="R54" i="31"/>
  <c r="S54" i="31" s="1"/>
  <c r="R55" i="31"/>
  <c r="S55" i="31" s="1"/>
  <c r="R56" i="31"/>
  <c r="R57" i="31"/>
  <c r="R58" i="31"/>
  <c r="R59" i="31"/>
  <c r="R60" i="31"/>
  <c r="R61" i="31"/>
  <c r="S61" i="31" s="1"/>
  <c r="R62" i="31"/>
  <c r="R63" i="31"/>
  <c r="R64" i="31"/>
  <c r="R65" i="31"/>
  <c r="R66" i="31"/>
  <c r="S66" i="31" s="1"/>
  <c r="R67" i="31"/>
  <c r="S67" i="31" s="1"/>
  <c r="R68" i="31"/>
  <c r="R69" i="31"/>
  <c r="R70" i="31"/>
  <c r="R71" i="31"/>
  <c r="R72" i="31"/>
  <c r="R73" i="31"/>
  <c r="S73" i="31" s="1"/>
  <c r="R74" i="31"/>
  <c r="R75" i="31"/>
  <c r="R76" i="31"/>
  <c r="R77" i="31"/>
  <c r="R78" i="31"/>
  <c r="R79" i="31"/>
  <c r="R80" i="31"/>
  <c r="R81" i="31"/>
  <c r="R82" i="31"/>
  <c r="R83" i="31"/>
  <c r="R84" i="31"/>
  <c r="R85" i="31"/>
  <c r="S85" i="31" s="1"/>
  <c r="R86" i="31"/>
  <c r="S86" i="31" s="1"/>
  <c r="R87" i="31"/>
  <c r="R88" i="31"/>
  <c r="R89" i="31"/>
  <c r="S89" i="31" s="1"/>
  <c r="R90" i="31"/>
  <c r="S90" i="31" s="1"/>
  <c r="R91" i="31"/>
  <c r="R92" i="31"/>
  <c r="R93" i="31"/>
  <c r="R94" i="31"/>
  <c r="R95" i="31"/>
  <c r="R96" i="31"/>
  <c r="R97" i="31"/>
  <c r="S97" i="31" s="1"/>
  <c r="R98" i="31"/>
  <c r="S98" i="31" s="1"/>
  <c r="R99" i="31"/>
  <c r="R100" i="31"/>
  <c r="S100" i="31" s="1"/>
  <c r="R101" i="31"/>
  <c r="S101" i="31" s="1"/>
  <c r="R102" i="31"/>
  <c r="R103" i="31"/>
  <c r="S103" i="31" s="1"/>
  <c r="R104" i="31"/>
  <c r="R105" i="31"/>
  <c r="R106" i="31"/>
  <c r="R107" i="31"/>
  <c r="R108" i="31"/>
  <c r="R109" i="31"/>
  <c r="S109" i="31" s="1"/>
  <c r="R110" i="31"/>
  <c r="S110" i="31" s="1"/>
  <c r="R111" i="31"/>
  <c r="R112" i="31"/>
  <c r="R113" i="31"/>
  <c r="R114" i="31"/>
  <c r="S114" i="31" s="1"/>
  <c r="R115" i="31"/>
  <c r="S115" i="31" s="1"/>
  <c r="R116" i="31"/>
  <c r="R117" i="31"/>
  <c r="R118" i="31"/>
  <c r="R119" i="31"/>
  <c r="R120" i="31"/>
  <c r="R121" i="31"/>
  <c r="S121" i="31" s="1"/>
  <c r="R122" i="31"/>
  <c r="R123" i="31"/>
  <c r="R124" i="31"/>
  <c r="R125" i="31"/>
  <c r="R126" i="31"/>
  <c r="S126" i="31" s="1"/>
  <c r="R127" i="31"/>
  <c r="S127" i="31" s="1"/>
  <c r="R128" i="31"/>
  <c r="R129" i="31"/>
  <c r="R130" i="31"/>
  <c r="R131" i="31"/>
  <c r="R132" i="31"/>
  <c r="R133" i="31"/>
  <c r="S133" i="31" s="1"/>
  <c r="R134" i="31"/>
  <c r="S134" i="31" s="1"/>
  <c r="R135" i="31"/>
  <c r="R136" i="31"/>
  <c r="S136" i="31" s="1"/>
  <c r="R137" i="31"/>
  <c r="R138" i="31"/>
  <c r="S138" i="31" s="1"/>
  <c r="R139" i="31"/>
  <c r="R140" i="31"/>
  <c r="R141" i="31"/>
  <c r="R142" i="31"/>
  <c r="R143" i="31"/>
  <c r="R144" i="31"/>
  <c r="R145" i="31"/>
  <c r="S145" i="31" s="1"/>
  <c r="R146" i="31"/>
  <c r="R147" i="31"/>
  <c r="R148" i="31"/>
  <c r="S148" i="31" s="1"/>
  <c r="R149" i="31"/>
  <c r="S149" i="31" s="1"/>
  <c r="R150" i="31"/>
  <c r="S150" i="31" s="1"/>
  <c r="R151" i="31"/>
  <c r="S151" i="31" s="1"/>
  <c r="R152" i="31"/>
  <c r="R153" i="31"/>
  <c r="R154" i="31"/>
  <c r="R155" i="31"/>
  <c r="R156" i="31"/>
  <c r="R157" i="31"/>
  <c r="S157" i="31" s="1"/>
  <c r="R158" i="31"/>
  <c r="R159" i="31"/>
  <c r="R160" i="31"/>
  <c r="R161" i="31"/>
  <c r="S161" i="31" s="1"/>
  <c r="R162" i="31"/>
  <c r="S162" i="31" s="1"/>
  <c r="R163" i="31"/>
  <c r="S163" i="31" s="1"/>
  <c r="R164" i="31"/>
  <c r="R165" i="31"/>
  <c r="R166" i="31"/>
  <c r="R167" i="31"/>
  <c r="R168" i="31"/>
  <c r="R169" i="31"/>
  <c r="S169" i="31" s="1"/>
  <c r="R170" i="31"/>
  <c r="R171" i="31"/>
  <c r="R172" i="31"/>
  <c r="R173" i="31"/>
  <c r="R174" i="31"/>
  <c r="S174" i="31" s="1"/>
  <c r="R175" i="31"/>
  <c r="S175" i="31" s="1"/>
  <c r="R176" i="31"/>
  <c r="R177" i="31"/>
  <c r="R178" i="31"/>
  <c r="R179" i="31"/>
  <c r="R180" i="31"/>
  <c r="R181" i="31"/>
  <c r="S181" i="31" s="1"/>
  <c r="R182" i="31"/>
  <c r="R183" i="31"/>
  <c r="R184" i="31"/>
  <c r="R185" i="31"/>
  <c r="R186" i="31"/>
  <c r="S186" i="31" s="1"/>
  <c r="R187" i="31"/>
  <c r="R188" i="31"/>
  <c r="R189" i="31"/>
  <c r="R190" i="31"/>
  <c r="R191" i="31"/>
  <c r="R192" i="31"/>
  <c r="R193" i="31"/>
  <c r="S193" i="31" s="1"/>
  <c r="R194" i="31"/>
  <c r="R195" i="31"/>
  <c r="R196" i="31"/>
  <c r="R197" i="31"/>
  <c r="R198" i="31"/>
  <c r="S198" i="31" s="1"/>
  <c r="R199" i="31"/>
  <c r="R200" i="31"/>
  <c r="R201" i="31"/>
  <c r="R202" i="31"/>
  <c r="R203" i="31"/>
  <c r="R204" i="31"/>
  <c r="R205" i="31"/>
  <c r="S205" i="31" s="1"/>
  <c r="R206" i="31"/>
  <c r="S206" i="31" s="1"/>
  <c r="R207" i="31"/>
  <c r="R208" i="31"/>
  <c r="S208" i="31" s="1"/>
  <c r="R209" i="31"/>
  <c r="R210" i="31"/>
  <c r="S210" i="31" s="1"/>
  <c r="R211" i="31"/>
  <c r="S211" i="31" s="1"/>
  <c r="R212" i="31"/>
  <c r="R213" i="31"/>
  <c r="R214" i="31"/>
  <c r="R215" i="31"/>
  <c r="R216" i="31"/>
  <c r="R217" i="31"/>
  <c r="S217" i="31" s="1"/>
  <c r="R218" i="31"/>
  <c r="R219" i="31"/>
  <c r="R220" i="31"/>
  <c r="R221" i="31"/>
  <c r="R222" i="31"/>
  <c r="S222" i="31" s="1"/>
  <c r="R223" i="31"/>
  <c r="S223" i="31" s="1"/>
  <c r="R224" i="31"/>
  <c r="R225" i="31"/>
  <c r="R226" i="31"/>
  <c r="R227" i="31"/>
  <c r="R228" i="31"/>
  <c r="R229" i="31"/>
  <c r="S229" i="31" s="1"/>
  <c r="R230" i="31"/>
  <c r="R231" i="31"/>
  <c r="R232" i="31"/>
  <c r="S232" i="31" s="1"/>
  <c r="R233" i="31"/>
  <c r="S233" i="31" s="1"/>
  <c r="R234" i="31"/>
  <c r="R235" i="31"/>
  <c r="S235" i="31" s="1"/>
  <c r="R236" i="31"/>
  <c r="R237" i="31"/>
  <c r="R238" i="31"/>
  <c r="R239" i="31"/>
  <c r="R240" i="31"/>
  <c r="R241" i="31"/>
  <c r="S241" i="31" s="1"/>
  <c r="R242" i="31"/>
  <c r="R243" i="31"/>
  <c r="R244" i="31"/>
  <c r="S244" i="31" s="1"/>
  <c r="R245" i="31"/>
  <c r="S245" i="31" s="1"/>
  <c r="R246" i="31"/>
  <c r="R247" i="31"/>
  <c r="S247" i="31" s="1"/>
  <c r="R248" i="31"/>
  <c r="R249" i="31"/>
  <c r="R250" i="31"/>
  <c r="R251" i="31"/>
  <c r="R252" i="31"/>
  <c r="R253" i="31"/>
  <c r="S253" i="31" s="1"/>
  <c r="R254" i="31"/>
  <c r="R255" i="31"/>
  <c r="S255" i="31" s="1"/>
  <c r="R256" i="31"/>
  <c r="R257" i="31"/>
  <c r="S257" i="31" s="1"/>
  <c r="R258" i="31"/>
  <c r="S258" i="31" s="1"/>
  <c r="R259" i="31"/>
  <c r="S259" i="31" s="1"/>
  <c r="R260" i="31"/>
  <c r="R261" i="31"/>
  <c r="S261" i="31" s="1"/>
  <c r="R262" i="31"/>
  <c r="R263" i="31"/>
  <c r="S263" i="31" s="1"/>
  <c r="R264" i="31"/>
  <c r="R265" i="31"/>
  <c r="S265" i="31" s="1"/>
  <c r="R266" i="31"/>
  <c r="R267" i="31"/>
  <c r="S267" i="31" s="1"/>
  <c r="R268" i="31"/>
  <c r="R269" i="31"/>
  <c r="S269" i="31" s="1"/>
  <c r="R270" i="31"/>
  <c r="S270" i="31" s="1"/>
  <c r="R271" i="31"/>
  <c r="S271" i="31" s="1"/>
  <c r="R272" i="31"/>
  <c r="R273" i="31"/>
  <c r="S273" i="31" s="1"/>
  <c r="R274" i="31"/>
  <c r="R275" i="31"/>
  <c r="S275" i="31" s="1"/>
  <c r="R276" i="31"/>
  <c r="R277" i="31"/>
  <c r="S277" i="31" s="1"/>
  <c r="R278" i="31"/>
  <c r="R279" i="31"/>
  <c r="S279" i="31" s="1"/>
  <c r="R280" i="31"/>
  <c r="R281" i="31"/>
  <c r="S281" i="31" s="1"/>
  <c r="R282" i="31"/>
  <c r="S282" i="31" s="1"/>
  <c r="R283" i="31"/>
  <c r="S283" i="31" s="1"/>
  <c r="R284" i="31"/>
  <c r="R285" i="31"/>
  <c r="S285" i="3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S300" i="31" s="1"/>
  <c r="R301" i="31"/>
  <c r="S301" i="31" s="1"/>
  <c r="R302" i="31"/>
  <c r="R303" i="31"/>
  <c r="S303" i="31" s="1"/>
  <c r="R304" i="31"/>
  <c r="R305" i="31"/>
  <c r="S305" i="31" s="1"/>
  <c r="R306" i="31"/>
  <c r="S306" i="31" s="1"/>
  <c r="R307" i="31"/>
  <c r="S307" i="31" s="1"/>
  <c r="R308" i="31"/>
  <c r="R309" i="31"/>
  <c r="S309" i="31" s="1"/>
  <c r="R310" i="31"/>
  <c r="R311" i="31"/>
  <c r="S311" i="31" s="1"/>
  <c r="R312" i="31"/>
  <c r="S312" i="31" s="1"/>
  <c r="R313" i="31"/>
  <c r="S313" i="31" s="1"/>
  <c r="R314" i="31"/>
  <c r="R315" i="31"/>
  <c r="S315" i="31" s="1"/>
  <c r="R316" i="31"/>
  <c r="R317" i="31"/>
  <c r="S317" i="31" s="1"/>
  <c r="R318" i="31"/>
  <c r="S318" i="31" s="1"/>
  <c r="R319" i="31"/>
  <c r="S319" i="31" s="1"/>
  <c r="R320" i="31"/>
  <c r="R321" i="31"/>
  <c r="S321" i="31" s="1"/>
  <c r="R322" i="31"/>
  <c r="R323" i="31"/>
  <c r="S323" i="31" s="1"/>
  <c r="R324" i="31"/>
  <c r="S324" i="31" s="1"/>
  <c r="R325" i="31"/>
  <c r="S325" i="31" s="1"/>
  <c r="R326" i="31"/>
  <c r="R327" i="31"/>
  <c r="S327" i="31" s="1"/>
  <c r="R328" i="31"/>
  <c r="S328" i="31" s="1"/>
  <c r="R329" i="31"/>
  <c r="S329" i="31" s="1"/>
  <c r="R330" i="31"/>
  <c r="S330" i="31" s="1"/>
  <c r="R331" i="31"/>
  <c r="S331" i="31" s="1"/>
  <c r="R332" i="31"/>
  <c r="R333" i="31"/>
  <c r="S333" i="31" s="1"/>
  <c r="R334" i="31"/>
  <c r="R335" i="31"/>
  <c r="S335" i="31" s="1"/>
  <c r="R336" i="31"/>
  <c r="S336" i="31" s="1"/>
  <c r="R337" i="31"/>
  <c r="S337" i="31" s="1"/>
  <c r="R338" i="31"/>
  <c r="R339" i="31"/>
  <c r="S339" i="31" s="1"/>
  <c r="R340" i="31"/>
  <c r="R341" i="31"/>
  <c r="S341" i="31" s="1"/>
  <c r="R342" i="31"/>
  <c r="S342" i="31" s="1"/>
  <c r="R343" i="31"/>
  <c r="S343" i="31" s="1"/>
  <c r="R344" i="31"/>
  <c r="R345" i="31"/>
  <c r="S345" i="31" s="1"/>
  <c r="R346" i="31"/>
  <c r="R347" i="31"/>
  <c r="S347" i="31" s="1"/>
  <c r="R348" i="31"/>
  <c r="S348" i="31" s="1"/>
  <c r="R349" i="31"/>
  <c r="S349" i="31" s="1"/>
  <c r="R350" i="31"/>
  <c r="R351" i="31"/>
  <c r="S351" i="31" s="1"/>
  <c r="R352" i="31"/>
  <c r="S352" i="31" s="1"/>
  <c r="R353" i="31"/>
  <c r="S353" i="31" s="1"/>
  <c r="R354" i="31"/>
  <c r="S354" i="31" s="1"/>
  <c r="R355" i="31"/>
  <c r="S355" i="31" s="1"/>
  <c r="R356" i="31"/>
  <c r="R357" i="31"/>
  <c r="S357" i="31" s="1"/>
  <c r="R358" i="31"/>
  <c r="R359" i="31"/>
  <c r="S359" i="31" s="1"/>
  <c r="R360" i="31"/>
  <c r="S360" i="31" s="1"/>
  <c r="R361" i="31"/>
  <c r="S361" i="31" s="1"/>
  <c r="R362" i="31"/>
  <c r="R363" i="31"/>
  <c r="S363" i="31" s="1"/>
  <c r="R364" i="31"/>
  <c r="R365" i="31"/>
  <c r="S365" i="31" s="1"/>
  <c r="R366" i="31"/>
  <c r="R367" i="31"/>
  <c r="S367" i="31" s="1"/>
  <c r="R368" i="31"/>
  <c r="R369" i="31"/>
  <c r="S369" i="31" s="1"/>
  <c r="R370" i="31"/>
  <c r="R371" i="31"/>
  <c r="S371" i="31" s="1"/>
  <c r="R372" i="31"/>
  <c r="S372" i="31" s="1"/>
  <c r="R373" i="31"/>
  <c r="S373" i="31" s="1"/>
  <c r="R374" i="31"/>
  <c r="S374" i="31" s="1"/>
  <c r="R375" i="31"/>
  <c r="S375" i="31" s="1"/>
  <c r="R376" i="31"/>
  <c r="S376" i="31" s="1"/>
  <c r="R377" i="31"/>
  <c r="S377" i="31" s="1"/>
  <c r="R378" i="31"/>
  <c r="R379" i="31"/>
  <c r="S379" i="31" s="1"/>
  <c r="R380" i="31"/>
  <c r="R381" i="31"/>
  <c r="S381" i="31" s="1"/>
  <c r="R382" i="31"/>
  <c r="R383" i="31"/>
  <c r="S383" i="31" s="1"/>
  <c r="R384" i="31"/>
  <c r="S384" i="31" s="1"/>
  <c r="R385" i="31"/>
  <c r="S385" i="31" s="1"/>
  <c r="R386" i="31"/>
  <c r="R387" i="31"/>
  <c r="S387" i="31" s="1"/>
  <c r="R388" i="31"/>
  <c r="R389" i="31"/>
  <c r="S389" i="31" s="1"/>
  <c r="R390" i="31"/>
  <c r="R391" i="31"/>
  <c r="S391" i="31" s="1"/>
  <c r="R392" i="31"/>
  <c r="R393" i="31"/>
  <c r="S393" i="31" s="1"/>
  <c r="R394" i="31"/>
  <c r="R395" i="31"/>
  <c r="S395" i="31" s="1"/>
  <c r="R396" i="31"/>
  <c r="S396" i="31" s="1"/>
  <c r="R397" i="31"/>
  <c r="S397" i="31" s="1"/>
  <c r="R398" i="31"/>
  <c r="S398" i="31" s="1"/>
  <c r="R399" i="31"/>
  <c r="S399" i="31" s="1"/>
  <c r="R400" i="31"/>
  <c r="S400" i="31" s="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S420" i="31" s="1"/>
  <c r="R421" i="31"/>
  <c r="S421" i="31" s="1"/>
  <c r="R422" i="31"/>
  <c r="R423" i="31"/>
  <c r="S423" i="31" s="1"/>
  <c r="R424" i="31"/>
  <c r="R425" i="31"/>
  <c r="R426" i="31"/>
  <c r="R427" i="31"/>
  <c r="R428" i="31"/>
  <c r="R429" i="31"/>
  <c r="R430" i="31"/>
  <c r="R431" i="31"/>
  <c r="S431" i="31" s="1"/>
  <c r="R432" i="31"/>
  <c r="S432" i="31" s="1"/>
  <c r="R433" i="31"/>
  <c r="R434" i="31"/>
  <c r="S434" i="31" s="1"/>
  <c r="R435" i="31"/>
  <c r="R436" i="31"/>
  <c r="S436" i="31" s="1"/>
  <c r="R437" i="31"/>
  <c r="R438" i="31"/>
  <c r="R439" i="31"/>
  <c r="R440" i="31"/>
  <c r="R441" i="31"/>
  <c r="R442" i="31"/>
  <c r="R443" i="31"/>
  <c r="R444" i="31"/>
  <c r="S444" i="31" s="1"/>
  <c r="R445" i="31"/>
  <c r="R446" i="31"/>
  <c r="S446" i="31" s="1"/>
  <c r="R447" i="31"/>
  <c r="R448" i="31"/>
  <c r="R449" i="31"/>
  <c r="R450" i="31"/>
  <c r="R451" i="31"/>
  <c r="R452" i="31"/>
  <c r="R453" i="31"/>
  <c r="R454" i="31"/>
  <c r="R455" i="31"/>
  <c r="R456" i="31"/>
  <c r="S456" i="31" s="1"/>
  <c r="R457" i="31"/>
  <c r="R458" i="31"/>
  <c r="R459" i="31"/>
  <c r="R460" i="31"/>
  <c r="S460" i="31" s="1"/>
  <c r="R461" i="31"/>
  <c r="R462" i="31"/>
  <c r="R463" i="31"/>
  <c r="R464" i="31"/>
  <c r="R465" i="31"/>
  <c r="R466" i="31"/>
  <c r="R467" i="31"/>
  <c r="R468" i="31"/>
  <c r="S468" i="31" s="1"/>
  <c r="R469" i="31"/>
  <c r="R470" i="31"/>
  <c r="R471" i="31"/>
  <c r="S471" i="31" s="1"/>
  <c r="R472" i="31"/>
  <c r="R473" i="31"/>
  <c r="R474" i="31"/>
  <c r="R475" i="31"/>
  <c r="R476" i="31"/>
  <c r="R477" i="31"/>
  <c r="R478" i="31"/>
  <c r="R479" i="31"/>
  <c r="R480" i="31"/>
  <c r="S480" i="31" s="1"/>
  <c r="R481" i="31"/>
  <c r="R482" i="31"/>
  <c r="S482" i="31" s="1"/>
  <c r="R483" i="31"/>
  <c r="S483" i="31" s="1"/>
  <c r="R484" i="31"/>
  <c r="S484" i="31" s="1"/>
  <c r="R485" i="31"/>
  <c r="R486" i="31"/>
  <c r="R487" i="31"/>
  <c r="R488" i="31"/>
  <c r="R489" i="31"/>
  <c r="R490" i="31"/>
  <c r="R491" i="31"/>
  <c r="R492" i="31"/>
  <c r="S492" i="31" s="1"/>
  <c r="R493" i="31"/>
  <c r="R494" i="31"/>
  <c r="R495" i="31"/>
  <c r="S495" i="31" s="1"/>
  <c r="R496" i="31"/>
  <c r="R497" i="31"/>
  <c r="S497" i="31" s="1"/>
  <c r="R498" i="31"/>
  <c r="R499" i="31"/>
  <c r="R500" i="31"/>
  <c r="R501" i="31"/>
  <c r="R502" i="31"/>
  <c r="R503" i="31"/>
  <c r="R504" i="31"/>
  <c r="S504" i="31" s="1"/>
  <c r="R505" i="31"/>
  <c r="R506" i="31"/>
  <c r="S506" i="31" s="1"/>
  <c r="R507" i="31"/>
  <c r="R508" i="31"/>
  <c r="S508" i="31" s="1"/>
  <c r="R509" i="31"/>
  <c r="S509" i="31" s="1"/>
  <c r="R510" i="31"/>
  <c r="R511" i="31"/>
  <c r="R512" i="31"/>
  <c r="R513" i="31"/>
  <c r="R514" i="31"/>
  <c r="R515" i="31"/>
  <c r="R516" i="31"/>
  <c r="R517" i="31"/>
  <c r="R518" i="31"/>
  <c r="R519" i="31"/>
  <c r="S519" i="31" s="1"/>
  <c r="R520" i="31"/>
  <c r="S520" i="31" s="1"/>
  <c r="R521" i="31"/>
  <c r="S521" i="31" s="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G16" i="3" s="1"/>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2" i="31"/>
  <c r="S410" i="31"/>
  <c r="S408" i="31"/>
  <c r="S406" i="31"/>
  <c r="S404" i="31"/>
  <c r="S402" i="31"/>
  <c r="S394" i="31"/>
  <c r="S392" i="31"/>
  <c r="S390" i="31"/>
  <c r="S388" i="31"/>
  <c r="S386" i="31"/>
  <c r="S382" i="31"/>
  <c r="S380" i="31"/>
  <c r="S378" i="31"/>
  <c r="S370" i="31"/>
  <c r="S368" i="31"/>
  <c r="S366" i="31"/>
  <c r="S364" i="31"/>
  <c r="S362" i="31"/>
  <c r="S358" i="31"/>
  <c r="S356" i="31"/>
  <c r="S350" i="31"/>
  <c r="S346" i="31"/>
  <c r="S344" i="31"/>
  <c r="S340" i="31"/>
  <c r="S338" i="31"/>
  <c r="S334" i="31"/>
  <c r="S332" i="31"/>
  <c r="S326" i="31"/>
  <c r="S322" i="31"/>
  <c r="S424" i="31"/>
  <c r="S320" i="31"/>
  <c r="S316" i="31"/>
  <c r="S314" i="31"/>
  <c r="S310" i="31"/>
  <c r="S308" i="31"/>
  <c r="S304" i="31"/>
  <c r="S302" i="31"/>
  <c r="S298" i="31"/>
  <c r="S296" i="31"/>
  <c r="S294" i="31"/>
  <c r="S292" i="31"/>
  <c r="S290" i="31"/>
  <c r="S286" i="31"/>
  <c r="S284" i="31"/>
  <c r="S280" i="31"/>
  <c r="S278" i="31"/>
  <c r="S276" i="31"/>
  <c r="S274" i="31"/>
  <c r="S272" i="31"/>
  <c r="S268" i="31"/>
  <c r="S266" i="31"/>
  <c r="S264" i="31"/>
  <c r="S262" i="31"/>
  <c r="S260" i="31"/>
  <c r="S256" i="31"/>
  <c r="S254" i="31"/>
  <c r="S252" i="31"/>
  <c r="S251" i="31"/>
  <c r="S250" i="31"/>
  <c r="S249" i="31"/>
  <c r="S248" i="31"/>
  <c r="S246" i="31"/>
  <c r="S243" i="31"/>
  <c r="S242" i="31"/>
  <c r="S240" i="31"/>
  <c r="S239" i="31"/>
  <c r="S238" i="31"/>
  <c r="S237" i="31"/>
  <c r="S236" i="31"/>
  <c r="S234" i="31"/>
  <c r="S231" i="31"/>
  <c r="S230" i="31"/>
  <c r="S228" i="31"/>
  <c r="S227" i="31"/>
  <c r="S226" i="31"/>
  <c r="S225" i="31"/>
  <c r="S224" i="31"/>
  <c r="S429" i="31"/>
  <c r="S428" i="31"/>
  <c r="S427" i="31"/>
  <c r="S426" i="31"/>
  <c r="S425" i="31"/>
  <c r="S221" i="31"/>
  <c r="S220" i="31"/>
  <c r="S219" i="31"/>
  <c r="S218" i="31"/>
  <c r="S216" i="31"/>
  <c r="S215" i="31"/>
  <c r="S214" i="31"/>
  <c r="S213" i="31"/>
  <c r="S212" i="31"/>
  <c r="S209" i="31"/>
  <c r="S207" i="31"/>
  <c r="S204" i="31"/>
  <c r="S203" i="31"/>
  <c r="S202" i="31"/>
  <c r="S201" i="31"/>
  <c r="S200" i="31"/>
  <c r="S199" i="31"/>
  <c r="S197" i="31"/>
  <c r="S196" i="31"/>
  <c r="S195" i="31"/>
  <c r="S194" i="31"/>
  <c r="S192" i="31"/>
  <c r="S191" i="31"/>
  <c r="S190" i="31"/>
  <c r="S189" i="31"/>
  <c r="S188" i="31"/>
  <c r="S187" i="31"/>
  <c r="S185" i="31"/>
  <c r="S184" i="31"/>
  <c r="S183" i="31"/>
  <c r="S182" i="31"/>
  <c r="S180" i="31"/>
  <c r="S179" i="31"/>
  <c r="S178" i="31"/>
  <c r="S177" i="31"/>
  <c r="S176" i="31"/>
  <c r="S173" i="31"/>
  <c r="S172" i="31"/>
  <c r="S171" i="31"/>
  <c r="S170" i="31"/>
  <c r="S168" i="31"/>
  <c r="S167" i="31"/>
  <c r="S166" i="31"/>
  <c r="S165" i="31"/>
  <c r="S164" i="31"/>
  <c r="S160" i="31"/>
  <c r="S159" i="31"/>
  <c r="S158" i="31"/>
  <c r="S156" i="31"/>
  <c r="S155" i="31"/>
  <c r="S154" i="31"/>
  <c r="S153" i="31"/>
  <c r="S152" i="31"/>
  <c r="S147" i="31"/>
  <c r="S146" i="31"/>
  <c r="S144" i="31"/>
  <c r="S143" i="31"/>
  <c r="S142" i="31"/>
  <c r="S141" i="31"/>
  <c r="S140" i="31"/>
  <c r="S139" i="31"/>
  <c r="S137" i="31"/>
  <c r="S135" i="31"/>
  <c r="S132" i="31"/>
  <c r="S131" i="31"/>
  <c r="S130" i="31"/>
  <c r="S129" i="31"/>
  <c r="S128" i="31"/>
  <c r="S125" i="31"/>
  <c r="S124" i="31"/>
  <c r="S123" i="31"/>
  <c r="S496" i="31"/>
  <c r="S494" i="31"/>
  <c r="S493" i="31"/>
  <c r="S491" i="31"/>
  <c r="S490" i="31"/>
  <c r="S489" i="31"/>
  <c r="S488" i="31"/>
  <c r="S487" i="31"/>
  <c r="S486" i="31"/>
  <c r="S485" i="31"/>
  <c r="S481" i="31"/>
  <c r="S479" i="31"/>
  <c r="S478" i="31"/>
  <c r="S477" i="31"/>
  <c r="S476" i="31"/>
  <c r="S475" i="31"/>
  <c r="S474" i="31"/>
  <c r="S473" i="31"/>
  <c r="S472" i="31"/>
  <c r="S470" i="31"/>
  <c r="S469" i="31"/>
  <c r="S443" i="31"/>
  <c r="S442" i="31"/>
  <c r="S441" i="31"/>
  <c r="S440" i="31"/>
  <c r="S439" i="31"/>
  <c r="S438" i="31"/>
  <c r="S437" i="31"/>
  <c r="S435" i="31"/>
  <c r="S433" i="31"/>
  <c r="S430" i="31"/>
  <c r="S122" i="31"/>
  <c r="S120" i="31"/>
  <c r="S119" i="31"/>
  <c r="S118" i="31"/>
  <c r="S117" i="31"/>
  <c r="S116" i="31"/>
  <c r="S113" i="31"/>
  <c r="S112" i="31"/>
  <c r="S502" i="31"/>
  <c r="S500" i="31"/>
  <c r="S498" i="31"/>
  <c r="S467" i="31"/>
  <c r="S466" i="31"/>
  <c r="S465" i="31"/>
  <c r="S464" i="31"/>
  <c r="S463" i="31"/>
  <c r="S462" i="31"/>
  <c r="S461" i="31"/>
  <c r="S459" i="31"/>
  <c r="S458" i="31"/>
  <c r="S457" i="31"/>
  <c r="S455" i="31"/>
  <c r="S454" i="31"/>
  <c r="S453" i="31"/>
  <c r="S452" i="31"/>
  <c r="S451" i="31"/>
  <c r="S450" i="31"/>
  <c r="S52" i="31"/>
  <c r="S51" i="31"/>
  <c r="S50" i="31"/>
  <c r="S48" i="31"/>
  <c r="S47" i="31"/>
  <c r="S46" i="31"/>
  <c r="S45" i="31"/>
  <c r="S44" i="31"/>
  <c r="S43" i="31"/>
  <c r="S42" i="31"/>
  <c r="S40" i="31"/>
  <c r="S39" i="31"/>
  <c r="S38" i="31"/>
  <c r="S36" i="31"/>
  <c r="S35" i="31"/>
  <c r="S34" i="31"/>
  <c r="S33" i="31"/>
  <c r="S32" i="31"/>
  <c r="S77" i="31"/>
  <c r="S76" i="31"/>
  <c r="S75" i="31"/>
  <c r="S74" i="31"/>
  <c r="S72" i="31"/>
  <c r="S71" i="31"/>
  <c r="S70" i="31"/>
  <c r="S69" i="31"/>
  <c r="S68" i="31"/>
  <c r="S65" i="31"/>
  <c r="S64" i="31"/>
  <c r="S63" i="31"/>
  <c r="S62" i="31"/>
  <c r="S60" i="31"/>
  <c r="S59" i="31"/>
  <c r="S58" i="31"/>
  <c r="S57" i="31"/>
  <c r="S56" i="31"/>
  <c r="S24" i="31"/>
  <c r="S96" i="31"/>
  <c r="S95" i="31"/>
  <c r="S94" i="31"/>
  <c r="S93" i="31"/>
  <c r="S92" i="31"/>
  <c r="S91" i="31"/>
  <c r="S88" i="31"/>
  <c r="S87" i="31"/>
  <c r="S84" i="31"/>
  <c r="S83" i="31"/>
  <c r="S82" i="31"/>
  <c r="S81" i="31"/>
  <c r="S80" i="31"/>
  <c r="S79" i="31"/>
  <c r="S78" i="31"/>
  <c r="S30" i="31"/>
  <c r="S99" i="31"/>
  <c r="S102" i="31"/>
  <c r="S104" i="31"/>
  <c r="S105" i="31"/>
  <c r="S106" i="31"/>
  <c r="S107" i="31"/>
  <c r="S108" i="31"/>
  <c r="S111" i="31"/>
  <c r="S445" i="31"/>
  <c r="S447" i="31"/>
  <c r="S448" i="31"/>
  <c r="S449" i="31"/>
  <c r="S507"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L493" i="3" s="1"/>
  <c r="BR493" i="3"/>
  <c r="BS493" i="3"/>
  <c r="BT493" i="3"/>
  <c r="H494" i="3"/>
  <c r="AC494" i="3"/>
  <c r="BB494" i="3"/>
  <c r="BC494" i="3"/>
  <c r="BD494" i="3"/>
  <c r="BE494" i="3"/>
  <c r="BF494" i="3"/>
  <c r="BG494" i="3"/>
  <c r="BH494" i="3"/>
  <c r="BA494" i="3" s="1"/>
  <c r="AZ494" i="3" s="1"/>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A496" i="3" s="1"/>
  <c r="AZ496" i="3" s="1"/>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A497" i="3" s="1"/>
  <c r="BJ497" i="3"/>
  <c r="BK497" i="3"/>
  <c r="BM497" i="3"/>
  <c r="BN497" i="3"/>
  <c r="BO497" i="3"/>
  <c r="BP497" i="3"/>
  <c r="BR497" i="3"/>
  <c r="BS497" i="3"/>
  <c r="BT497" i="3"/>
  <c r="H498" i="3"/>
  <c r="AC498" i="3"/>
  <c r="BB498" i="3"/>
  <c r="BA498" i="3" s="1"/>
  <c r="BC498" i="3"/>
  <c r="BD498" i="3"/>
  <c r="BE498" i="3"/>
  <c r="BF498" i="3"/>
  <c r="BG498" i="3"/>
  <c r="BH498" i="3"/>
  <c r="BI498" i="3"/>
  <c r="BJ498" i="3"/>
  <c r="BK498" i="3"/>
  <c r="BM498" i="3"/>
  <c r="BN498" i="3"/>
  <c r="BO498" i="3"/>
  <c r="BL498" i="3" s="1"/>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A505" i="3" s="1"/>
  <c r="BJ505" i="3"/>
  <c r="BK505" i="3"/>
  <c r="BM505" i="3"/>
  <c r="BN505" i="3"/>
  <c r="BO505" i="3"/>
  <c r="BP505" i="3"/>
  <c r="BR505" i="3"/>
  <c r="BS505" i="3"/>
  <c r="BT505" i="3"/>
  <c r="H506" i="3"/>
  <c r="AC506" i="3"/>
  <c r="BB506" i="3"/>
  <c r="BA506" i="3" s="1"/>
  <c r="AZ506" i="3" s="1"/>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A509" i="3" s="1"/>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L512" i="3" s="1"/>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A514" i="3" s="1"/>
  <c r="AZ514" i="3" s="1"/>
  <c r="BD514" i="3"/>
  <c r="BE514" i="3"/>
  <c r="BF514" i="3"/>
  <c r="BG514" i="3"/>
  <c r="BH514" i="3"/>
  <c r="BI514" i="3"/>
  <c r="BJ514" i="3"/>
  <c r="BK514" i="3"/>
  <c r="BM514" i="3"/>
  <c r="BN514" i="3"/>
  <c r="BO514" i="3"/>
  <c r="BP514" i="3"/>
  <c r="BL514" i="3" s="1"/>
  <c r="BQ514" i="3"/>
  <c r="BR514" i="3"/>
  <c r="BS514" i="3"/>
  <c r="BT514" i="3"/>
  <c r="H515" i="3"/>
  <c r="AC515" i="3"/>
  <c r="BB515" i="3"/>
  <c r="BC515" i="3"/>
  <c r="BD515" i="3"/>
  <c r="BE515" i="3"/>
  <c r="BF515" i="3"/>
  <c r="BG515" i="3"/>
  <c r="BA515" i="3" s="1"/>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L516" i="3" s="1"/>
  <c r="BN516" i="3"/>
  <c r="BO516" i="3"/>
  <c r="BP516" i="3"/>
  <c r="BQ516" i="3"/>
  <c r="BR516" i="3"/>
  <c r="BS516" i="3"/>
  <c r="BT516" i="3"/>
  <c r="H517" i="3"/>
  <c r="AC517" i="3"/>
  <c r="BB517" i="3"/>
  <c r="BC517" i="3"/>
  <c r="BD517" i="3"/>
  <c r="BA517" i="3" s="1"/>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A520" i="3" s="1"/>
  <c r="BG520" i="3"/>
  <c r="BH520" i="3"/>
  <c r="BI520" i="3"/>
  <c r="BJ520" i="3"/>
  <c r="BK520" i="3"/>
  <c r="BM520" i="3"/>
  <c r="BN520" i="3"/>
  <c r="BO520" i="3"/>
  <c r="BP520" i="3"/>
  <c r="BQ520" i="3"/>
  <c r="BR520" i="3"/>
  <c r="BS520" i="3"/>
  <c r="BL520" i="3" s="1"/>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A522" i="3" s="1"/>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L524" i="3" s="1"/>
  <c r="BO524" i="3"/>
  <c r="BP524" i="3"/>
  <c r="BQ524" i="3"/>
  <c r="BR524" i="3"/>
  <c r="BS524" i="3"/>
  <c r="BT524" i="3"/>
  <c r="H525" i="3"/>
  <c r="AC525" i="3"/>
  <c r="BB525" i="3"/>
  <c r="BC525" i="3"/>
  <c r="BD525" i="3"/>
  <c r="BE525" i="3"/>
  <c r="BA525" i="3" s="1"/>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A526" i="3" s="1"/>
  <c r="BK526" i="3"/>
  <c r="BM526" i="3"/>
  <c r="BN526" i="3"/>
  <c r="BO526" i="3"/>
  <c r="BP526" i="3"/>
  <c r="BQ526" i="3"/>
  <c r="BR526" i="3"/>
  <c r="BS526" i="3"/>
  <c r="BT526" i="3"/>
  <c r="H527" i="3"/>
  <c r="AC527" i="3"/>
  <c r="BB527" i="3"/>
  <c r="BA527" i="3" s="1"/>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BL528" i="3" s="1"/>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A531" i="3" s="1"/>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L532" i="3" s="1"/>
  <c r="AZ532" i="3" s="1"/>
  <c r="BO532" i="3"/>
  <c r="BP532" i="3"/>
  <c r="BQ532" i="3"/>
  <c r="BR532" i="3"/>
  <c r="BS532" i="3"/>
  <c r="BT532" i="3"/>
  <c r="H533" i="3"/>
  <c r="AC533" i="3"/>
  <c r="BB533" i="3"/>
  <c r="BC533" i="3"/>
  <c r="BD533" i="3"/>
  <c r="BE533" i="3"/>
  <c r="BA533" i="3" s="1"/>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A535" i="3" s="1"/>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BL536" i="3" s="1"/>
  <c r="H537" i="3"/>
  <c r="AC537" i="3"/>
  <c r="BB537" i="3"/>
  <c r="BC537" i="3"/>
  <c r="BD537" i="3"/>
  <c r="BE537" i="3"/>
  <c r="BF537" i="3"/>
  <c r="BG537" i="3"/>
  <c r="BH537" i="3"/>
  <c r="BI537" i="3"/>
  <c r="BJ537" i="3"/>
  <c r="BK537" i="3"/>
  <c r="BA537" i="3" s="1"/>
  <c r="BM537" i="3"/>
  <c r="BN537" i="3"/>
  <c r="BO537" i="3"/>
  <c r="BP537" i="3"/>
  <c r="BR537" i="3"/>
  <c r="BS537" i="3"/>
  <c r="BT537" i="3"/>
  <c r="H538" i="3"/>
  <c r="AC538" i="3"/>
  <c r="BB538" i="3"/>
  <c r="BC538" i="3"/>
  <c r="BD538" i="3"/>
  <c r="BA538" i="3" s="1"/>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L540" i="3" s="1"/>
  <c r="BO540" i="3"/>
  <c r="BP540" i="3"/>
  <c r="BQ540" i="3"/>
  <c r="BR540" i="3"/>
  <c r="BS540" i="3"/>
  <c r="BT540" i="3"/>
  <c r="H541" i="3"/>
  <c r="AC541" i="3"/>
  <c r="BB541" i="3"/>
  <c r="BC541" i="3"/>
  <c r="BD541" i="3"/>
  <c r="BE541" i="3"/>
  <c r="BA541" i="3" s="1"/>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A543" i="3" s="1"/>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A546" i="3" s="1"/>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A547" i="3" s="1"/>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A549" i="3" s="1"/>
  <c r="BF549" i="3"/>
  <c r="BG549" i="3"/>
  <c r="BH549" i="3"/>
  <c r="BI549" i="3"/>
  <c r="BJ549" i="3"/>
  <c r="BK549" i="3"/>
  <c r="BM549" i="3"/>
  <c r="BN549" i="3"/>
  <c r="BO549" i="3"/>
  <c r="BP549" i="3"/>
  <c r="BR549" i="3"/>
  <c r="BS549" i="3"/>
  <c r="BL549" i="3" s="1"/>
  <c r="AZ549" i="3" s="1"/>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A552" i="3" s="1"/>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A553" i="3" s="1"/>
  <c r="AZ553" i="3" s="1"/>
  <c r="BM553" i="3"/>
  <c r="BN553" i="3"/>
  <c r="BO553" i="3"/>
  <c r="BP553" i="3"/>
  <c r="BR553" i="3"/>
  <c r="BS553" i="3"/>
  <c r="BT553" i="3"/>
  <c r="H554" i="3"/>
  <c r="G554" i="3" s="1"/>
  <c r="AC554" i="3"/>
  <c r="BB554" i="3"/>
  <c r="BC554" i="3"/>
  <c r="BD554" i="3"/>
  <c r="BA554" i="3" s="1"/>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A555" i="3" s="1"/>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A557" i="3" s="1"/>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A558" i="3" s="1"/>
  <c r="AZ558" i="3" s="1"/>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A560" i="3" s="1"/>
  <c r="AZ560" i="3" s="1"/>
  <c r="BI560" i="3"/>
  <c r="BJ560" i="3"/>
  <c r="BK560" i="3"/>
  <c r="BM560" i="3"/>
  <c r="BL560" i="3" s="1"/>
  <c r="BN560" i="3"/>
  <c r="BO560" i="3"/>
  <c r="BP560" i="3"/>
  <c r="BQ560" i="3"/>
  <c r="BR560" i="3"/>
  <c r="BS560" i="3"/>
  <c r="BT560" i="3"/>
  <c r="H561" i="3"/>
  <c r="G561" i="3" s="1"/>
  <c r="AC561" i="3"/>
  <c r="BB561" i="3"/>
  <c r="BC561" i="3"/>
  <c r="BD561" i="3"/>
  <c r="BE561" i="3"/>
  <c r="BF561" i="3"/>
  <c r="BG561" i="3"/>
  <c r="BH561" i="3"/>
  <c r="BI561" i="3"/>
  <c r="BJ561" i="3"/>
  <c r="BK561" i="3"/>
  <c r="BM561" i="3"/>
  <c r="BL561" i="3" s="1"/>
  <c r="BN561" i="3"/>
  <c r="BO561" i="3"/>
  <c r="BP561" i="3"/>
  <c r="BR561" i="3"/>
  <c r="BS561" i="3"/>
  <c r="BT561" i="3"/>
  <c r="H562" i="3"/>
  <c r="AC562" i="3"/>
  <c r="BB562" i="3"/>
  <c r="BC562" i="3"/>
  <c r="BD562" i="3"/>
  <c r="BE562" i="3"/>
  <c r="BA562" i="3" s="1"/>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A564" i="3" s="1"/>
  <c r="BC564" i="3"/>
  <c r="BD564" i="3"/>
  <c r="BE564" i="3"/>
  <c r="BF564" i="3"/>
  <c r="BG564" i="3"/>
  <c r="BH564" i="3"/>
  <c r="BI564" i="3"/>
  <c r="BJ564" i="3"/>
  <c r="BK564" i="3"/>
  <c r="BM564" i="3"/>
  <c r="BN564" i="3"/>
  <c r="BO564" i="3"/>
  <c r="BL564" i="3" s="1"/>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A567" i="3" s="1"/>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A570" i="3" s="1"/>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A572" i="3" s="1"/>
  <c r="BC572" i="3"/>
  <c r="BD572" i="3"/>
  <c r="BE572" i="3"/>
  <c r="BF572" i="3"/>
  <c r="BG572" i="3"/>
  <c r="BH572" i="3"/>
  <c r="BI572" i="3"/>
  <c r="BJ572" i="3"/>
  <c r="BK572" i="3"/>
  <c r="BM572" i="3"/>
  <c r="BN572" i="3"/>
  <c r="BL572" i="3" s="1"/>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L574" i="3" s="1"/>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A576" i="3" s="1"/>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L578" i="3" s="1"/>
  <c r="BR578" i="3"/>
  <c r="BS578" i="3"/>
  <c r="BT578" i="3"/>
  <c r="H579" i="3"/>
  <c r="G579" i="3" s="1"/>
  <c r="AC579" i="3"/>
  <c r="BB579" i="3"/>
  <c r="BC579" i="3"/>
  <c r="BD579" i="3"/>
  <c r="BE579" i="3"/>
  <c r="BF579" i="3"/>
  <c r="BG579" i="3"/>
  <c r="BH579" i="3"/>
  <c r="BI579" i="3"/>
  <c r="BA579" i="3" s="1"/>
  <c r="BJ579" i="3"/>
  <c r="BK579" i="3"/>
  <c r="BM579" i="3"/>
  <c r="BN579" i="3"/>
  <c r="BO579" i="3"/>
  <c r="BP579" i="3"/>
  <c r="BR579" i="3"/>
  <c r="BS579" i="3"/>
  <c r="BT579" i="3"/>
  <c r="H580" i="3"/>
  <c r="AC580" i="3"/>
  <c r="G580" i="3" s="1"/>
  <c r="BB580" i="3"/>
  <c r="BA580" i="3" s="1"/>
  <c r="BC580" i="3"/>
  <c r="BD580" i="3"/>
  <c r="BE580" i="3"/>
  <c r="BF580" i="3"/>
  <c r="BG580" i="3"/>
  <c r="BH580" i="3"/>
  <c r="BI580" i="3"/>
  <c r="BJ580" i="3"/>
  <c r="BK580" i="3"/>
  <c r="BM580" i="3"/>
  <c r="BN580" i="3"/>
  <c r="BL580" i="3" s="1"/>
  <c r="BO580" i="3"/>
  <c r="BP580" i="3"/>
  <c r="BQ580" i="3"/>
  <c r="BR580" i="3"/>
  <c r="BS580" i="3"/>
  <c r="BT580" i="3"/>
  <c r="H581" i="3"/>
  <c r="AC581" i="3"/>
  <c r="BB581" i="3"/>
  <c r="BC581" i="3"/>
  <c r="BD581" i="3"/>
  <c r="BE581" i="3"/>
  <c r="BF581" i="3"/>
  <c r="BA581" i="3" s="1"/>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A583" i="3" s="1"/>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U30" i="36" s="1"/>
  <c r="F30" i="36"/>
  <c r="AA30" i="36" s="1"/>
  <c r="C26" i="35"/>
  <c r="C79" i="35" s="1"/>
  <c r="J31" i="35"/>
  <c r="H31" i="35"/>
  <c r="U31" i="35" s="1"/>
  <c r="F31" i="35"/>
  <c r="AA31" i="35" s="1"/>
  <c r="D87" i="35"/>
  <c r="E87" i="35" s="1"/>
  <c r="F87" i="35" s="1"/>
  <c r="G87" i="35" s="1"/>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J42" i="34"/>
  <c r="W42" i="34" s="1"/>
  <c r="F42" i="34"/>
  <c r="AA42" i="34" s="1"/>
  <c r="J38" i="34"/>
  <c r="W38" i="34" s="1"/>
  <c r="D114" i="34"/>
  <c r="E114" i="34" s="1"/>
  <c r="F114" i="34" s="1"/>
  <c r="G114" i="34" s="1"/>
  <c r="H114" i="34" s="1"/>
  <c r="I114" i="34" s="1"/>
  <c r="J114" i="34" s="1"/>
  <c r="K114" i="34" s="1"/>
  <c r="L114" i="34" s="1"/>
  <c r="M114" i="34" s="1"/>
  <c r="F38" i="34"/>
  <c r="AA38" i="34" s="1"/>
  <c r="D112" i="34"/>
  <c r="E112" i="34" s="1"/>
  <c r="F112" i="34" s="1"/>
  <c r="G112" i="34" s="1"/>
  <c r="H112" i="34" s="1"/>
  <c r="I112" i="34" s="1"/>
  <c r="J112" i="34" s="1"/>
  <c r="K112" i="34" s="1"/>
  <c r="L112" i="34" s="1"/>
  <c r="M112" i="34" s="1"/>
  <c r="F40" i="33"/>
  <c r="J41" i="33"/>
  <c r="D113" i="33"/>
  <c r="E113" i="33" s="1"/>
  <c r="F37" i="33"/>
  <c r="D111" i="33"/>
  <c r="E111" i="33"/>
  <c r="F111" i="33"/>
  <c r="G111" i="33" s="1"/>
  <c r="H111" i="33" s="1"/>
  <c r="I111" i="33" s="1"/>
  <c r="J111" i="33" s="1"/>
  <c r="K111" i="33" s="1"/>
  <c r="L111" i="33" s="1"/>
  <c r="M111" i="33" s="1"/>
  <c r="S515" i="31"/>
  <c r="S516" i="31"/>
  <c r="S517" i="31"/>
  <c r="S518"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F39" i="40" s="1"/>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s="1"/>
  <c r="F8" i="40"/>
  <c r="J38" i="39"/>
  <c r="W38" i="39" s="1"/>
  <c r="H38" i="39"/>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D94" i="39"/>
  <c r="E94" i="39" s="1"/>
  <c r="F94" i="39" s="1"/>
  <c r="G94" i="39" s="1"/>
  <c r="D92" i="39"/>
  <c r="E92" i="39" s="1"/>
  <c r="F92" i="39" s="1"/>
  <c r="G92" i="39" s="1"/>
  <c r="D90" i="39"/>
  <c r="E90" i="39" s="1"/>
  <c r="F90" i="39" s="1"/>
  <c r="G90" i="39" s="1"/>
  <c r="D88" i="39"/>
  <c r="E88" i="39" s="1"/>
  <c r="F88" i="39" s="1"/>
  <c r="G88" i="39" s="1"/>
  <c r="B85" i="39"/>
  <c r="J14" i="39" s="1"/>
  <c r="AC14" i="39" s="1"/>
  <c r="B83" i="39"/>
  <c r="B81" i="39"/>
  <c r="F12" i="39" s="1"/>
  <c r="S12" i="39" s="1"/>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H40" i="37" s="1"/>
  <c r="U40" i="37" s="1"/>
  <c r="D107" i="37"/>
  <c r="E107" i="37" s="1"/>
  <c r="D105" i="37"/>
  <c r="E105" i="37" s="1"/>
  <c r="D103" i="37"/>
  <c r="J35" i="37"/>
  <c r="W35" i="37" s="1"/>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B86" i="37"/>
  <c r="B84" i="37"/>
  <c r="B82" i="37"/>
  <c r="H26" i="37" s="1"/>
  <c r="D79" i="37"/>
  <c r="E79" i="37" s="1"/>
  <c r="D75" i="37"/>
  <c r="E75" i="37" s="1"/>
  <c r="D73" i="37"/>
  <c r="E73" i="37" s="1"/>
  <c r="F73" i="37"/>
  <c r="G73" i="37" s="1"/>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H30" i="37"/>
  <c r="AB30" i="37" s="1"/>
  <c r="F30" i="37"/>
  <c r="AA30" i="37" s="1"/>
  <c r="Q29" i="37"/>
  <c r="Z29" i="37"/>
  <c r="H29" i="37"/>
  <c r="AB29" i="37" s="1"/>
  <c r="Q28" i="37"/>
  <c r="Z28" i="37" s="1"/>
  <c r="Q27" i="37"/>
  <c r="Z27" i="37" s="1"/>
  <c r="Q26" i="37"/>
  <c r="Z26" i="37" s="1"/>
  <c r="AB26" i="37"/>
  <c r="Q25" i="37"/>
  <c r="Z25" i="37" s="1"/>
  <c r="J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J33" i="36" s="1"/>
  <c r="AC33" i="36" s="1"/>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Q20" i="36"/>
  <c r="Z20" i="36" s="1"/>
  <c r="Q16" i="36"/>
  <c r="Z16" i="36"/>
  <c r="Q14" i="36"/>
  <c r="Z14" i="36" s="1"/>
  <c r="Q13" i="36"/>
  <c r="Z13" i="36"/>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J35" i="35" s="1"/>
  <c r="AC35" i="35" s="1"/>
  <c r="B97" i="35"/>
  <c r="H34" i="35" s="1"/>
  <c r="AB34" i="35" s="1"/>
  <c r="B77" i="35"/>
  <c r="B75" i="35"/>
  <c r="J24" i="35" s="1"/>
  <c r="W24" i="35" s="1"/>
  <c r="B73" i="35"/>
  <c r="B57" i="35"/>
  <c r="B61" i="35"/>
  <c r="B59" i="35"/>
  <c r="F12" i="35" s="1"/>
  <c r="B131" i="34"/>
  <c r="B129" i="34"/>
  <c r="B127" i="34"/>
  <c r="B99" i="34"/>
  <c r="J32" i="34" s="1"/>
  <c r="B97" i="34"/>
  <c r="B95" i="34"/>
  <c r="B93" i="34"/>
  <c r="B75" i="34"/>
  <c r="B73" i="34"/>
  <c r="B71" i="34"/>
  <c r="J12" i="34" s="1"/>
  <c r="W12" i="34" s="1"/>
  <c r="B130" i="33"/>
  <c r="B128" i="33"/>
  <c r="B126" i="33"/>
  <c r="B98" i="33"/>
  <c r="F31" i="33" s="1"/>
  <c r="B96" i="33"/>
  <c r="B94" i="33"/>
  <c r="H29" i="33" s="1"/>
  <c r="AB29" i="33" s="1"/>
  <c r="B74" i="33"/>
  <c r="B72" i="33"/>
  <c r="B70" i="33"/>
  <c r="D96" i="35"/>
  <c r="E96" i="35" s="1"/>
  <c r="F96" i="35" s="1"/>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Q33" i="35"/>
  <c r="Z33" i="35"/>
  <c r="Q32" i="35"/>
  <c r="Z32" i="35" s="1"/>
  <c r="H32" i="35"/>
  <c r="AB32" i="35" s="1"/>
  <c r="F32" i="35"/>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s="1"/>
  <c r="Q39" i="34"/>
  <c r="Z39" i="34" s="1"/>
  <c r="H39" i="34"/>
  <c r="AB39" i="34"/>
  <c r="Q38" i="34"/>
  <c r="Z38" i="34"/>
  <c r="Q37" i="34"/>
  <c r="Z37" i="34"/>
  <c r="Q36" i="34"/>
  <c r="Z36" i="34" s="1"/>
  <c r="Q35" i="34"/>
  <c r="Z35" i="34" s="1"/>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c r="H9" i="34"/>
  <c r="J8" i="34"/>
  <c r="H8" i="34"/>
  <c r="F8" i="34"/>
  <c r="AA8" i="34" s="1"/>
  <c r="D121" i="33"/>
  <c r="E121" i="33" s="1"/>
  <c r="F121" i="33" s="1"/>
  <c r="G121" i="33" s="1"/>
  <c r="H121" i="33" s="1"/>
  <c r="I121" i="33" s="1"/>
  <c r="J121" i="33" s="1"/>
  <c r="K121" i="33" s="1"/>
  <c r="L121" i="33" s="1"/>
  <c r="M121" i="33" s="1"/>
  <c r="F109" i="33"/>
  <c r="E109" i="33"/>
  <c r="D109" i="33"/>
  <c r="C109" i="33"/>
  <c r="D91" i="33"/>
  <c r="E91" i="33" s="1"/>
  <c r="B88" i="33"/>
  <c r="F26" i="33" s="1"/>
  <c r="AA26" i="33" s="1"/>
  <c r="J26" i="33"/>
  <c r="C23" i="33"/>
  <c r="C19" i="33"/>
  <c r="C17" i="33"/>
  <c r="C15" i="33"/>
  <c r="C15" i="21"/>
  <c r="D125" i="33"/>
  <c r="D123" i="33"/>
  <c r="D117" i="33"/>
  <c r="E117" i="33" s="1"/>
  <c r="F117" i="33" s="1"/>
  <c r="G117" i="33" s="1"/>
  <c r="D115" i="33"/>
  <c r="E115" i="33"/>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H40" i="33"/>
  <c r="AB40" i="33" s="1"/>
  <c r="AA40" i="33"/>
  <c r="Q39" i="33"/>
  <c r="Z39" i="33"/>
  <c r="J39" i="33"/>
  <c r="Q38" i="33"/>
  <c r="Z38" i="33"/>
  <c r="J38" i="33"/>
  <c r="AC38" i="33" s="1"/>
  <c r="H38" i="33"/>
  <c r="AB38" i="33" s="1"/>
  <c r="F38" i="33"/>
  <c r="AA38" i="33"/>
  <c r="Q37" i="33"/>
  <c r="Z37" i="33"/>
  <c r="Q36" i="33"/>
  <c r="Z36" i="33"/>
  <c r="Q35" i="33"/>
  <c r="Z35" i="33" s="1"/>
  <c r="H35" i="33"/>
  <c r="AB35" i="33" s="1"/>
  <c r="Q34" i="33"/>
  <c r="Z34" i="33" s="1"/>
  <c r="Q33" i="33"/>
  <c r="Z33" i="33"/>
  <c r="J33" i="33"/>
  <c r="AC33" i="33" s="1"/>
  <c r="H33" i="33"/>
  <c r="F33" i="33"/>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s="1"/>
  <c r="Q13" i="33"/>
  <c r="Z13" i="33" s="1"/>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S42" i="21" s="1"/>
  <c r="D119" i="21"/>
  <c r="F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B126" i="21"/>
  <c r="F44" i="21" s="1"/>
  <c r="B98" i="21"/>
  <c r="B96" i="21"/>
  <c r="B94" i="21"/>
  <c r="J29" i="21"/>
  <c r="AC29" i="21"/>
  <c r="B92" i="21"/>
  <c r="B90" i="21"/>
  <c r="J27" i="21" s="1"/>
  <c r="W27" i="21" s="1"/>
  <c r="B74" i="21"/>
  <c r="B72" i="21"/>
  <c r="F13" i="21" s="1"/>
  <c r="AA13" i="21" s="1"/>
  <c r="B70" i="21"/>
  <c r="F12" i="21" s="1"/>
  <c r="C19" i="21"/>
  <c r="C17" i="21"/>
  <c r="C23" i="21"/>
  <c r="Q9" i="21"/>
  <c r="Z9" i="21" s="1"/>
  <c r="Q10" i="21"/>
  <c r="Z10" i="21" s="1"/>
  <c r="Q11" i="21"/>
  <c r="Z11" i="21" s="1"/>
  <c r="Q12" i="21"/>
  <c r="Z12" i="21"/>
  <c r="Q13" i="21"/>
  <c r="Z13" i="21" s="1"/>
  <c r="Q14" i="21"/>
  <c r="Z14" i="21" s="1"/>
  <c r="Q15" i="21"/>
  <c r="Z15" i="21" s="1"/>
  <c r="Q17" i="21"/>
  <c r="Z17" i="21"/>
  <c r="Q19" i="21"/>
  <c r="Z19" i="21" s="1"/>
  <c r="Q23" i="21"/>
  <c r="Z23" i="21" s="1"/>
  <c r="Q25" i="21"/>
  <c r="Z25" i="21" s="1"/>
  <c r="Q26" i="21"/>
  <c r="Z26" i="21"/>
  <c r="Q27" i="21"/>
  <c r="Z27" i="21" s="1"/>
  <c r="Q28" i="21"/>
  <c r="Z28" i="21"/>
  <c r="Q29" i="21"/>
  <c r="Z29" i="21" s="1"/>
  <c r="Q30" i="21"/>
  <c r="Z30" i="21"/>
  <c r="Q31" i="21"/>
  <c r="Z31" i="21" s="1"/>
  <c r="Q32" i="21"/>
  <c r="Z32" i="21" s="1"/>
  <c r="Q33" i="21"/>
  <c r="Z33" i="21" s="1"/>
  <c r="Q34" i="21"/>
  <c r="Z34" i="21"/>
  <c r="J35" i="21"/>
  <c r="W35" i="21" s="1"/>
  <c r="Q35" i="21"/>
  <c r="Z35" i="21"/>
  <c r="Q36" i="21"/>
  <c r="Z36" i="21" s="1"/>
  <c r="Q37" i="21"/>
  <c r="Z37" i="21"/>
  <c r="J38" i="21"/>
  <c r="Q38" i="21"/>
  <c r="Z38" i="21" s="1"/>
  <c r="J39" i="21"/>
  <c r="AC39" i="21" s="1"/>
  <c r="Q39" i="21"/>
  <c r="Z39" i="21"/>
  <c r="H40" i="21"/>
  <c r="Q40" i="21"/>
  <c r="Z40" i="21"/>
  <c r="Q41" i="21"/>
  <c r="Z41" i="21" s="1"/>
  <c r="Q42" i="21"/>
  <c r="Z42" i="2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U34" i="21" s="1"/>
  <c r="AB34" i="21"/>
  <c r="F43" i="21"/>
  <c r="S43" i="21" s="1"/>
  <c r="H38" i="21"/>
  <c r="U38" i="21"/>
  <c r="H43" i="21"/>
  <c r="F38" i="21"/>
  <c r="S38" i="21" s="1"/>
  <c r="F36" i="21"/>
  <c r="S36" i="21" s="1"/>
  <c r="F39" i="21"/>
  <c r="AA39" i="21" s="1"/>
  <c r="J40" i="21"/>
  <c r="H35" i="21"/>
  <c r="U35" i="21" s="1"/>
  <c r="AB35" i="21"/>
  <c r="J8" i="21"/>
  <c r="AC8" i="21" s="1"/>
  <c r="H8" i="21"/>
  <c r="U8" i="21" s="1"/>
  <c r="H10" i="21"/>
  <c r="AB10" i="21" s="1"/>
  <c r="H39" i="21"/>
  <c r="U39" i="21" s="1"/>
  <c r="J34" i="21"/>
  <c r="H36" i="21"/>
  <c r="U36" i="21" s="1"/>
  <c r="F35" i="21"/>
  <c r="AA35" i="21"/>
  <c r="J10" i="21"/>
  <c r="AC10" i="21" s="1"/>
  <c r="H26" i="21"/>
  <c r="AB26" i="21" s="1"/>
  <c r="AB19" i="21"/>
  <c r="J19" i="21"/>
  <c r="W19" i="21"/>
  <c r="J26" i="21"/>
  <c r="W26" i="21" s="1"/>
  <c r="F26" i="21"/>
  <c r="AA26" i="21" s="1"/>
  <c r="AB41" i="21"/>
  <c r="J45" i="39"/>
  <c r="W45" i="39" s="1"/>
  <c r="J44" i="39"/>
  <c r="W44" i="39" s="1"/>
  <c r="F36" i="39"/>
  <c r="S36" i="39" s="1"/>
  <c r="H36" i="39"/>
  <c r="AB36" i="39" s="1"/>
  <c r="J35" i="39"/>
  <c r="AC35" i="39" s="1"/>
  <c r="F35" i="39"/>
  <c r="S35" i="39" s="1"/>
  <c r="AA35" i="39"/>
  <c r="J36" i="39"/>
  <c r="AC36" i="39" s="1"/>
  <c r="W40" i="39"/>
  <c r="U30" i="37"/>
  <c r="W31" i="37"/>
  <c r="E103" i="37"/>
  <c r="F103" i="37" s="1"/>
  <c r="G103" i="37" s="1"/>
  <c r="H103" i="37" s="1"/>
  <c r="I103" i="37" s="1"/>
  <c r="J103" i="37" s="1"/>
  <c r="K103" i="37" s="1"/>
  <c r="L103" i="37" s="1"/>
  <c r="M103" i="37" s="1"/>
  <c r="F39" i="37"/>
  <c r="S39" i="37" s="1"/>
  <c r="F29" i="36"/>
  <c r="AA29" i="36" s="1"/>
  <c r="F16" i="36"/>
  <c r="AA16" i="36" s="1"/>
  <c r="W28" i="36"/>
  <c r="U31" i="36"/>
  <c r="H22" i="35"/>
  <c r="AB22" i="35" s="1"/>
  <c r="AC27" i="35"/>
  <c r="W28" i="35"/>
  <c r="S31" i="35"/>
  <c r="U34" i="35"/>
  <c r="F36" i="34"/>
  <c r="J35" i="34"/>
  <c r="H39" i="33"/>
  <c r="AB39" i="33" s="1"/>
  <c r="U35" i="33"/>
  <c r="S40" i="33"/>
  <c r="W33" i="33"/>
  <c r="H39" i="37"/>
  <c r="AB39" i="37" s="1"/>
  <c r="S27" i="35"/>
  <c r="F11" i="40"/>
  <c r="AA11" i="40" s="1"/>
  <c r="H11" i="40"/>
  <c r="AB11" i="40"/>
  <c r="AA9" i="40"/>
  <c r="U9" i="40"/>
  <c r="S34" i="40"/>
  <c r="W31" i="40"/>
  <c r="U34" i="40"/>
  <c r="F42" i="39"/>
  <c r="AA42" i="39" s="1"/>
  <c r="F41" i="39"/>
  <c r="S41" i="39" s="1"/>
  <c r="H40" i="39"/>
  <c r="AB40" i="39" s="1"/>
  <c r="H39" i="39"/>
  <c r="U39" i="39" s="1"/>
  <c r="H34" i="39"/>
  <c r="U34"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J31" i="39"/>
  <c r="AC31" i="39" s="1"/>
  <c r="F100" i="39"/>
  <c r="G100" i="39" s="1"/>
  <c r="H27" i="39"/>
  <c r="U27" i="39" s="1"/>
  <c r="J19" i="39"/>
  <c r="AC19" i="39" s="1"/>
  <c r="J17" i="39"/>
  <c r="J27" i="39"/>
  <c r="AC27" i="39" s="1"/>
  <c r="F27" i="39"/>
  <c r="F11" i="21"/>
  <c r="S11" i="21" s="1"/>
  <c r="C25" i="39"/>
  <c r="H11" i="39"/>
  <c r="S40" i="39"/>
  <c r="C15" i="39"/>
  <c r="H32" i="33"/>
  <c r="AB32" i="33" s="1"/>
  <c r="H11" i="21"/>
  <c r="U11" i="21" s="1"/>
  <c r="J11" i="21"/>
  <c r="W11" i="21" s="1"/>
  <c r="H37" i="40"/>
  <c r="U37" i="40" s="1"/>
  <c r="H36" i="40"/>
  <c r="AB36" i="40" s="1"/>
  <c r="F35" i="40"/>
  <c r="AA35" i="40"/>
  <c r="H23" i="40"/>
  <c r="AB23" i="40" s="1"/>
  <c r="H17" i="40"/>
  <c r="U17" i="40" s="1"/>
  <c r="J15" i="40"/>
  <c r="J11" i="40"/>
  <c r="AC11" i="40" s="1"/>
  <c r="W11" i="40"/>
  <c r="AB8" i="39"/>
  <c r="AC12" i="34"/>
  <c r="AB12" i="35"/>
  <c r="W32" i="40"/>
  <c r="F37" i="39"/>
  <c r="AA37" i="39" s="1"/>
  <c r="J34" i="36"/>
  <c r="W34" i="36" s="1"/>
  <c r="J30" i="35"/>
  <c r="W30" i="35" s="1"/>
  <c r="H30" i="35"/>
  <c r="AB30" i="35" s="1"/>
  <c r="F22" i="35"/>
  <c r="AA22" i="35" s="1"/>
  <c r="H10" i="35"/>
  <c r="U10" i="35" s="1"/>
  <c r="F33" i="36"/>
  <c r="S33" i="36" s="1"/>
  <c r="AA33" i="36"/>
  <c r="W30" i="36"/>
  <c r="H16" i="36"/>
  <c r="J29" i="36"/>
  <c r="AC29" i="36" s="1"/>
  <c r="F24" i="36"/>
  <c r="AA24" i="36" s="1"/>
  <c r="F34" i="36"/>
  <c r="S34" i="36" s="1"/>
  <c r="F14" i="35"/>
  <c r="F23" i="35"/>
  <c r="J32" i="35"/>
  <c r="AC32" i="35" s="1"/>
  <c r="J16" i="35"/>
  <c r="AC16" i="35" s="1"/>
  <c r="H16" i="35"/>
  <c r="F16" i="35"/>
  <c r="S16" i="35" s="1"/>
  <c r="H14" i="35"/>
  <c r="AB14" i="35" s="1"/>
  <c r="J29" i="35"/>
  <c r="H33" i="35"/>
  <c r="J20" i="35"/>
  <c r="W20" i="35" s="1"/>
  <c r="F35" i="37"/>
  <c r="S35" i="37" s="1"/>
  <c r="E101" i="37"/>
  <c r="F101" i="37"/>
  <c r="G101" i="37" s="1"/>
  <c r="H101" i="37" s="1"/>
  <c r="I101" i="37" s="1"/>
  <c r="J101" i="37" s="1"/>
  <c r="K101" i="37" s="1"/>
  <c r="L101" i="37" s="1"/>
  <c r="M101" i="37" s="1"/>
  <c r="J34" i="37"/>
  <c r="W34" i="37" s="1"/>
  <c r="J33" i="37"/>
  <c r="AC33" i="37" s="1"/>
  <c r="U42" i="34"/>
  <c r="H40" i="34"/>
  <c r="U40" i="34" s="1"/>
  <c r="H36" i="34"/>
  <c r="U36" i="34" s="1"/>
  <c r="F37" i="34"/>
  <c r="AA37" i="34" s="1"/>
  <c r="F28" i="34"/>
  <c r="AA28" i="34" s="1"/>
  <c r="F25" i="34"/>
  <c r="S25" i="34" s="1"/>
  <c r="H23" i="34"/>
  <c r="U23" i="34" s="1"/>
  <c r="J23" i="34"/>
  <c r="W23" i="34" s="1"/>
  <c r="F19" i="34"/>
  <c r="H17" i="34"/>
  <c r="F15" i="34"/>
  <c r="AA15" i="34" s="1"/>
  <c r="J15" i="34"/>
  <c r="W15" i="34" s="1"/>
  <c r="H15" i="34"/>
  <c r="AB15" i="34" s="1"/>
  <c r="J28" i="34"/>
  <c r="W28" i="34" s="1"/>
  <c r="F41" i="33"/>
  <c r="S38" i="33"/>
  <c r="F32" i="33"/>
  <c r="AA32" i="33" s="1"/>
  <c r="J19" i="33"/>
  <c r="AC19" i="33" s="1"/>
  <c r="J15" i="33"/>
  <c r="F11" i="33"/>
  <c r="AA11" i="33" s="1"/>
  <c r="F37" i="40"/>
  <c r="AA37" i="40" s="1"/>
  <c r="F36" i="40"/>
  <c r="H28" i="40"/>
  <c r="U28" i="40" s="1"/>
  <c r="F23" i="40"/>
  <c r="AA23" i="40" s="1"/>
  <c r="F17" i="40"/>
  <c r="AA17" i="40" s="1"/>
  <c r="J17" i="40"/>
  <c r="F15" i="40"/>
  <c r="S15" i="40" s="1"/>
  <c r="H15" i="40"/>
  <c r="AB15" i="40"/>
  <c r="AB30" i="36"/>
  <c r="F29" i="35"/>
  <c r="S29" i="35" s="1"/>
  <c r="H29" i="35"/>
  <c r="AB29" i="35" s="1"/>
  <c r="H33" i="37"/>
  <c r="F33" i="37"/>
  <c r="AA33" i="37" s="1"/>
  <c r="U34"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J37" i="34"/>
  <c r="AC37" i="34" s="1"/>
  <c r="J11" i="33"/>
  <c r="W11" i="33" s="1"/>
  <c r="S28" i="34"/>
  <c r="I123" i="21"/>
  <c r="J123" i="21" s="1"/>
  <c r="K123" i="21" s="1"/>
  <c r="L123" i="21" s="1"/>
  <c r="M123" i="21"/>
  <c r="J42" i="21"/>
  <c r="AC42" i="21" s="1"/>
  <c r="H42" i="21"/>
  <c r="J44" i="34"/>
  <c r="AC44" i="34" s="1"/>
  <c r="F44" i="34"/>
  <c r="AA44" i="34" s="1"/>
  <c r="J10" i="35"/>
  <c r="AC10" i="35" s="1"/>
  <c r="H28" i="21"/>
  <c r="AB28" i="21" s="1"/>
  <c r="F28" i="21"/>
  <c r="AA28" i="21" s="1"/>
  <c r="J28" i="21"/>
  <c r="W28" i="21" s="1"/>
  <c r="H30" i="21"/>
  <c r="U30" i="21" s="1"/>
  <c r="F30" i="21"/>
  <c r="S30" i="21" s="1"/>
  <c r="J30" i="21"/>
  <c r="J44" i="21"/>
  <c r="H44" i="21"/>
  <c r="U44" i="21" s="1"/>
  <c r="E119" i="21"/>
  <c r="F119" i="21" s="1"/>
  <c r="G119" i="21" s="1"/>
  <c r="H119" i="21" s="1"/>
  <c r="I119" i="21" s="1"/>
  <c r="J119" i="21" s="1"/>
  <c r="K119" i="21" s="1"/>
  <c r="L119" i="21" s="1"/>
  <c r="M119" i="21" s="1"/>
  <c r="H26" i="33"/>
  <c r="F33" i="35"/>
  <c r="S33" i="35" s="1"/>
  <c r="J33" i="35"/>
  <c r="AC33" i="35" s="1"/>
  <c r="F30" i="35"/>
  <c r="S30" i="35" s="1"/>
  <c r="H10" i="36"/>
  <c r="AB10" i="36" s="1"/>
  <c r="J14" i="36"/>
  <c r="AC14" i="36"/>
  <c r="H14" i="36"/>
  <c r="U14" i="36" s="1"/>
  <c r="F28" i="36"/>
  <c r="AA28" i="36" s="1"/>
  <c r="H29" i="21"/>
  <c r="U29" i="21"/>
  <c r="F27" i="33"/>
  <c r="AA27" i="33" s="1"/>
  <c r="J13" i="33"/>
  <c r="H13" i="33"/>
  <c r="U13" i="33" s="1"/>
  <c r="F13" i="33"/>
  <c r="S13" i="33" s="1"/>
  <c r="J29" i="33"/>
  <c r="U29" i="33"/>
  <c r="J31" i="33"/>
  <c r="W31" i="33" s="1"/>
  <c r="H31" i="33"/>
  <c r="H45" i="33"/>
  <c r="U45" i="33" s="1"/>
  <c r="J45" i="33"/>
  <c r="W45" i="33" s="1"/>
  <c r="F45" i="33"/>
  <c r="H14" i="34"/>
  <c r="H30" i="34"/>
  <c r="F30" i="34"/>
  <c r="J30" i="34"/>
  <c r="H32" i="34"/>
  <c r="U32" i="34" s="1"/>
  <c r="F32" i="34"/>
  <c r="J46" i="34"/>
  <c r="AC46" i="34" s="1"/>
  <c r="F11" i="35"/>
  <c r="S11" i="35" s="1"/>
  <c r="J26" i="36"/>
  <c r="W26" i="36"/>
  <c r="H28" i="36"/>
  <c r="U28" i="36" s="1"/>
  <c r="J11" i="36"/>
  <c r="AC11" i="36" s="1"/>
  <c r="H11" i="36"/>
  <c r="U11" i="36" s="1"/>
  <c r="F11" i="36"/>
  <c r="F89" i="37"/>
  <c r="G89" i="37" s="1"/>
  <c r="H89" i="37" s="1"/>
  <c r="I89" i="37" s="1"/>
  <c r="J89" i="37" s="1"/>
  <c r="K89" i="37" s="1"/>
  <c r="L89" i="37" s="1"/>
  <c r="M89" i="37" s="1"/>
  <c r="J29" i="37"/>
  <c r="W29" i="37" s="1"/>
  <c r="F29" i="37"/>
  <c r="S29" i="37" s="1"/>
  <c r="F105" i="37"/>
  <c r="G105" i="37" s="1"/>
  <c r="H36" i="37"/>
  <c r="U36" i="37" s="1"/>
  <c r="AB36" i="37"/>
  <c r="F107" i="37"/>
  <c r="G107" i="37" s="1"/>
  <c r="H107" i="37" s="1"/>
  <c r="I107" i="37" s="1"/>
  <c r="J107" i="37" s="1"/>
  <c r="K107" i="37" s="1"/>
  <c r="L107" i="37" s="1"/>
  <c r="M107" i="37" s="1"/>
  <c r="J37" i="37"/>
  <c r="AC37" i="37" s="1"/>
  <c r="H37" i="37"/>
  <c r="U37" i="37"/>
  <c r="J40" i="37"/>
  <c r="AC40" i="37" s="1"/>
  <c r="F40" i="37"/>
  <c r="H14" i="33"/>
  <c r="U14" i="33" s="1"/>
  <c r="F14" i="33"/>
  <c r="S14" i="33"/>
  <c r="J14" i="33"/>
  <c r="AC14" i="33" s="1"/>
  <c r="H30" i="33"/>
  <c r="F30" i="33"/>
  <c r="AA30" i="33" s="1"/>
  <c r="J30" i="33"/>
  <c r="F44" i="33"/>
  <c r="S44" i="33" s="1"/>
  <c r="J46" i="33"/>
  <c r="W46" i="33" s="1"/>
  <c r="AC46" i="33"/>
  <c r="F46" i="33"/>
  <c r="AA46" i="33" s="1"/>
  <c r="H46" i="33"/>
  <c r="AB46" i="33" s="1"/>
  <c r="J31" i="34"/>
  <c r="AC31" i="34" s="1"/>
  <c r="H31" i="34"/>
  <c r="F31" i="34"/>
  <c r="AA31" i="34" s="1"/>
  <c r="H45" i="34"/>
  <c r="U45" i="34" s="1"/>
  <c r="J45" i="34"/>
  <c r="F45" i="34"/>
  <c r="S45" i="34" s="1"/>
  <c r="H47" i="34"/>
  <c r="U47" i="34" s="1"/>
  <c r="F47" i="34"/>
  <c r="S47" i="34" s="1"/>
  <c r="J47" i="34"/>
  <c r="AC47" i="34" s="1"/>
  <c r="F13" i="35"/>
  <c r="J13" i="35"/>
  <c r="AC13" i="35" s="1"/>
  <c r="H13" i="35"/>
  <c r="U13" i="35" s="1"/>
  <c r="J25" i="35"/>
  <c r="F25" i="35"/>
  <c r="H25" i="35"/>
  <c r="AB25" i="35" s="1"/>
  <c r="J25" i="36"/>
  <c r="W25" i="36" s="1"/>
  <c r="F25" i="36"/>
  <c r="S25" i="36" s="1"/>
  <c r="H25" i="36"/>
  <c r="AB25" i="36" s="1"/>
  <c r="H38" i="37"/>
  <c r="AB38" i="37"/>
  <c r="J38" i="37"/>
  <c r="AC38" i="37" s="1"/>
  <c r="F38" i="37"/>
  <c r="AA38" i="37" s="1"/>
  <c r="H43" i="39"/>
  <c r="H14" i="39"/>
  <c r="AB14" i="39" s="1"/>
  <c r="F12" i="40"/>
  <c r="S12" i="40" s="1"/>
  <c r="H30" i="40"/>
  <c r="AB30" i="40" s="1"/>
  <c r="J35" i="40"/>
  <c r="AC35" i="40" s="1"/>
  <c r="J37" i="40"/>
  <c r="H13" i="40"/>
  <c r="U13" i="40" s="1"/>
  <c r="J13" i="40"/>
  <c r="AC13" i="40" s="1"/>
  <c r="W13" i="40"/>
  <c r="F13" i="40"/>
  <c r="F14" i="37"/>
  <c r="S14" i="37" s="1"/>
  <c r="F13" i="39"/>
  <c r="J13" i="39"/>
  <c r="W13" i="39" s="1"/>
  <c r="H13" i="39"/>
  <c r="H14" i="40"/>
  <c r="AB14" i="40" s="1"/>
  <c r="J14" i="40"/>
  <c r="W14" i="40" s="1"/>
  <c r="F14" i="40"/>
  <c r="AA14" i="40" s="1"/>
  <c r="J14" i="37"/>
  <c r="J27" i="37"/>
  <c r="W27" i="37" s="1"/>
  <c r="AC27" i="37"/>
  <c r="AA44" i="33"/>
  <c r="AA14" i="33"/>
  <c r="J36" i="37"/>
  <c r="AC36" i="37" s="1"/>
  <c r="J10" i="36"/>
  <c r="AC10" i="36" s="1"/>
  <c r="AB30" i="21"/>
  <c r="AA14" i="37"/>
  <c r="W31" i="34"/>
  <c r="AB45" i="33"/>
  <c r="AC28" i="21"/>
  <c r="S44" i="34"/>
  <c r="BA585" i="3"/>
  <c r="F17" i="21"/>
  <c r="AA17" i="21" s="1"/>
  <c r="H17" i="21"/>
  <c r="AB17" i="21" s="1"/>
  <c r="F15" i="21"/>
  <c r="S15" i="21" s="1"/>
  <c r="J41" i="39"/>
  <c r="U36" i="39"/>
  <c r="G544" i="3"/>
  <c r="G536" i="3"/>
  <c r="G531" i="3"/>
  <c r="G528" i="3"/>
  <c r="G527" i="3"/>
  <c r="G514" i="3"/>
  <c r="G510" i="3"/>
  <c r="G504" i="3"/>
  <c r="G584" i="3"/>
  <c r="G576" i="3"/>
  <c r="G564" i="3"/>
  <c r="G550" i="3"/>
  <c r="BL568" i="3"/>
  <c r="BL506" i="3"/>
  <c r="BL502" i="3"/>
  <c r="BL494" i="3"/>
  <c r="BL582" i="3"/>
  <c r="G533" i="3"/>
  <c r="G529" i="3"/>
  <c r="G525" i="3"/>
  <c r="BL496" i="3"/>
  <c r="G493" i="3"/>
  <c r="BA556" i="3"/>
  <c r="BA532" i="3"/>
  <c r="BA530" i="3"/>
  <c r="BA524" i="3"/>
  <c r="BA516" i="3"/>
  <c r="BA569" i="3"/>
  <c r="BA503" i="3"/>
  <c r="BA501" i="3"/>
  <c r="BA495" i="3"/>
  <c r="G583" i="3"/>
  <c r="G581" i="3"/>
  <c r="G575" i="3"/>
  <c r="G565" i="3"/>
  <c r="BL558" i="3"/>
  <c r="AC557" i="3"/>
  <c r="G557" i="3" s="1"/>
  <c r="BQ557" i="3"/>
  <c r="BL557" i="3" s="1"/>
  <c r="BQ583" i="3"/>
  <c r="BQ581" i="3"/>
  <c r="BQ579" i="3"/>
  <c r="BQ577" i="3"/>
  <c r="BQ575" i="3"/>
  <c r="BQ573" i="3"/>
  <c r="BQ571" i="3"/>
  <c r="BL571" i="3" s="1"/>
  <c r="BQ569" i="3"/>
  <c r="BQ567" i="3"/>
  <c r="BQ565" i="3"/>
  <c r="BQ563" i="3"/>
  <c r="BL563" i="3" s="1"/>
  <c r="BQ561" i="3"/>
  <c r="BQ559" i="3"/>
  <c r="G559" i="3"/>
  <c r="G543" i="3"/>
  <c r="G541" i="3"/>
  <c r="G539" i="3"/>
  <c r="G537" i="3"/>
  <c r="BQ555" i="3"/>
  <c r="BL555" i="3" s="1"/>
  <c r="BQ553" i="3"/>
  <c r="BL553" i="3" s="1"/>
  <c r="BQ551" i="3"/>
  <c r="BQ549" i="3"/>
  <c r="BQ547" i="3"/>
  <c r="BQ545" i="3"/>
  <c r="BQ543" i="3"/>
  <c r="BQ541" i="3"/>
  <c r="BQ539" i="3"/>
  <c r="BL539" i="3" s="1"/>
  <c r="BQ537" i="3"/>
  <c r="BL537" i="3" s="1"/>
  <c r="BQ535" i="3"/>
  <c r="BQ533" i="3"/>
  <c r="BQ531" i="3"/>
  <c r="BQ529" i="3"/>
  <c r="BQ527" i="3"/>
  <c r="BQ525" i="3"/>
  <c r="BQ523" i="3"/>
  <c r="AC521" i="3"/>
  <c r="G521" i="3" s="1"/>
  <c r="BQ521" i="3"/>
  <c r="BL521" i="3" s="1"/>
  <c r="G517" i="3"/>
  <c r="G515" i="3"/>
  <c r="BQ519" i="3"/>
  <c r="BQ517" i="3"/>
  <c r="BQ515" i="3"/>
  <c r="BL515" i="3" s="1"/>
  <c r="BQ513" i="3"/>
  <c r="BQ511" i="3"/>
  <c r="AC509" i="3"/>
  <c r="G509" i="3" s="1"/>
  <c r="BQ509" i="3"/>
  <c r="BL508" i="3"/>
  <c r="G507" i="3"/>
  <c r="G501" i="3"/>
  <c r="G499" i="3"/>
  <c r="G497" i="3"/>
  <c r="BQ507" i="3"/>
  <c r="BQ505" i="3"/>
  <c r="BQ503" i="3"/>
  <c r="BQ501" i="3"/>
  <c r="BQ499" i="3"/>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AA36" i="39"/>
  <c r="F39" i="33"/>
  <c r="AA39" i="33" s="1"/>
  <c r="E123" i="33"/>
  <c r="F123" i="33" s="1"/>
  <c r="G123" i="33" s="1"/>
  <c r="H123" i="33" s="1"/>
  <c r="I123" i="33" s="1"/>
  <c r="J123" i="33" s="1"/>
  <c r="K123" i="33" s="1"/>
  <c r="L123" i="33" s="1"/>
  <c r="M123" i="33" s="1"/>
  <c r="F42" i="33"/>
  <c r="AA42" i="33" s="1"/>
  <c r="H28" i="34"/>
  <c r="F14" i="36"/>
  <c r="AA14" i="36" s="1"/>
  <c r="F22" i="36"/>
  <c r="S22" i="36" s="1"/>
  <c r="F26" i="36"/>
  <c r="S26" i="36" s="1"/>
  <c r="H27" i="34"/>
  <c r="AB27" i="34" s="1"/>
  <c r="H35" i="34"/>
  <c r="U35" i="34" s="1"/>
  <c r="F41" i="34"/>
  <c r="H41" i="34"/>
  <c r="U41" i="34" s="1"/>
  <c r="J41" i="34"/>
  <c r="AC41" i="34" s="1"/>
  <c r="F10" i="35"/>
  <c r="S10" i="35" s="1"/>
  <c r="F24" i="35"/>
  <c r="S24" i="35" s="1"/>
  <c r="H23" i="37"/>
  <c r="AB23" i="37"/>
  <c r="J32" i="37"/>
  <c r="AC32" i="37" s="1"/>
  <c r="F36" i="37"/>
  <c r="F37" i="37"/>
  <c r="F31" i="40"/>
  <c r="AA31" i="40" s="1"/>
  <c r="H31" i="40"/>
  <c r="U31" i="40" s="1"/>
  <c r="F32" i="40"/>
  <c r="S32" i="40" s="1"/>
  <c r="H32" i="40"/>
  <c r="AB32" i="40" s="1"/>
  <c r="J36" i="40"/>
  <c r="W36" i="40" s="1"/>
  <c r="H19" i="37"/>
  <c r="AB19" i="37" s="1"/>
  <c r="H42" i="33"/>
  <c r="AB42" i="33" s="1"/>
  <c r="J43" i="33"/>
  <c r="AC43" i="33"/>
  <c r="S28" i="31"/>
  <c r="S27" i="31"/>
  <c r="S26" i="31"/>
  <c r="U14" i="40"/>
  <c r="U39" i="37"/>
  <c r="U26" i="37"/>
  <c r="W47" i="34"/>
  <c r="AC31" i="33"/>
  <c r="AC45" i="33"/>
  <c r="U19" i="21"/>
  <c r="AB38" i="21"/>
  <c r="F43" i="33"/>
  <c r="AA43" i="33" s="1"/>
  <c r="AC15" i="34"/>
  <c r="W16" i="35"/>
  <c r="W40" i="37"/>
  <c r="H37" i="21"/>
  <c r="U37" i="21" s="1"/>
  <c r="H19" i="34"/>
  <c r="AB19" i="34" s="1"/>
  <c r="F36" i="35"/>
  <c r="S36" i="35" s="1"/>
  <c r="J9" i="37"/>
  <c r="W9" i="37" s="1"/>
  <c r="H9" i="37"/>
  <c r="U9" i="37" s="1"/>
  <c r="F9" i="37"/>
  <c r="S9" i="37" s="1"/>
  <c r="J12" i="37"/>
  <c r="H12" i="37"/>
  <c r="AB12" i="37" s="1"/>
  <c r="F12" i="37"/>
  <c r="S12" i="37" s="1"/>
  <c r="E71" i="37"/>
  <c r="F71" i="37" s="1"/>
  <c r="G71" i="37" s="1"/>
  <c r="F15" i="37"/>
  <c r="AA15" i="37" s="1"/>
  <c r="F31" i="37"/>
  <c r="S31" i="37" s="1"/>
  <c r="J42" i="39"/>
  <c r="AC42" i="39" s="1"/>
  <c r="H21" i="40"/>
  <c r="AB21" i="40" s="1"/>
  <c r="H31" i="37"/>
  <c r="U31" i="37" s="1"/>
  <c r="J15" i="37"/>
  <c r="AT6" i="3"/>
  <c r="H19" i="40"/>
  <c r="F19" i="40"/>
  <c r="S19" i="40" s="1"/>
  <c r="H37" i="39"/>
  <c r="AB37" i="39" s="1"/>
  <c r="AC37" i="39"/>
  <c r="W37" i="39"/>
  <c r="H25" i="39"/>
  <c r="AB25" i="39" s="1"/>
  <c r="J25" i="39"/>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J11" i="39"/>
  <c r="W11" i="39" s="1"/>
  <c r="F11" i="39"/>
  <c r="S11" i="39" s="1"/>
  <c r="G4" i="4"/>
  <c r="I4" i="4"/>
  <c r="A2" i="9"/>
  <c r="F61" i="43"/>
  <c r="H64" i="43" s="1"/>
  <c r="G303" i="3"/>
  <c r="BL304" i="3"/>
  <c r="G305" i="3"/>
  <c r="BA309" i="3"/>
  <c r="BL309" i="3"/>
  <c r="G310" i="3"/>
  <c r="BA311" i="3"/>
  <c r="G319" i="3"/>
  <c r="G321" i="3"/>
  <c r="BL322" i="3"/>
  <c r="BA324" i="3"/>
  <c r="BA325" i="3"/>
  <c r="AZ325" i="3" s="1"/>
  <c r="BL325" i="3"/>
  <c r="G326" i="3"/>
  <c r="BA327" i="3"/>
  <c r="G335" i="3"/>
  <c r="BL336" i="3"/>
  <c r="G337" i="3"/>
  <c r="BL338" i="3"/>
  <c r="BA340" i="3"/>
  <c r="BA341" i="3"/>
  <c r="BL341" i="3"/>
  <c r="AZ341" i="3" s="1"/>
  <c r="BA343" i="3"/>
  <c r="BA345" i="3"/>
  <c r="BL355" i="3"/>
  <c r="G356" i="3"/>
  <c r="BL357" i="3"/>
  <c r="BA359" i="3"/>
  <c r="BA360" i="3"/>
  <c r="BL360" i="3"/>
  <c r="G361" i="3"/>
  <c r="G370" i="3"/>
  <c r="BL371" i="3"/>
  <c r="G372" i="3"/>
  <c r="BL373" i="3"/>
  <c r="BA375" i="3"/>
  <c r="BA376" i="3"/>
  <c r="BL376" i="3"/>
  <c r="G377" i="3"/>
  <c r="BA378" i="3"/>
  <c r="BL378" i="3"/>
  <c r="G379" i="3"/>
  <c r="G388" i="3"/>
  <c r="BL389" i="3"/>
  <c r="G390" i="3"/>
  <c r="BL391" i="3"/>
  <c r="BA393" i="3"/>
  <c r="BA394" i="3"/>
  <c r="AZ394" i="3" s="1"/>
  <c r="G113" i="3"/>
  <c r="BA115" i="3"/>
  <c r="AZ115" i="3"/>
  <c r="BL116" i="3"/>
  <c r="G117" i="3"/>
  <c r="BA119" i="3"/>
  <c r="BL120" i="3"/>
  <c r="G121" i="3"/>
  <c r="BA123" i="3"/>
  <c r="BL124" i="3"/>
  <c r="G125"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AZ168" i="3" s="1"/>
  <c r="G169" i="3"/>
  <c r="BA171" i="3"/>
  <c r="BL172" i="3"/>
  <c r="G173" i="3"/>
  <c r="BL176" i="3"/>
  <c r="G177" i="3"/>
  <c r="BA179" i="3"/>
  <c r="AZ179" i="3" s="1"/>
  <c r="BL180" i="3"/>
  <c r="G181" i="3"/>
  <c r="BA183" i="3"/>
  <c r="BL184" i="3"/>
  <c r="G185" i="3"/>
  <c r="BA187" i="3"/>
  <c r="BL188" i="3"/>
  <c r="AZ188" i="3" s="1"/>
  <c r="G189" i="3"/>
  <c r="BA191" i="3"/>
  <c r="BL192" i="3"/>
  <c r="G193" i="3"/>
  <c r="BA195" i="3"/>
  <c r="AZ195" i="3" s="1"/>
  <c r="BL196" i="3"/>
  <c r="G197" i="3"/>
  <c r="BA199" i="3"/>
  <c r="BL200" i="3"/>
  <c r="G201" i="3"/>
  <c r="BA203" i="3"/>
  <c r="BL204" i="3"/>
  <c r="G530" i="3"/>
  <c r="G522" i="3"/>
  <c r="G512" i="3"/>
  <c r="G506" i="3"/>
  <c r="G498" i="3"/>
  <c r="G494" i="3"/>
  <c r="G15" i="3"/>
  <c r="BA304" i="3"/>
  <c r="G306" i="3"/>
  <c r="G309" i="3"/>
  <c r="BL310" i="3"/>
  <c r="BA312" i="3"/>
  <c r="BA313" i="3"/>
  <c r="AZ313" i="3" s="1"/>
  <c r="BL313" i="3"/>
  <c r="G314" i="3"/>
  <c r="G317" i="3"/>
  <c r="BL318" i="3"/>
  <c r="BL321" i="3"/>
  <c r="G322" i="3"/>
  <c r="G325" i="3"/>
  <c r="BL326" i="3"/>
  <c r="BA328" i="3"/>
  <c r="BA329" i="3"/>
  <c r="BL329" i="3"/>
  <c r="G330" i="3"/>
  <c r="G333" i="3"/>
  <c r="BL337" i="3"/>
  <c r="G338" i="3"/>
  <c r="G341" i="3"/>
  <c r="BA342" i="3"/>
  <c r="BL342" i="3"/>
  <c r="BA344" i="3"/>
  <c r="BL344" i="3"/>
  <c r="AZ344" i="3"/>
  <c r="BA346" i="3"/>
  <c r="BL347" i="3"/>
  <c r="G350" i="3"/>
  <c r="BA351" i="3"/>
  <c r="BL351" i="3"/>
  <c r="G352" i="3"/>
  <c r="G354" i="3"/>
  <c r="BA355" i="3"/>
  <c r="AZ355" i="3"/>
  <c r="BA356" i="3"/>
  <c r="BL356" i="3"/>
  <c r="AZ356" i="3" s="1"/>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G391" i="3"/>
  <c r="G394" i="3"/>
  <c r="BL303" i="3"/>
  <c r="G304" i="3"/>
  <c r="BA306" i="3"/>
  <c r="BL307" i="3"/>
  <c r="G308" i="3"/>
  <c r="BL311" i="3"/>
  <c r="BA314" i="3"/>
  <c r="BL315" i="3"/>
  <c r="G316" i="3"/>
  <c r="BA318" i="3"/>
  <c r="BL319" i="3"/>
  <c r="G320" i="3"/>
  <c r="BA322" i="3"/>
  <c r="BL323" i="3"/>
  <c r="G324" i="3"/>
  <c r="AZ327" i="3"/>
  <c r="G328" i="3"/>
  <c r="BA330" i="3"/>
  <c r="BL331" i="3"/>
  <c r="G332" i="3"/>
  <c r="BA334" i="3"/>
  <c r="AZ334" i="3" s="1"/>
  <c r="BL335" i="3"/>
  <c r="G336" i="3"/>
  <c r="BA338" i="3"/>
  <c r="G340" i="3"/>
  <c r="BL343" i="3"/>
  <c r="G344" i="3"/>
  <c r="G348" i="3"/>
  <c r="G355" i="3"/>
  <c r="G342" i="3"/>
  <c r="BL345" i="3"/>
  <c r="G346" i="3"/>
  <c r="BL349" i="3"/>
  <c r="BL352" i="3"/>
  <c r="G353" i="3"/>
  <c r="BA357" i="3"/>
  <c r="AZ357" i="3" s="1"/>
  <c r="BL358" i="3"/>
  <c r="G359" i="3"/>
  <c r="BA361" i="3"/>
  <c r="AZ361" i="3" s="1"/>
  <c r="BL362" i="3"/>
  <c r="AZ362" i="3" s="1"/>
  <c r="G363" i="3"/>
  <c r="BA365" i="3"/>
  <c r="BL366" i="3"/>
  <c r="G367" i="3"/>
  <c r="BA369" i="3"/>
  <c r="AZ369" i="3" s="1"/>
  <c r="BL370" i="3"/>
  <c r="G371" i="3"/>
  <c r="BA373" i="3"/>
  <c r="BL374" i="3"/>
  <c r="G375" i="3"/>
  <c r="BA377" i="3"/>
  <c r="AZ377" i="3" s="1"/>
  <c r="BA379" i="3"/>
  <c r="AZ379" i="3" s="1"/>
  <c r="BL380" i="3"/>
  <c r="G381" i="3"/>
  <c r="BA383" i="3"/>
  <c r="BL384" i="3"/>
  <c r="G385" i="3"/>
  <c r="BA387" i="3"/>
  <c r="BL388" i="3"/>
  <c r="G389" i="3"/>
  <c r="BA391" i="3"/>
  <c r="BL392" i="3"/>
  <c r="AZ392" i="3" s="1"/>
  <c r="G393" i="3"/>
  <c r="BM5" i="3"/>
  <c r="G538" i="3"/>
  <c r="G520" i="3"/>
  <c r="G502" i="3"/>
  <c r="G17" i="3"/>
  <c r="BA17" i="3"/>
  <c r="AZ17" i="3" s="1"/>
  <c r="BT5" i="3"/>
  <c r="U36" i="40"/>
  <c r="F83" i="43"/>
  <c r="H85" i="43" s="1"/>
  <c r="F50" i="43"/>
  <c r="H54" i="43" s="1"/>
  <c r="F72" i="43"/>
  <c r="H75" i="43" s="1"/>
  <c r="U17" i="39"/>
  <c r="AC35" i="21"/>
  <c r="W37" i="37"/>
  <c r="W44" i="34"/>
  <c r="S15" i="37"/>
  <c r="AA12" i="40"/>
  <c r="J37" i="33"/>
  <c r="AC37" i="33" s="1"/>
  <c r="W37" i="33"/>
  <c r="AC17" i="34"/>
  <c r="J34" i="33"/>
  <c r="W34" i="33" s="1"/>
  <c r="F33" i="34"/>
  <c r="H20" i="36"/>
  <c r="U20" i="36" s="1"/>
  <c r="J20" i="36"/>
  <c r="W24" i="36"/>
  <c r="J27" i="36"/>
  <c r="W27" i="36" s="1"/>
  <c r="AB25" i="37"/>
  <c r="F111" i="40"/>
  <c r="G111" i="40" s="1"/>
  <c r="H111" i="40" s="1"/>
  <c r="I111" i="40" s="1"/>
  <c r="J111" i="40" s="1"/>
  <c r="K111" i="40" s="1"/>
  <c r="L111" i="40" s="1"/>
  <c r="M111" i="40" s="1"/>
  <c r="H35" i="40"/>
  <c r="AB35" i="40" s="1"/>
  <c r="AC29" i="35"/>
  <c r="W29" i="35"/>
  <c r="H35" i="37"/>
  <c r="U35" i="37" s="1"/>
  <c r="AC14" i="35"/>
  <c r="H20" i="35"/>
  <c r="AB20" i="35" s="1"/>
  <c r="F20" i="35"/>
  <c r="AA20" i="35"/>
  <c r="AB29" i="36"/>
  <c r="U29" i="36"/>
  <c r="H32" i="37"/>
  <c r="H27" i="40"/>
  <c r="U27" i="40" s="1"/>
  <c r="J27" i="40"/>
  <c r="F27" i="40"/>
  <c r="J30" i="40"/>
  <c r="F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AA43" i="34" s="1"/>
  <c r="H44" i="34"/>
  <c r="U44" i="34" s="1"/>
  <c r="AC38" i="39"/>
  <c r="F39" i="39"/>
  <c r="J39" i="39"/>
  <c r="AC39" i="39" s="1"/>
  <c r="E96" i="39"/>
  <c r="F96" i="39" s="1"/>
  <c r="G96" i="39" s="1"/>
  <c r="C40" i="11"/>
  <c r="F23" i="39"/>
  <c r="AA23" i="39"/>
  <c r="H27" i="36"/>
  <c r="U27" i="36" s="1"/>
  <c r="F27" i="36"/>
  <c r="AA27" i="36" s="1"/>
  <c r="H33" i="34"/>
  <c r="AB33" i="34" s="1"/>
  <c r="F32" i="37"/>
  <c r="AA32" i="37" s="1"/>
  <c r="F20" i="36"/>
  <c r="AA20" i="36" s="1"/>
  <c r="J33" i="34"/>
  <c r="H23" i="39"/>
  <c r="U23" i="39" s="1"/>
  <c r="D48" i="9"/>
  <c r="M52" i="9" s="1"/>
  <c r="K9" i="1"/>
  <c r="M9" i="1" s="1"/>
  <c r="K6" i="1"/>
  <c r="AP6" i="1" s="1"/>
  <c r="AC26" i="33"/>
  <c r="W26" i="33"/>
  <c r="W27" i="34"/>
  <c r="AC27" i="34"/>
  <c r="AB34" i="36"/>
  <c r="U34" i="36"/>
  <c r="AB33" i="36"/>
  <c r="U33" i="36"/>
  <c r="AC12" i="39"/>
  <c r="W12" i="39"/>
  <c r="AA32" i="36"/>
  <c r="S32" i="36"/>
  <c r="BL14" i="3"/>
  <c r="AA47" i="34"/>
  <c r="S19" i="39"/>
  <c r="H12" i="39"/>
  <c r="AB12" i="39" s="1"/>
  <c r="BA14" i="3"/>
  <c r="AZ14" i="3" s="1"/>
  <c r="B12" i="1"/>
  <c r="E12" i="1" s="1"/>
  <c r="B10" i="1"/>
  <c r="E10" i="1" s="1"/>
  <c r="K12" i="1"/>
  <c r="M12" i="1" s="1"/>
  <c r="S13" i="1"/>
  <c r="AR13" i="1" s="1"/>
  <c r="R13" i="1"/>
  <c r="J51" i="67"/>
  <c r="C42" i="1"/>
  <c r="C24" i="12" s="1"/>
  <c r="AA34" i="33"/>
  <c r="B41" i="1"/>
  <c r="F54" i="9" s="1"/>
  <c r="AB37" i="40"/>
  <c r="S35" i="40"/>
  <c r="U35" i="40"/>
  <c r="AC36" i="40"/>
  <c r="W38" i="40"/>
  <c r="AA32" i="40"/>
  <c r="AA19" i="40"/>
  <c r="S28" i="40"/>
  <c r="U21" i="40"/>
  <c r="S37" i="39"/>
  <c r="U35" i="39"/>
  <c r="F32" i="39"/>
  <c r="F106" i="39"/>
  <c r="G106" i="39" s="1"/>
  <c r="H106" i="39" s="1"/>
  <c r="I106" i="39" s="1"/>
  <c r="J106" i="39" s="1"/>
  <c r="K106" i="39" s="1"/>
  <c r="L106" i="39" s="1"/>
  <c r="M106" i="39" s="1"/>
  <c r="U25" i="39"/>
  <c r="U31" i="39"/>
  <c r="J21" i="39"/>
  <c r="W21" i="39" s="1"/>
  <c r="F21" i="39"/>
  <c r="H21" i="39"/>
  <c r="W19" i="39"/>
  <c r="S17" i="39"/>
  <c r="AA12" i="39"/>
  <c r="S9" i="39"/>
  <c r="U14" i="39"/>
  <c r="AC13" i="39"/>
  <c r="U26" i="36"/>
  <c r="AA26" i="36"/>
  <c r="AA34" i="36"/>
  <c r="AC26" i="36"/>
  <c r="AA22" i="36"/>
  <c r="W14" i="36"/>
  <c r="U22" i="36"/>
  <c r="S16" i="36"/>
  <c r="AA25" i="36"/>
  <c r="S24" i="36"/>
  <c r="S14" i="36"/>
  <c r="AB13" i="35"/>
  <c r="U29" i="35"/>
  <c r="U28" i="35"/>
  <c r="AB27" i="35"/>
  <c r="U36" i="35"/>
  <c r="U32" i="35"/>
  <c r="AA33" i="35"/>
  <c r="AC30" i="35"/>
  <c r="AA36" i="35"/>
  <c r="S28" i="35"/>
  <c r="U22" i="35"/>
  <c r="S20" i="35"/>
  <c r="AC20" i="35"/>
  <c r="S22" i="35"/>
  <c r="U14" i="35"/>
  <c r="AA11" i="35"/>
  <c r="AC9" i="35"/>
  <c r="W9" i="35"/>
  <c r="AC12" i="35"/>
  <c r="W13" i="35"/>
  <c r="F9" i="35"/>
  <c r="S9" i="35" s="1"/>
  <c r="H9" i="35"/>
  <c r="U9" i="35" s="1"/>
  <c r="AB40" i="37"/>
  <c r="S25" i="37"/>
  <c r="U29" i="37"/>
  <c r="S32" i="37"/>
  <c r="AB31" i="37"/>
  <c r="AC35" i="37"/>
  <c r="W39" i="37"/>
  <c r="S30" i="37"/>
  <c r="J17" i="37"/>
  <c r="W17" i="37" s="1"/>
  <c r="F17" i="37"/>
  <c r="AA17" i="37" s="1"/>
  <c r="F75" i="37"/>
  <c r="F19" i="37"/>
  <c r="S19" i="37" s="1"/>
  <c r="F79" i="37"/>
  <c r="F23" i="37"/>
  <c r="U23" i="37"/>
  <c r="U15" i="37"/>
  <c r="H10" i="37"/>
  <c r="AB10" i="37" s="1"/>
  <c r="F63" i="37"/>
  <c r="G63" i="37" s="1"/>
  <c r="H63" i="37" s="1"/>
  <c r="I63" i="37" s="1"/>
  <c r="F11" i="37"/>
  <c r="S11" i="37" s="1"/>
  <c r="W25" i="34"/>
  <c r="U43" i="34"/>
  <c r="AC39" i="34"/>
  <c r="W41" i="34"/>
  <c r="AC42" i="34"/>
  <c r="U39" i="34"/>
  <c r="AB41" i="34"/>
  <c r="AA45" i="34"/>
  <c r="AA25" i="34"/>
  <c r="S17" i="34"/>
  <c r="U15" i="34"/>
  <c r="H10" i="34"/>
  <c r="AB10" i="34" s="1"/>
  <c r="F11" i="34"/>
  <c r="S11" i="34" s="1"/>
  <c r="F70" i="34"/>
  <c r="G70" i="34" s="1"/>
  <c r="W42" i="33"/>
  <c r="AA35" i="33"/>
  <c r="S27" i="33"/>
  <c r="S32" i="33"/>
  <c r="W38" i="33"/>
  <c r="H41" i="33"/>
  <c r="U41" i="33" s="1"/>
  <c r="U42" i="33"/>
  <c r="S42" i="33"/>
  <c r="F36" i="33"/>
  <c r="J35" i="33"/>
  <c r="S37" i="33"/>
  <c r="AA37" i="33"/>
  <c r="S39" i="33"/>
  <c r="J32" i="33"/>
  <c r="AC32" i="33" s="1"/>
  <c r="W43" i="33"/>
  <c r="S43" i="33"/>
  <c r="F91" i="33"/>
  <c r="H27" i="33"/>
  <c r="F87" i="33"/>
  <c r="H25" i="33"/>
  <c r="U25" i="33" s="1"/>
  <c r="F25" i="33"/>
  <c r="S25" i="33" s="1"/>
  <c r="J23" i="33"/>
  <c r="AC23" i="33" s="1"/>
  <c r="F85" i="33"/>
  <c r="G85" i="33" s="1"/>
  <c r="H23" i="33"/>
  <c r="AB23" i="33" s="1"/>
  <c r="F81" i="33"/>
  <c r="F19" i="33"/>
  <c r="W19" i="33"/>
  <c r="J17" i="33"/>
  <c r="F79" i="33"/>
  <c r="G79" i="33" s="1"/>
  <c r="S15" i="33"/>
  <c r="J10" i="33"/>
  <c r="W10" i="33" s="1"/>
  <c r="H10" i="33"/>
  <c r="U10" i="33" s="1"/>
  <c r="AC11" i="33"/>
  <c r="AB14" i="33"/>
  <c r="W36" i="21"/>
  <c r="W41" i="21"/>
  <c r="AB39" i="21"/>
  <c r="S39" i="21"/>
  <c r="AA38" i="21"/>
  <c r="AA36" i="21"/>
  <c r="J15" i="21"/>
  <c r="F77" i="21"/>
  <c r="G77" i="21" s="1"/>
  <c r="F23" i="21"/>
  <c r="E85" i="21"/>
  <c r="F85" i="21" s="1"/>
  <c r="G85" i="21" s="1"/>
  <c r="C18" i="9"/>
  <c r="D18" i="9" s="1"/>
  <c r="F34" i="67"/>
  <c r="F62" i="67" s="1"/>
  <c r="M20" i="67"/>
  <c r="F34" i="15"/>
  <c r="F62" i="15" s="1"/>
  <c r="G13" i="3"/>
  <c r="BL17" i="3"/>
  <c r="BL13" i="3"/>
  <c r="J56" i="9"/>
  <c r="J57" i="9" s="1"/>
  <c r="J59" i="9" s="1"/>
  <c r="J61" i="9" s="1"/>
  <c r="A24" i="51"/>
  <c r="B18" i="72"/>
  <c r="E32" i="6"/>
  <c r="G1" i="68"/>
  <c r="K1" i="12"/>
  <c r="E19" i="69"/>
  <c r="E19" i="68"/>
  <c r="E19" i="11"/>
  <c r="E1" i="73"/>
  <c r="G22" i="69"/>
  <c r="G22" i="68"/>
  <c r="G26" i="12"/>
  <c r="G22" i="11"/>
  <c r="C6" i="43"/>
  <c r="B19" i="53"/>
  <c r="B37" i="72" s="1"/>
  <c r="C7" i="39"/>
  <c r="C67" i="39" s="1"/>
  <c r="C7" i="35"/>
  <c r="C7" i="33"/>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W34" i="40"/>
  <c r="W19" i="40"/>
  <c r="AC14" i="40"/>
  <c r="AA15" i="40"/>
  <c r="U11" i="40"/>
  <c r="S31" i="40"/>
  <c r="AB13" i="40"/>
  <c r="U15" i="40"/>
  <c r="AB17" i="40"/>
  <c r="U8" i="40"/>
  <c r="U42" i="39"/>
  <c r="W25" i="39"/>
  <c r="AC25" i="39"/>
  <c r="U13" i="39"/>
  <c r="AB13" i="39"/>
  <c r="AA13" i="39"/>
  <c r="S13" i="39"/>
  <c r="U43" i="39"/>
  <c r="AB43" i="39"/>
  <c r="AA27" i="39"/>
  <c r="S27" i="39"/>
  <c r="W17" i="39"/>
  <c r="AC17" i="39"/>
  <c r="S23" i="39"/>
  <c r="AB39" i="39"/>
  <c r="W34" i="39"/>
  <c r="S8" i="39"/>
  <c r="S20" i="36"/>
  <c r="AC25" i="36"/>
  <c r="W29" i="36"/>
  <c r="U25" i="36"/>
  <c r="AB28" i="36"/>
  <c r="U25" i="35"/>
  <c r="AA35" i="37"/>
  <c r="W36" i="37"/>
  <c r="W32" i="37"/>
  <c r="U38" i="37"/>
  <c r="AB37" i="37"/>
  <c r="AC34" i="37"/>
  <c r="U19" i="37"/>
  <c r="U8" i="37"/>
  <c r="AB40" i="34"/>
  <c r="U19" i="34"/>
  <c r="W19" i="34"/>
  <c r="AB45" i="34"/>
  <c r="AB47" i="34"/>
  <c r="U25" i="34"/>
  <c r="AB36" i="34"/>
  <c r="W46" i="34"/>
  <c r="S37" i="34"/>
  <c r="AC40" i="34"/>
  <c r="W40" i="34"/>
  <c r="AA19" i="34"/>
  <c r="S19" i="34"/>
  <c r="AA36" i="34"/>
  <c r="S36" i="34"/>
  <c r="U14" i="34"/>
  <c r="AB14" i="34"/>
  <c r="AC43" i="34"/>
  <c r="W43" i="34"/>
  <c r="AC23" i="34"/>
  <c r="AC35" i="34"/>
  <c r="W35" i="34"/>
  <c r="U12" i="34"/>
  <c r="AB12" i="34"/>
  <c r="U38" i="33"/>
  <c r="AB34" i="33"/>
  <c r="S30" i="33"/>
  <c r="AC30" i="33"/>
  <c r="W30" i="33"/>
  <c r="S31" i="33"/>
  <c r="AA31" i="33"/>
  <c r="S11" i="33"/>
  <c r="W8" i="33"/>
  <c r="U28" i="21"/>
  <c r="I101" i="21"/>
  <c r="J101" i="21" s="1"/>
  <c r="K101" i="21" s="1"/>
  <c r="L101" i="21" s="1"/>
  <c r="M101" i="21" s="1"/>
  <c r="F33" i="21"/>
  <c r="AA33" i="21" s="1"/>
  <c r="J33" i="21"/>
  <c r="AC33" i="21" s="1"/>
  <c r="H33" i="21"/>
  <c r="AB33" i="21" s="1"/>
  <c r="F37" i="21"/>
  <c r="AA37" i="21" s="1"/>
  <c r="S35" i="21"/>
  <c r="J37" i="21"/>
  <c r="W37" i="21" s="1"/>
  <c r="H15" i="21"/>
  <c r="U15" i="21" s="1"/>
  <c r="J17" i="21"/>
  <c r="AC17" i="21" s="1"/>
  <c r="AC19" i="21"/>
  <c r="W39" i="21"/>
  <c r="F29" i="21"/>
  <c r="AA29" i="21" s="1"/>
  <c r="H32" i="21"/>
  <c r="U32" i="21" s="1"/>
  <c r="H9" i="21"/>
  <c r="U9" i="21" s="1"/>
  <c r="J9" i="21"/>
  <c r="W9" i="21" s="1"/>
  <c r="J32" i="21"/>
  <c r="W32" i="21" s="1"/>
  <c r="F32" i="21"/>
  <c r="S32" i="21" s="1"/>
  <c r="U17" i="21"/>
  <c r="W29" i="21"/>
  <c r="S19" i="21"/>
  <c r="S9" i="21"/>
  <c r="AA9" i="21"/>
  <c r="K141" i="21"/>
  <c r="K144" i="21"/>
  <c r="K143" i="21"/>
  <c r="AB25" i="21"/>
  <c r="AA30" i="21"/>
  <c r="F10" i="21"/>
  <c r="AA10" i="21" s="1"/>
  <c r="K145" i="21"/>
  <c r="W25" i="21"/>
  <c r="S17" i="21"/>
  <c r="AB29" i="21"/>
  <c r="S28" i="21"/>
  <c r="AB36" i="21"/>
  <c r="C19" i="39"/>
  <c r="C15" i="40"/>
  <c r="C23" i="40"/>
  <c r="C21" i="40"/>
  <c r="U30" i="40"/>
  <c r="B56" i="43"/>
  <c r="B67" i="43"/>
  <c r="B51" i="43"/>
  <c r="B54" i="43"/>
  <c r="B58" i="43"/>
  <c r="B62" i="43"/>
  <c r="B69" i="43"/>
  <c r="D23" i="15"/>
  <c r="D22" i="15"/>
  <c r="E4" i="4"/>
  <c r="B5" i="62" s="1"/>
  <c r="B73" i="72" s="1"/>
  <c r="C4" i="4"/>
  <c r="F30" i="11"/>
  <c r="C48" i="11" s="1"/>
  <c r="F28" i="67"/>
  <c r="F31" i="12"/>
  <c r="F52" i="9"/>
  <c r="M18" i="15"/>
  <c r="J32" i="39"/>
  <c r="H32" i="39"/>
  <c r="AB21" i="39"/>
  <c r="U21" i="39"/>
  <c r="AA21" i="39"/>
  <c r="S21" i="39"/>
  <c r="AC17" i="37"/>
  <c r="S17" i="37"/>
  <c r="J19" i="37"/>
  <c r="W19" i="37" s="1"/>
  <c r="G75" i="37"/>
  <c r="J23" i="37"/>
  <c r="G79" i="37"/>
  <c r="J10" i="37"/>
  <c r="W10" i="37" s="1"/>
  <c r="H11" i="37"/>
  <c r="AB11" i="37" s="1"/>
  <c r="H11" i="34"/>
  <c r="U11" i="34" s="1"/>
  <c r="J10" i="34"/>
  <c r="AC10" i="34" s="1"/>
  <c r="AB41" i="33"/>
  <c r="W35" i="33"/>
  <c r="AC35" i="33"/>
  <c r="J36" i="33"/>
  <c r="W36" i="33" s="1"/>
  <c r="H36" i="33"/>
  <c r="W32" i="33"/>
  <c r="G91" i="33"/>
  <c r="H91" i="33" s="1"/>
  <c r="I91" i="33" s="1"/>
  <c r="J91" i="33" s="1"/>
  <c r="K91" i="33" s="1"/>
  <c r="L91" i="33" s="1"/>
  <c r="M91" i="33" s="1"/>
  <c r="J27" i="33"/>
  <c r="AC27" i="33" s="1"/>
  <c r="AB25" i="33"/>
  <c r="G87" i="33"/>
  <c r="H87" i="33"/>
  <c r="I87" i="33" s="1"/>
  <c r="J87" i="33" s="1"/>
  <c r="K87" i="33" s="1"/>
  <c r="L87" i="33" s="1"/>
  <c r="M87" i="33" s="1"/>
  <c r="J25" i="33"/>
  <c r="AC25" i="33" s="1"/>
  <c r="U23" i="33"/>
  <c r="F23" i="33"/>
  <c r="H19" i="33"/>
  <c r="U19" i="33" s="1"/>
  <c r="G81" i="33"/>
  <c r="H17" i="33"/>
  <c r="U17" i="33" s="1"/>
  <c r="F17" i="33"/>
  <c r="S17" i="33" s="1"/>
  <c r="J23" i="21"/>
  <c r="W23" i="21" s="1"/>
  <c r="H23" i="21"/>
  <c r="AB23" i="21" s="1"/>
  <c r="S13" i="21"/>
  <c r="AP7" i="1"/>
  <c r="A18" i="62"/>
  <c r="B64" i="72" s="1"/>
  <c r="J63" i="37"/>
  <c r="K63" i="37" s="1"/>
  <c r="L63" i="37" s="1"/>
  <c r="M63" i="37" s="1"/>
  <c r="J11" i="37"/>
  <c r="AC11" i="37" s="1"/>
  <c r="H70" i="34"/>
  <c r="I70" i="34" s="1"/>
  <c r="J70" i="34" s="1"/>
  <c r="K70" i="34" s="1"/>
  <c r="L70" i="34" s="1"/>
  <c r="M70" i="34" s="1"/>
  <c r="J11" i="34"/>
  <c r="W11" i="34" s="1"/>
  <c r="AB19" i="33"/>
  <c r="AA17" i="33"/>
  <c r="U23" i="21"/>
  <c r="H109" i="9"/>
  <c r="M49" i="9" s="1"/>
  <c r="H112" i="9"/>
  <c r="D21" i="53" s="1"/>
  <c r="B39" i="72" s="1"/>
  <c r="H111" i="9"/>
  <c r="D126" i="9" s="1"/>
  <c r="J1" i="73"/>
  <c r="D24" i="71"/>
  <c r="U24" i="71" s="1"/>
  <c r="S24" i="71"/>
  <c r="T24" i="71"/>
  <c r="Y20" i="71"/>
  <c r="Z20" i="71" s="1"/>
  <c r="B8" i="76"/>
  <c r="B12" i="76"/>
  <c r="E10" i="76"/>
  <c r="F7" i="73"/>
  <c r="F36" i="67"/>
  <c r="J15" i="67"/>
  <c r="F16" i="67"/>
  <c r="M26" i="67"/>
  <c r="F7" i="67"/>
  <c r="D19" i="9"/>
  <c r="F3" i="73"/>
  <c r="E9" i="76"/>
  <c r="B11" i="76"/>
  <c r="C20" i="9"/>
  <c r="B9" i="76"/>
  <c r="E11" i="76"/>
  <c r="F26" i="67"/>
  <c r="B7" i="76"/>
  <c r="L47" i="15"/>
  <c r="M6" i="67"/>
  <c r="F9" i="67"/>
  <c r="B13" i="76"/>
  <c r="F13" i="67"/>
  <c r="E7" i="76"/>
  <c r="F43" i="15"/>
  <c r="B10" i="76"/>
  <c r="E12" i="76"/>
  <c r="AO13" i="1"/>
  <c r="F42" i="67"/>
  <c r="E2" i="68"/>
  <c r="M23" i="67"/>
  <c r="M29" i="67"/>
  <c r="E8" i="76"/>
  <c r="C19" i="9"/>
  <c r="M8" i="67"/>
  <c r="F5" i="73"/>
  <c r="E2" i="69"/>
  <c r="F20" i="31"/>
  <c r="E13" i="76"/>
  <c r="D35" i="9"/>
  <c r="C76" i="67"/>
  <c r="F6" i="73"/>
  <c r="D34" i="9"/>
  <c r="F6" i="67"/>
  <c r="F4" i="73"/>
  <c r="D6" i="73"/>
  <c r="D20" i="9"/>
  <c r="F27" i="21" l="1"/>
  <c r="AA27" i="21" s="1"/>
  <c r="H27" i="21"/>
  <c r="AB27" i="21" s="1"/>
  <c r="AC27" i="21"/>
  <c r="U27" i="21"/>
  <c r="AC26" i="21"/>
  <c r="S26" i="21"/>
  <c r="AA15" i="21"/>
  <c r="AA42" i="21"/>
  <c r="S39" i="40"/>
  <c r="AA39" i="40"/>
  <c r="W32" i="34"/>
  <c r="AC32" i="34"/>
  <c r="AZ572" i="3"/>
  <c r="AZ554" i="3"/>
  <c r="AZ552" i="3"/>
  <c r="AZ543" i="3"/>
  <c r="AZ527" i="3"/>
  <c r="AZ520" i="3"/>
  <c r="AZ498" i="3"/>
  <c r="U42" i="21"/>
  <c r="AB42" i="21"/>
  <c r="AA32" i="39"/>
  <c r="S32" i="39"/>
  <c r="BO5" i="3"/>
  <c r="AC44" i="21"/>
  <c r="W44" i="21"/>
  <c r="AB43" i="21"/>
  <c r="U43" i="21"/>
  <c r="H13" i="21"/>
  <c r="AA44" i="21"/>
  <c r="S44" i="21"/>
  <c r="BA584" i="3"/>
  <c r="BA578" i="3"/>
  <c r="BA575" i="3"/>
  <c r="W34" i="21"/>
  <c r="AC34" i="21"/>
  <c r="J45" i="21"/>
  <c r="F45" i="21"/>
  <c r="H45" i="21"/>
  <c r="U45" i="21" s="1"/>
  <c r="W39" i="33"/>
  <c r="AC39" i="33"/>
  <c r="H28" i="33"/>
  <c r="F28" i="33"/>
  <c r="J28" i="33"/>
  <c r="U8" i="34"/>
  <c r="AB8" i="34"/>
  <c r="AA34" i="39"/>
  <c r="S34" i="39"/>
  <c r="AA3" i="71"/>
  <c r="S32" i="34"/>
  <c r="AA32" i="34"/>
  <c r="F31" i="21"/>
  <c r="J31" i="21"/>
  <c r="H12" i="33"/>
  <c r="U12" i="33" s="1"/>
  <c r="F12" i="33"/>
  <c r="BL565" i="3"/>
  <c r="AC30" i="21"/>
  <c r="W30" i="21"/>
  <c r="U17" i="37"/>
  <c r="AB17" i="37"/>
  <c r="S30" i="34"/>
  <c r="AA30" i="34"/>
  <c r="AA40" i="21"/>
  <c r="S40" i="21"/>
  <c r="BE5" i="3"/>
  <c r="BA565" i="3"/>
  <c r="BA563" i="3"/>
  <c r="AZ563" i="3" s="1"/>
  <c r="BL554" i="3"/>
  <c r="BL546" i="3"/>
  <c r="BL544" i="3"/>
  <c r="BA544" i="3"/>
  <c r="BA523" i="3"/>
  <c r="BA502" i="3"/>
  <c r="AZ502" i="3" s="1"/>
  <c r="BD5" i="3"/>
  <c r="W32" i="39"/>
  <c r="AC32" i="39"/>
  <c r="F30" i="68"/>
  <c r="F48" i="68" s="1"/>
  <c r="A122" i="9"/>
  <c r="A8" i="52" s="1"/>
  <c r="B54" i="72" s="1"/>
  <c r="B13" i="53"/>
  <c r="B29" i="72" s="1"/>
  <c r="F24" i="71"/>
  <c r="F23" i="71" s="1"/>
  <c r="F22" i="71" s="1"/>
  <c r="F21" i="71" s="1"/>
  <c r="F20" i="71" s="1"/>
  <c r="F19" i="71" s="1"/>
  <c r="F18" i="71" s="1"/>
  <c r="F17" i="71" s="1"/>
  <c r="AB22" i="71"/>
  <c r="BL527" i="3"/>
  <c r="AZ203" i="3"/>
  <c r="BL517" i="3"/>
  <c r="AZ517" i="3" s="1"/>
  <c r="BL567" i="3"/>
  <c r="AZ567" i="3" s="1"/>
  <c r="AA41" i="33"/>
  <c r="S41" i="33"/>
  <c r="BC5" i="3"/>
  <c r="E66" i="71"/>
  <c r="P67" i="71"/>
  <c r="U19" i="39"/>
  <c r="F48" i="9"/>
  <c r="O52" i="9" s="1"/>
  <c r="F32" i="67"/>
  <c r="F60" i="67" s="1"/>
  <c r="M18" i="67"/>
  <c r="F30" i="69"/>
  <c r="F48" i="69" s="1"/>
  <c r="F32" i="15"/>
  <c r="F60" i="15" s="1"/>
  <c r="BL586" i="3"/>
  <c r="BP5" i="3"/>
  <c r="E11" i="6" s="1"/>
  <c r="E60" i="39" s="1"/>
  <c r="AB32" i="34"/>
  <c r="BA586" i="3"/>
  <c r="AC23" i="37"/>
  <c r="W23" i="37"/>
  <c r="D68" i="9"/>
  <c r="U15" i="33"/>
  <c r="AA29" i="37"/>
  <c r="AA16" i="35"/>
  <c r="AA43" i="21"/>
  <c r="AC29" i="37"/>
  <c r="H5" i="3"/>
  <c r="W12" i="37"/>
  <c r="AC12" i="37"/>
  <c r="AZ516" i="3"/>
  <c r="W45" i="34"/>
  <c r="AC45" i="34"/>
  <c r="AC38" i="34"/>
  <c r="AA36" i="40"/>
  <c r="S36" i="40"/>
  <c r="H29" i="34"/>
  <c r="J29" i="34"/>
  <c r="F29" i="34"/>
  <c r="AC30" i="40"/>
  <c r="W30" i="40"/>
  <c r="AB16" i="36"/>
  <c r="U16" i="36"/>
  <c r="W17" i="40"/>
  <c r="AC17" i="40"/>
  <c r="AC22" i="36"/>
  <c r="W22" i="36"/>
  <c r="BJ5" i="3"/>
  <c r="BA15" i="3"/>
  <c r="BF5" i="3"/>
  <c r="D78" i="9"/>
  <c r="D93" i="9"/>
  <c r="AA36" i="37"/>
  <c r="S36" i="37"/>
  <c r="AA45" i="33"/>
  <c r="S45" i="33"/>
  <c r="AB32" i="21"/>
  <c r="C17" i="40"/>
  <c r="W35" i="35"/>
  <c r="S23" i="40"/>
  <c r="AZ387" i="3"/>
  <c r="BL541" i="3"/>
  <c r="AZ541" i="3" s="1"/>
  <c r="F35" i="35"/>
  <c r="AB30" i="33"/>
  <c r="U30" i="33"/>
  <c r="U26" i="33"/>
  <c r="AB26" i="33"/>
  <c r="S42" i="34"/>
  <c r="U17" i="34"/>
  <c r="AB17" i="34"/>
  <c r="J33" i="40"/>
  <c r="F33" i="40"/>
  <c r="H33" i="40"/>
  <c r="BA542" i="3"/>
  <c r="AZ542" i="3" s="1"/>
  <c r="BA534" i="3"/>
  <c r="AZ534" i="3" s="1"/>
  <c r="BA513" i="3"/>
  <c r="AA13" i="40"/>
  <c r="S13" i="40"/>
  <c r="AZ515" i="3"/>
  <c r="BG5" i="3"/>
  <c r="AA11" i="36"/>
  <c r="S11" i="36"/>
  <c r="AC8" i="34"/>
  <c r="W8" i="34"/>
  <c r="AB32" i="39"/>
  <c r="U32" i="39"/>
  <c r="U38" i="34"/>
  <c r="S43" i="34"/>
  <c r="AZ371" i="3"/>
  <c r="BL569" i="3"/>
  <c r="AZ569" i="3" s="1"/>
  <c r="U30" i="34"/>
  <c r="AB30" i="34"/>
  <c r="W13" i="33"/>
  <c r="AC13" i="33"/>
  <c r="AB9" i="34"/>
  <c r="U9" i="34"/>
  <c r="BR5" i="3"/>
  <c r="AA37" i="37"/>
  <c r="S37" i="37"/>
  <c r="BL535" i="3"/>
  <c r="T80" i="71"/>
  <c r="D80" i="71"/>
  <c r="AB20" i="71"/>
  <c r="U19" i="40"/>
  <c r="AB19" i="40"/>
  <c r="H35" i="35"/>
  <c r="S8" i="34"/>
  <c r="AA31" i="37"/>
  <c r="W31" i="39"/>
  <c r="S23" i="34"/>
  <c r="S17" i="40"/>
  <c r="W15" i="37"/>
  <c r="AC15" i="37"/>
  <c r="BL495" i="3"/>
  <c r="AZ521" i="3"/>
  <c r="S31" i="34"/>
  <c r="S26" i="33"/>
  <c r="AA23" i="35"/>
  <c r="S23" i="35"/>
  <c r="B97" i="43"/>
  <c r="B65" i="43"/>
  <c r="B75" i="43"/>
  <c r="F28" i="37"/>
  <c r="J28" i="37"/>
  <c r="H28" i="37"/>
  <c r="J43" i="39"/>
  <c r="F43" i="39"/>
  <c r="AB38" i="39"/>
  <c r="U38" i="39"/>
  <c r="BA582" i="3"/>
  <c r="BA574" i="3"/>
  <c r="AZ574" i="3" s="1"/>
  <c r="BA566" i="3"/>
  <c r="G563" i="3"/>
  <c r="BA545" i="3"/>
  <c r="BA529" i="3"/>
  <c r="BA521" i="3"/>
  <c r="BL518" i="3"/>
  <c r="G518" i="3"/>
  <c r="BL510" i="3"/>
  <c r="BA508" i="3"/>
  <c r="AZ508" i="3" s="1"/>
  <c r="BA500" i="3"/>
  <c r="AZ500" i="3" s="1"/>
  <c r="X19" i="71"/>
  <c r="AA40" i="37"/>
  <c r="S40" i="37"/>
  <c r="AC23" i="39"/>
  <c r="W23" i="39"/>
  <c r="AC37" i="40"/>
  <c r="W37" i="40"/>
  <c r="AC5" i="3"/>
  <c r="BH5" i="3"/>
  <c r="BA16" i="3"/>
  <c r="BB5" i="3"/>
  <c r="E14" i="6" s="1"/>
  <c r="BA13" i="3"/>
  <c r="AZ13" i="3" s="1"/>
  <c r="U39" i="33"/>
  <c r="X20" i="71"/>
  <c r="U16" i="35"/>
  <c r="AB16" i="35"/>
  <c r="S46" i="33"/>
  <c r="AA19" i="71"/>
  <c r="AC9" i="21"/>
  <c r="AC23" i="21"/>
  <c r="AB35" i="37"/>
  <c r="U41" i="39"/>
  <c r="W28" i="40"/>
  <c r="D120" i="9"/>
  <c r="D121" i="9" s="1"/>
  <c r="D7" i="52" s="1"/>
  <c r="U27" i="34"/>
  <c r="AB20" i="36"/>
  <c r="AB27" i="39"/>
  <c r="S31" i="39"/>
  <c r="U20" i="35"/>
  <c r="H24" i="35"/>
  <c r="AB28" i="34"/>
  <c r="U28" i="34"/>
  <c r="AC28" i="34"/>
  <c r="AZ497" i="3"/>
  <c r="BL509" i="3"/>
  <c r="AZ509" i="3" s="1"/>
  <c r="AZ524" i="3"/>
  <c r="S38" i="37"/>
  <c r="S25" i="35"/>
  <c r="AA25" i="35"/>
  <c r="J13" i="21"/>
  <c r="AA14" i="35"/>
  <c r="S14" i="35"/>
  <c r="J13" i="34"/>
  <c r="H13" i="34"/>
  <c r="U13" i="34" s="1"/>
  <c r="F13" i="34"/>
  <c r="AC30" i="37"/>
  <c r="W30" i="37"/>
  <c r="J13" i="37"/>
  <c r="F13" i="37"/>
  <c r="H44" i="39"/>
  <c r="F44" i="39"/>
  <c r="S38" i="34"/>
  <c r="BA577" i="3"/>
  <c r="G566" i="3"/>
  <c r="BA561" i="3"/>
  <c r="AZ561" i="3" s="1"/>
  <c r="BL542" i="3"/>
  <c r="BL534" i="3"/>
  <c r="G534" i="3"/>
  <c r="BL526" i="3"/>
  <c r="AZ526" i="3" s="1"/>
  <c r="G513" i="3"/>
  <c r="AA25" i="33"/>
  <c r="AB44" i="21"/>
  <c r="W38" i="37"/>
  <c r="AB14" i="36"/>
  <c r="AZ389" i="3"/>
  <c r="F14" i="21"/>
  <c r="J14" i="21"/>
  <c r="H14" i="21"/>
  <c r="J46" i="21"/>
  <c r="W46" i="21" s="1"/>
  <c r="F46" i="21"/>
  <c r="U37" i="33"/>
  <c r="AC17" i="33"/>
  <c r="W17" i="33"/>
  <c r="AB35" i="34"/>
  <c r="W15" i="40"/>
  <c r="AC15" i="40"/>
  <c r="AB11" i="39"/>
  <c r="U11" i="39"/>
  <c r="AB40" i="21"/>
  <c r="U40" i="21"/>
  <c r="AA32" i="21"/>
  <c r="F28" i="15"/>
  <c r="W42" i="21"/>
  <c r="AB28" i="40"/>
  <c r="W43" i="21"/>
  <c r="U33" i="34"/>
  <c r="AB34" i="39"/>
  <c r="AA24" i="35"/>
  <c r="BL499" i="3"/>
  <c r="BL583" i="3"/>
  <c r="AZ583" i="3" s="1"/>
  <c r="W41" i="39"/>
  <c r="AC41" i="39"/>
  <c r="W25" i="35"/>
  <c r="AC25" i="35"/>
  <c r="F29" i="33"/>
  <c r="H46" i="21"/>
  <c r="AC44" i="39"/>
  <c r="W38" i="21"/>
  <c r="AC38" i="21"/>
  <c r="H31" i="21"/>
  <c r="J12" i="33"/>
  <c r="F14" i="34"/>
  <c r="S14" i="34" s="1"/>
  <c r="J14" i="34"/>
  <c r="AC24" i="35"/>
  <c r="AC25" i="37"/>
  <c r="W25" i="37"/>
  <c r="H45" i="39"/>
  <c r="F45" i="39"/>
  <c r="AA8" i="40"/>
  <c r="S8" i="40"/>
  <c r="BL566" i="3"/>
  <c r="G553" i="3"/>
  <c r="BA548" i="3"/>
  <c r="G545" i="3"/>
  <c r="BA540" i="3"/>
  <c r="AZ540" i="3" s="1"/>
  <c r="BA519" i="3"/>
  <c r="BA511" i="3"/>
  <c r="BL500" i="3"/>
  <c r="BS5" i="3"/>
  <c r="G223" i="3"/>
  <c r="BL227" i="3"/>
  <c r="BA229" i="3"/>
  <c r="AZ229" i="3" s="1"/>
  <c r="BL229" i="3"/>
  <c r="BN5" i="3"/>
  <c r="AZ181" i="3"/>
  <c r="F9" i="34"/>
  <c r="AA9" i="34" s="1"/>
  <c r="J9" i="34"/>
  <c r="AC9" i="34" s="1"/>
  <c r="J12" i="36"/>
  <c r="H12" i="36"/>
  <c r="BA568" i="3"/>
  <c r="BL562" i="3"/>
  <c r="BA528" i="3"/>
  <c r="AZ528" i="3" s="1"/>
  <c r="BL522" i="3"/>
  <c r="AZ522" i="3" s="1"/>
  <c r="BA518" i="3"/>
  <c r="AZ310" i="3"/>
  <c r="AZ326" i="3"/>
  <c r="AZ336" i="3"/>
  <c r="AZ390" i="3"/>
  <c r="AC15" i="33"/>
  <c r="W15" i="33"/>
  <c r="J12" i="40"/>
  <c r="H12" i="40"/>
  <c r="AB12" i="40" s="1"/>
  <c r="BL530" i="3"/>
  <c r="AZ530" i="3" s="1"/>
  <c r="BA512" i="3"/>
  <c r="AZ512" i="3" s="1"/>
  <c r="BA510" i="3"/>
  <c r="BA507" i="3"/>
  <c r="BL504" i="3"/>
  <c r="S27" i="40"/>
  <c r="AA27" i="40"/>
  <c r="S33" i="34"/>
  <c r="AA33" i="34"/>
  <c r="AZ322" i="3"/>
  <c r="AZ360" i="3"/>
  <c r="BL501" i="3"/>
  <c r="AZ501" i="3" s="1"/>
  <c r="BL543" i="3"/>
  <c r="AA32" i="35"/>
  <c r="S32" i="35"/>
  <c r="H46" i="34"/>
  <c r="F46" i="34"/>
  <c r="J13" i="36"/>
  <c r="W13" i="36" s="1"/>
  <c r="H13" i="36"/>
  <c r="F13" i="36"/>
  <c r="BL584" i="3"/>
  <c r="BL576" i="3"/>
  <c r="AZ576" i="3" s="1"/>
  <c r="BA571" i="3"/>
  <c r="BL570" i="3"/>
  <c r="AZ570" i="3" s="1"/>
  <c r="AB9" i="39"/>
  <c r="U9" i="39"/>
  <c r="BA539" i="3"/>
  <c r="BL538" i="3"/>
  <c r="AZ538" i="3" s="1"/>
  <c r="BL533" i="3"/>
  <c r="AZ533" i="3" s="1"/>
  <c r="W14" i="33"/>
  <c r="AB27" i="33"/>
  <c r="U27" i="33"/>
  <c r="AZ338" i="3"/>
  <c r="AZ378" i="3"/>
  <c r="BL503" i="3"/>
  <c r="AZ503" i="3" s="1"/>
  <c r="BL511" i="3"/>
  <c r="BL523" i="3"/>
  <c r="BL545" i="3"/>
  <c r="F12" i="36"/>
  <c r="W40" i="21"/>
  <c r="AC40" i="21"/>
  <c r="AC40" i="33"/>
  <c r="W40" i="33"/>
  <c r="H44" i="33"/>
  <c r="J44" i="33"/>
  <c r="AA41" i="21"/>
  <c r="S41" i="21"/>
  <c r="BL552" i="3"/>
  <c r="BA536" i="3"/>
  <c r="AZ536" i="3" s="1"/>
  <c r="BA499" i="3"/>
  <c r="AZ351" i="3"/>
  <c r="BL505" i="3"/>
  <c r="AZ505" i="3" s="1"/>
  <c r="BL513" i="3"/>
  <c r="BL525" i="3"/>
  <c r="AZ525" i="3" s="1"/>
  <c r="BL547" i="3"/>
  <c r="AZ547" i="3" s="1"/>
  <c r="AA33" i="33"/>
  <c r="S33" i="33"/>
  <c r="BA380" i="3"/>
  <c r="AZ380" i="3" s="1"/>
  <c r="BA257" i="3"/>
  <c r="AZ373" i="3"/>
  <c r="BL519" i="3"/>
  <c r="BL577" i="3"/>
  <c r="AZ577" i="3" s="1"/>
  <c r="BL575" i="3"/>
  <c r="AZ575" i="3" s="1"/>
  <c r="BA559" i="3"/>
  <c r="BL556" i="3"/>
  <c r="AZ556" i="3" s="1"/>
  <c r="G511" i="3"/>
  <c r="BA493" i="3"/>
  <c r="AZ493" i="3" s="1"/>
  <c r="BA402" i="3"/>
  <c r="AZ402" i="3" s="1"/>
  <c r="BL402" i="3"/>
  <c r="C51" i="10"/>
  <c r="A4" i="52"/>
  <c r="B41" i="72" s="1"/>
  <c r="AZ311" i="3"/>
  <c r="BL531" i="3"/>
  <c r="AZ531" i="3" s="1"/>
  <c r="BL551" i="3"/>
  <c r="BL559" i="3"/>
  <c r="AZ559" i="3" s="1"/>
  <c r="BL579" i="3"/>
  <c r="F12" i="34"/>
  <c r="S12" i="34" s="1"/>
  <c r="BL423" i="3"/>
  <c r="BL289" i="3"/>
  <c r="BL581" i="3"/>
  <c r="G585" i="3"/>
  <c r="BA587" i="3"/>
  <c r="H11" i="35"/>
  <c r="AB11" i="35" s="1"/>
  <c r="J11" i="35"/>
  <c r="H27" i="37"/>
  <c r="F27" i="37"/>
  <c r="AA38" i="39"/>
  <c r="S38" i="39"/>
  <c r="BA573" i="3"/>
  <c r="BA504" i="3"/>
  <c r="AZ504" i="3" s="1"/>
  <c r="U21" i="33"/>
  <c r="AB21" i="33"/>
  <c r="BA265" i="3"/>
  <c r="BL122" i="3"/>
  <c r="BA255" i="3"/>
  <c r="BL185" i="3"/>
  <c r="BA201" i="3"/>
  <c r="AZ201" i="3" s="1"/>
  <c r="BA354" i="3"/>
  <c r="G239" i="3"/>
  <c r="BA105" i="3"/>
  <c r="B8" i="1"/>
  <c r="E8" i="1" s="1"/>
  <c r="K8" i="1"/>
  <c r="M8" i="1" s="1"/>
  <c r="Y29" i="71"/>
  <c r="Z29" i="71" s="1"/>
  <c r="C30" i="71"/>
  <c r="D30" i="71" s="1"/>
  <c r="BL433" i="3"/>
  <c r="BL465" i="3"/>
  <c r="BA303" i="3"/>
  <c r="AZ303" i="3" s="1"/>
  <c r="BA339" i="3"/>
  <c r="AZ339" i="3" s="1"/>
  <c r="G358" i="3"/>
  <c r="BL69" i="3"/>
  <c r="BA88" i="3"/>
  <c r="AB21" i="34"/>
  <c r="U21" i="34"/>
  <c r="AB35" i="71"/>
  <c r="S72" i="71"/>
  <c r="B71" i="71"/>
  <c r="B70" i="71" s="1"/>
  <c r="T76" i="71"/>
  <c r="D76" i="71"/>
  <c r="C75" i="71"/>
  <c r="V80" i="71"/>
  <c r="F79" i="71"/>
  <c r="F78" i="71" s="1"/>
  <c r="BA173" i="3"/>
  <c r="BA197" i="3"/>
  <c r="BA19" i="3"/>
  <c r="BA45" i="3"/>
  <c r="T72" i="71"/>
  <c r="D72" i="71"/>
  <c r="AZ163" i="3"/>
  <c r="BL529" i="3"/>
  <c r="AZ529" i="3" s="1"/>
  <c r="BL416" i="3"/>
  <c r="BA452" i="3"/>
  <c r="AZ452" i="3" s="1"/>
  <c r="G453" i="3"/>
  <c r="BL458" i="3"/>
  <c r="BL459" i="3"/>
  <c r="BA463" i="3"/>
  <c r="BA465" i="3"/>
  <c r="G470" i="3"/>
  <c r="BA476" i="3"/>
  <c r="BA134" i="3"/>
  <c r="BA145" i="3"/>
  <c r="BA160" i="3"/>
  <c r="AZ160" i="3" s="1"/>
  <c r="BA71" i="3"/>
  <c r="BA84" i="3"/>
  <c r="BL112" i="3"/>
  <c r="G452" i="3"/>
  <c r="BL455" i="3"/>
  <c r="BA348" i="3"/>
  <c r="BA350" i="3"/>
  <c r="AZ350" i="3" s="1"/>
  <c r="BA270" i="3"/>
  <c r="BL291" i="3"/>
  <c r="BL127" i="3"/>
  <c r="AZ127" i="3" s="1"/>
  <c r="G138" i="3"/>
  <c r="G151" i="3"/>
  <c r="BA67" i="3"/>
  <c r="BA444" i="3"/>
  <c r="BL220" i="3"/>
  <c r="G258" i="3"/>
  <c r="BL262" i="3"/>
  <c r="BL263" i="3"/>
  <c r="G274" i="3"/>
  <c r="BL278" i="3"/>
  <c r="G164" i="3"/>
  <c r="BL181" i="3"/>
  <c r="BA182" i="3"/>
  <c r="BA194" i="3"/>
  <c r="BL64" i="3"/>
  <c r="C51" i="71"/>
  <c r="C52" i="71" s="1"/>
  <c r="D50" i="71"/>
  <c r="C64" i="71"/>
  <c r="D63" i="71"/>
  <c r="BL399" i="3"/>
  <c r="G408" i="3"/>
  <c r="BL412" i="3"/>
  <c r="G474" i="3"/>
  <c r="G311" i="3"/>
  <c r="BL314" i="3"/>
  <c r="AZ314" i="3" s="1"/>
  <c r="BL340" i="3"/>
  <c r="AZ340" i="3" s="1"/>
  <c r="G347" i="3"/>
  <c r="BL375" i="3"/>
  <c r="AZ375" i="3" s="1"/>
  <c r="G210" i="3"/>
  <c r="BA283" i="3"/>
  <c r="AZ118" i="3"/>
  <c r="BL118" i="3"/>
  <c r="BL173" i="3"/>
  <c r="BA174" i="3"/>
  <c r="BA22" i="3"/>
  <c r="G39" i="3"/>
  <c r="G55" i="3"/>
  <c r="BL86" i="3"/>
  <c r="G98" i="3"/>
  <c r="G112" i="3"/>
  <c r="F31" i="71"/>
  <c r="F32" i="71" s="1"/>
  <c r="V32" i="71" s="1"/>
  <c r="AB32" i="71"/>
  <c r="AA35" i="71"/>
  <c r="B63" i="71"/>
  <c r="B64" i="71" s="1"/>
  <c r="S64" i="71" s="1"/>
  <c r="G417" i="3"/>
  <c r="BA424" i="3"/>
  <c r="G436" i="3"/>
  <c r="G437" i="3"/>
  <c r="G467" i="3"/>
  <c r="BL471" i="3"/>
  <c r="G221" i="3"/>
  <c r="BL224" i="3"/>
  <c r="BA301" i="3"/>
  <c r="BA53" i="3"/>
  <c r="BA54" i="3"/>
  <c r="BL63" i="3"/>
  <c r="BA65" i="3"/>
  <c r="BL79" i="3"/>
  <c r="F40" i="69"/>
  <c r="C40" i="69"/>
  <c r="BA407" i="3"/>
  <c r="BL469" i="3"/>
  <c r="G220" i="3"/>
  <c r="BL223" i="3"/>
  <c r="G251" i="3"/>
  <c r="BL149" i="3"/>
  <c r="BL150" i="3"/>
  <c r="BA152" i="3"/>
  <c r="AZ152" i="3" s="1"/>
  <c r="BA154" i="3"/>
  <c r="AZ154" i="3" s="1"/>
  <c r="G20" i="3"/>
  <c r="BL23" i="3"/>
  <c r="BA26" i="3"/>
  <c r="BL35" i="3"/>
  <c r="BA52" i="3"/>
  <c r="BL62" i="3"/>
  <c r="G73" i="3"/>
  <c r="BL93" i="3"/>
  <c r="B88" i="43"/>
  <c r="Y27" i="71"/>
  <c r="Z27" i="71" s="1"/>
  <c r="T68" i="71"/>
  <c r="O68" i="71"/>
  <c r="BL573" i="3"/>
  <c r="AZ573" i="3" s="1"/>
  <c r="BL419" i="3"/>
  <c r="BA470" i="3"/>
  <c r="BL222" i="3"/>
  <c r="BA225" i="3"/>
  <c r="AZ225" i="3" s="1"/>
  <c r="BA227" i="3"/>
  <c r="AZ227" i="3" s="1"/>
  <c r="BL237" i="3"/>
  <c r="BL238" i="3"/>
  <c r="BL254" i="3"/>
  <c r="BL135" i="3"/>
  <c r="AZ135" i="3" s="1"/>
  <c r="BL163" i="3"/>
  <c r="BL34" i="3"/>
  <c r="BA109" i="3"/>
  <c r="Y35" i="71"/>
  <c r="Z35" i="71" s="1"/>
  <c r="C38" i="71"/>
  <c r="D38" i="71" s="1"/>
  <c r="F52" i="71"/>
  <c r="V52" i="71" s="1"/>
  <c r="D58" i="71"/>
  <c r="C59" i="71"/>
  <c r="BA404" i="3"/>
  <c r="AZ404" i="3" s="1"/>
  <c r="BA405" i="3"/>
  <c r="G412" i="3"/>
  <c r="BA422" i="3"/>
  <c r="BL438" i="3"/>
  <c r="BL439" i="3"/>
  <c r="BA451" i="3"/>
  <c r="BA331" i="3"/>
  <c r="AZ331" i="3" s="1"/>
  <c r="G351" i="3"/>
  <c r="G216" i="3"/>
  <c r="G218" i="3"/>
  <c r="BL221" i="3"/>
  <c r="G231" i="3"/>
  <c r="BL235" i="3"/>
  <c r="BL236" i="3"/>
  <c r="BA125" i="3"/>
  <c r="BA189" i="3"/>
  <c r="G196" i="3"/>
  <c r="G18" i="3"/>
  <c r="G30" i="3"/>
  <c r="G31" i="3"/>
  <c r="BL47" i="3"/>
  <c r="AB34" i="71"/>
  <c r="AA37" i="71"/>
  <c r="E60" i="71"/>
  <c r="U60" i="71" s="1"/>
  <c r="G551" i="3"/>
  <c r="BA400" i="3"/>
  <c r="BA420" i="3"/>
  <c r="G431" i="3"/>
  <c r="BL440" i="3"/>
  <c r="BA442" i="3"/>
  <c r="G448" i="3"/>
  <c r="BL451" i="3"/>
  <c r="BL453" i="3"/>
  <c r="BL454" i="3"/>
  <c r="G469" i="3"/>
  <c r="BL472" i="3"/>
  <c r="BL475" i="3"/>
  <c r="BA366" i="3"/>
  <c r="AZ366" i="3" s="1"/>
  <c r="BL219" i="3"/>
  <c r="G233" i="3"/>
  <c r="BA245" i="3"/>
  <c r="AZ245" i="3" s="1"/>
  <c r="BA260" i="3"/>
  <c r="BA262" i="3"/>
  <c r="AZ262" i="3" s="1"/>
  <c r="BL275" i="3"/>
  <c r="BL290" i="3"/>
  <c r="BA293" i="3"/>
  <c r="BA122" i="3"/>
  <c r="AZ122" i="3" s="1"/>
  <c r="BA156" i="3"/>
  <c r="AZ156" i="3" s="1"/>
  <c r="G162" i="3"/>
  <c r="G178" i="3"/>
  <c r="G192" i="3"/>
  <c r="BL198" i="3"/>
  <c r="G206" i="3"/>
  <c r="G28" i="3"/>
  <c r="BA33" i="3"/>
  <c r="G40" i="3"/>
  <c r="G74" i="3"/>
  <c r="G92" i="3"/>
  <c r="BL99" i="3"/>
  <c r="BA101" i="3"/>
  <c r="B40" i="71"/>
  <c r="S40" i="71" s="1"/>
  <c r="C31" i="71"/>
  <c r="X25" i="71"/>
  <c r="X36" i="71"/>
  <c r="C23" i="71"/>
  <c r="G405" i="3"/>
  <c r="BA413" i="3"/>
  <c r="BL431" i="3"/>
  <c r="G444" i="3"/>
  <c r="G464" i="3"/>
  <c r="BA487" i="3"/>
  <c r="BL487" i="3"/>
  <c r="G329" i="3"/>
  <c r="BA335" i="3"/>
  <c r="AZ335" i="3" s="1"/>
  <c r="BL359" i="3"/>
  <c r="AZ359" i="3" s="1"/>
  <c r="BL386" i="3"/>
  <c r="G397" i="3"/>
  <c r="BL211" i="3"/>
  <c r="BA218" i="3"/>
  <c r="AZ218" i="3" s="1"/>
  <c r="BL218" i="3"/>
  <c r="BA220" i="3"/>
  <c r="G229" i="3"/>
  <c r="BL233" i="3"/>
  <c r="G249" i="3"/>
  <c r="G266" i="3"/>
  <c r="G300" i="3"/>
  <c r="G130" i="3"/>
  <c r="G144" i="3"/>
  <c r="G159" i="3"/>
  <c r="BL162" i="3"/>
  <c r="BL165" i="3"/>
  <c r="G175" i="3"/>
  <c r="G187" i="3"/>
  <c r="BA30" i="3"/>
  <c r="BL40" i="3"/>
  <c r="BL41" i="3"/>
  <c r="BL74" i="3"/>
  <c r="BL75" i="3"/>
  <c r="BA78" i="3"/>
  <c r="BL92" i="3"/>
  <c r="BA97" i="3"/>
  <c r="BL110" i="3"/>
  <c r="K13" i="1"/>
  <c r="M13" i="1" s="1"/>
  <c r="O13" i="1" s="1"/>
  <c r="P13" i="1" s="1"/>
  <c r="F35" i="71"/>
  <c r="F36" i="71" s="1"/>
  <c r="V36" i="71" s="1"/>
  <c r="B23" i="71"/>
  <c r="B22" i="71" s="1"/>
  <c r="B21" i="71" s="1"/>
  <c r="B20" i="71" s="1"/>
  <c r="BL409" i="3"/>
  <c r="BL430" i="3"/>
  <c r="BA449" i="3"/>
  <c r="AZ449" i="3" s="1"/>
  <c r="BA469" i="3"/>
  <c r="BL385" i="3"/>
  <c r="BA214" i="3"/>
  <c r="BA217" i="3"/>
  <c r="BL231" i="3"/>
  <c r="BL252" i="3"/>
  <c r="BA253" i="3"/>
  <c r="BL269" i="3"/>
  <c r="BA275" i="3"/>
  <c r="AZ275" i="3" s="1"/>
  <c r="BL287" i="3"/>
  <c r="BA149" i="3"/>
  <c r="AZ149" i="3" s="1"/>
  <c r="BL161" i="3"/>
  <c r="BL28" i="3"/>
  <c r="BA29" i="3"/>
  <c r="BL72" i="3"/>
  <c r="BA79" i="3"/>
  <c r="AZ79" i="3" s="1"/>
  <c r="BL91" i="3"/>
  <c r="BL96" i="3"/>
  <c r="X26" i="71"/>
  <c r="BA448" i="3"/>
  <c r="G458" i="3"/>
  <c r="BA485" i="3"/>
  <c r="BL308" i="3"/>
  <c r="AZ308" i="3" s="1"/>
  <c r="BL383" i="3"/>
  <c r="AZ383" i="3" s="1"/>
  <c r="BL208" i="3"/>
  <c r="BA212" i="3"/>
  <c r="BA216" i="3"/>
  <c r="AZ216" i="3" s="1"/>
  <c r="G228" i="3"/>
  <c r="BL230" i="3"/>
  <c r="BA235" i="3"/>
  <c r="AZ235" i="3" s="1"/>
  <c r="BA272" i="3"/>
  <c r="AZ272" i="3" s="1"/>
  <c r="BA286" i="3"/>
  <c r="BA133" i="3"/>
  <c r="BA148" i="3"/>
  <c r="AZ148" i="3" s="1"/>
  <c r="BA207" i="3"/>
  <c r="G35" i="3"/>
  <c r="G51" i="3"/>
  <c r="G52" i="3"/>
  <c r="BA56" i="3"/>
  <c r="BA57" i="3"/>
  <c r="BA94" i="3"/>
  <c r="BA95" i="3"/>
  <c r="Y26" i="71"/>
  <c r="Z26" i="71" s="1"/>
  <c r="AB36" i="71"/>
  <c r="E55" i="71"/>
  <c r="E56" i="71" s="1"/>
  <c r="U56" i="71" s="1"/>
  <c r="AB27" i="71"/>
  <c r="BA410" i="3"/>
  <c r="AZ410" i="3" s="1"/>
  <c r="BL427" i="3"/>
  <c r="BA467" i="3"/>
  <c r="BA468" i="3"/>
  <c r="BL479" i="3"/>
  <c r="BA482" i="3"/>
  <c r="BA484" i="3"/>
  <c r="AZ484" i="3" s="1"/>
  <c r="BA307" i="3"/>
  <c r="AZ307" i="3" s="1"/>
  <c r="BL381" i="3"/>
  <c r="AZ381" i="3" s="1"/>
  <c r="G226" i="3"/>
  <c r="BA233" i="3"/>
  <c r="BA251" i="3"/>
  <c r="BL251" i="3"/>
  <c r="BA268" i="3"/>
  <c r="BL113" i="3"/>
  <c r="BA132" i="3"/>
  <c r="AZ132" i="3" s="1"/>
  <c r="BL175" i="3"/>
  <c r="AZ175" i="3" s="1"/>
  <c r="BL205" i="3"/>
  <c r="BA43" i="3"/>
  <c r="BA55" i="3"/>
  <c r="BL88" i="3"/>
  <c r="BL90" i="3"/>
  <c r="AA34" i="71"/>
  <c r="E43" i="71"/>
  <c r="E44" i="71" s="1"/>
  <c r="U44" i="71" s="1"/>
  <c r="BA406" i="3"/>
  <c r="BL406" i="3"/>
  <c r="G418" i="3"/>
  <c r="G419" i="3"/>
  <c r="BA431" i="3"/>
  <c r="BA445" i="3"/>
  <c r="BA447" i="3"/>
  <c r="AZ447" i="3" s="1"/>
  <c r="G455" i="3"/>
  <c r="BL462" i="3"/>
  <c r="BA466" i="3"/>
  <c r="G491" i="3"/>
  <c r="BA319" i="3"/>
  <c r="AZ319" i="3" s="1"/>
  <c r="BL367" i="3"/>
  <c r="BA385" i="3"/>
  <c r="AZ385" i="3" s="1"/>
  <c r="G392" i="3"/>
  <c r="BL395" i="3"/>
  <c r="G222" i="3"/>
  <c r="BA231" i="3"/>
  <c r="BA250" i="3"/>
  <c r="BA284" i="3"/>
  <c r="BL298" i="3"/>
  <c r="BL299" i="3"/>
  <c r="BL125" i="3"/>
  <c r="BL126" i="3"/>
  <c r="G155" i="3"/>
  <c r="BL158" i="3"/>
  <c r="BA162" i="3"/>
  <c r="BA177" i="3"/>
  <c r="G183" i="3"/>
  <c r="BL186" i="3"/>
  <c r="BA190" i="3"/>
  <c r="G199" i="3"/>
  <c r="BL201" i="3"/>
  <c r="BL203" i="3"/>
  <c r="BA204" i="3"/>
  <c r="AZ204" i="3" s="1"/>
  <c r="G21" i="3"/>
  <c r="BA40" i="3"/>
  <c r="BL65" i="3"/>
  <c r="BL66" i="3"/>
  <c r="G83" i="3"/>
  <c r="BA92" i="3"/>
  <c r="AA38" i="71"/>
  <c r="B51" i="71"/>
  <c r="B52" i="71" s="1"/>
  <c r="S52" i="71" s="1"/>
  <c r="AA23" i="21"/>
  <c r="S23" i="21"/>
  <c r="AA36" i="33"/>
  <c r="S36" i="33"/>
  <c r="AC33" i="34"/>
  <c r="W33" i="34"/>
  <c r="S39" i="39"/>
  <c r="AA39" i="39"/>
  <c r="S40" i="34"/>
  <c r="AA40" i="34"/>
  <c r="AA30" i="40"/>
  <c r="S30" i="40"/>
  <c r="W13" i="37"/>
  <c r="AC13" i="37"/>
  <c r="W25" i="33"/>
  <c r="AB15" i="21"/>
  <c r="W27" i="33"/>
  <c r="S37" i="21"/>
  <c r="W17" i="21"/>
  <c r="S23" i="37"/>
  <c r="AA23" i="37"/>
  <c r="U12" i="39"/>
  <c r="AB32" i="37"/>
  <c r="U32" i="37"/>
  <c r="AZ342" i="3"/>
  <c r="AB9" i="21"/>
  <c r="U36" i="33"/>
  <c r="AB36" i="33"/>
  <c r="AA19" i="37"/>
  <c r="AC15" i="21"/>
  <c r="W15" i="21"/>
  <c r="S19" i="33"/>
  <c r="AA19" i="33"/>
  <c r="AB27" i="40"/>
  <c r="AC27" i="40"/>
  <c r="W27" i="40"/>
  <c r="W20" i="36"/>
  <c r="AC20" i="36"/>
  <c r="AZ345" i="3"/>
  <c r="AZ372" i="3"/>
  <c r="AZ347" i="3"/>
  <c r="AZ337" i="3"/>
  <c r="AZ376" i="3"/>
  <c r="AZ309" i="3"/>
  <c r="AA11" i="39"/>
  <c r="AZ571" i="3"/>
  <c r="AZ579" i="3"/>
  <c r="AC22" i="35"/>
  <c r="W22" i="35"/>
  <c r="AC8" i="40"/>
  <c r="W8" i="40"/>
  <c r="AZ539" i="3"/>
  <c r="AZ537" i="3"/>
  <c r="AZ518" i="3"/>
  <c r="AZ546" i="3"/>
  <c r="AZ564" i="3"/>
  <c r="AZ580" i="3"/>
  <c r="F14" i="39"/>
  <c r="H13" i="37"/>
  <c r="AA29" i="35"/>
  <c r="AB33" i="33"/>
  <c r="U33" i="33"/>
  <c r="H23" i="36"/>
  <c r="J23" i="36"/>
  <c r="F23" i="36"/>
  <c r="J39" i="40"/>
  <c r="H39" i="40"/>
  <c r="S15" i="39"/>
  <c r="U37" i="39"/>
  <c r="AC34" i="33"/>
  <c r="U12" i="40"/>
  <c r="AC11" i="39"/>
  <c r="F29" i="6"/>
  <c r="F30" i="6" s="1"/>
  <c r="AZ391" i="3"/>
  <c r="AZ318" i="3"/>
  <c r="AZ364" i="3"/>
  <c r="AZ329" i="3"/>
  <c r="AZ304" i="3"/>
  <c r="AZ306" i="3"/>
  <c r="W35" i="40"/>
  <c r="U11" i="33"/>
  <c r="AA13" i="33"/>
  <c r="U32" i="33"/>
  <c r="AZ535" i="3"/>
  <c r="AZ557" i="3"/>
  <c r="AZ513" i="3"/>
  <c r="AZ566" i="3"/>
  <c r="AZ582" i="3"/>
  <c r="U46" i="33"/>
  <c r="J32" i="36"/>
  <c r="W32" i="36" s="1"/>
  <c r="U40" i="33"/>
  <c r="BL587" i="3"/>
  <c r="AZ587" i="3" s="1"/>
  <c r="B101" i="43"/>
  <c r="B79" i="43"/>
  <c r="AA35" i="34"/>
  <c r="S35" i="34"/>
  <c r="S14" i="40"/>
  <c r="AA25" i="21"/>
  <c r="AC36" i="34"/>
  <c r="AZ568" i="3"/>
  <c r="AA14" i="34"/>
  <c r="H32" i="36"/>
  <c r="U34" i="34"/>
  <c r="J9" i="33"/>
  <c r="H9" i="33"/>
  <c r="F9" i="33"/>
  <c r="AA9" i="33" s="1"/>
  <c r="AB31" i="35"/>
  <c r="G587" i="3"/>
  <c r="J23" i="35"/>
  <c r="H23" i="35"/>
  <c r="W31" i="35"/>
  <c r="AC31" i="35"/>
  <c r="BL585" i="3"/>
  <c r="AZ585" i="3" s="1"/>
  <c r="BA551" i="3"/>
  <c r="AZ551" i="3" s="1"/>
  <c r="BA550" i="3"/>
  <c r="BL548" i="3"/>
  <c r="AZ548" i="3" s="1"/>
  <c r="AZ451" i="3"/>
  <c r="J9" i="36"/>
  <c r="F38" i="40"/>
  <c r="H38" i="40"/>
  <c r="G556" i="3"/>
  <c r="H24" i="36"/>
  <c r="G558" i="3"/>
  <c r="BL398" i="3"/>
  <c r="G402" i="3"/>
  <c r="BL403" i="3"/>
  <c r="G406" i="3"/>
  <c r="BA408" i="3"/>
  <c r="BA409" i="3"/>
  <c r="BA411" i="3"/>
  <c r="BL414" i="3"/>
  <c r="BL415" i="3"/>
  <c r="BA417" i="3"/>
  <c r="BL421" i="3"/>
  <c r="BL422" i="3"/>
  <c r="AZ422" i="3" s="1"/>
  <c r="BL425" i="3"/>
  <c r="BL426" i="3"/>
  <c r="BA428" i="3"/>
  <c r="BA429" i="3"/>
  <c r="BA430" i="3"/>
  <c r="BA432" i="3"/>
  <c r="BA434" i="3"/>
  <c r="BA436" i="3"/>
  <c r="BA438" i="3"/>
  <c r="G442" i="3"/>
  <c r="G443" i="3"/>
  <c r="BA446" i="3"/>
  <c r="BA450" i="3"/>
  <c r="AZ450" i="3" s="1"/>
  <c r="BA453" i="3"/>
  <c r="AZ453" i="3" s="1"/>
  <c r="BA455" i="3"/>
  <c r="AZ455" i="3" s="1"/>
  <c r="BL457" i="3"/>
  <c r="BL460" i="3"/>
  <c r="BL461" i="3"/>
  <c r="BL463" i="3"/>
  <c r="G465" i="3"/>
  <c r="BA471" i="3"/>
  <c r="G486" i="3"/>
  <c r="G488" i="3"/>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AZ221" i="3" s="1"/>
  <c r="BA223" i="3"/>
  <c r="BL228" i="3"/>
  <c r="AZ228" i="3" s="1"/>
  <c r="BA230" i="3"/>
  <c r="BL232" i="3"/>
  <c r="BL234" i="3"/>
  <c r="BA236" i="3"/>
  <c r="BA238" i="3"/>
  <c r="AZ238" i="3" s="1"/>
  <c r="BA243" i="3"/>
  <c r="AZ243" i="3" s="1"/>
  <c r="BL248" i="3"/>
  <c r="AZ248" i="3" s="1"/>
  <c r="G250" i="3"/>
  <c r="BL250" i="3"/>
  <c r="AZ250" i="3" s="1"/>
  <c r="G252" i="3"/>
  <c r="G254" i="3"/>
  <c r="BA259" i="3"/>
  <c r="AZ259" i="3" s="1"/>
  <c r="G270" i="3"/>
  <c r="BL270" i="3"/>
  <c r="AZ270" i="3" s="1"/>
  <c r="BA291" i="3"/>
  <c r="AZ291" i="3" s="1"/>
  <c r="BA120" i="3"/>
  <c r="AZ120" i="3" s="1"/>
  <c r="BL550" i="3"/>
  <c r="BL15" i="3"/>
  <c r="BA398" i="3"/>
  <c r="BA399" i="3"/>
  <c r="AZ399" i="3" s="1"/>
  <c r="BL401" i="3"/>
  <c r="AZ401" i="3" s="1"/>
  <c r="BL404" i="3"/>
  <c r="BL405" i="3"/>
  <c r="BL407" i="3"/>
  <c r="BA412" i="3"/>
  <c r="AZ412" i="3" s="1"/>
  <c r="BA414" i="3"/>
  <c r="BA415" i="3"/>
  <c r="BA416" i="3"/>
  <c r="BA418" i="3"/>
  <c r="BA421" i="3"/>
  <c r="BA423" i="3"/>
  <c r="AZ423" i="3" s="1"/>
  <c r="BA425" i="3"/>
  <c r="BA426" i="3"/>
  <c r="AZ426" i="3" s="1"/>
  <c r="BA427" i="3"/>
  <c r="AZ427" i="3" s="1"/>
  <c r="BA433" i="3"/>
  <c r="AZ433" i="3" s="1"/>
  <c r="BA435" i="3"/>
  <c r="BL437" i="3"/>
  <c r="AZ437" i="3" s="1"/>
  <c r="G439" i="3"/>
  <c r="BL441" i="3"/>
  <c r="BL442" i="3"/>
  <c r="AZ442" i="3" s="1"/>
  <c r="BL444" i="3"/>
  <c r="G446" i="3"/>
  <c r="BL448" i="3"/>
  <c r="AZ448" i="3" s="1"/>
  <c r="G450" i="3"/>
  <c r="BA454" i="3"/>
  <c r="AZ454" i="3" s="1"/>
  <c r="BA457" i="3"/>
  <c r="BA459" i="3"/>
  <c r="AZ459" i="3" s="1"/>
  <c r="BA460" i="3"/>
  <c r="AZ460" i="3" s="1"/>
  <c r="BA461" i="3"/>
  <c r="BL464" i="3"/>
  <c r="BL466" i="3"/>
  <c r="AZ466" i="3" s="1"/>
  <c r="G468" i="3"/>
  <c r="BL476" i="3"/>
  <c r="AZ476" i="3" s="1"/>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BA224" i="3"/>
  <c r="BA226" i="3"/>
  <c r="AZ226" i="3" s="1"/>
  <c r="BA237" i="3"/>
  <c r="BL240" i="3"/>
  <c r="AZ240" i="3" s="1"/>
  <c r="BA242" i="3"/>
  <c r="AZ242" i="3" s="1"/>
  <c r="BL255" i="3"/>
  <c r="G257" i="3"/>
  <c r="BL257" i="3"/>
  <c r="AZ257" i="3" s="1"/>
  <c r="BL258" i="3"/>
  <c r="G259" i="3"/>
  <c r="BL266" i="3"/>
  <c r="BL273" i="3"/>
  <c r="BA277" i="3"/>
  <c r="BL277" i="3"/>
  <c r="G284" i="3"/>
  <c r="BL285" i="3"/>
  <c r="BL293" i="3"/>
  <c r="BL294" i="3"/>
  <c r="BL16" i="3"/>
  <c r="AZ403" i="3"/>
  <c r="AZ405" i="3"/>
  <c r="AZ419" i="3"/>
  <c r="BA441" i="3"/>
  <c r="AZ441" i="3" s="1"/>
  <c r="BL445" i="3"/>
  <c r="AZ445" i="3" s="1"/>
  <c r="BL446" i="3"/>
  <c r="BL449" i="3"/>
  <c r="BL450" i="3"/>
  <c r="BL452" i="3"/>
  <c r="G454" i="3"/>
  <c r="BL456" i="3"/>
  <c r="AZ456" i="3" s="1"/>
  <c r="BA464" i="3"/>
  <c r="BL467" i="3"/>
  <c r="BL468" i="3"/>
  <c r="BL470" i="3"/>
  <c r="AZ470" i="3" s="1"/>
  <c r="G472" i="3"/>
  <c r="G473" i="3"/>
  <c r="BL473" i="3"/>
  <c r="AZ473" i="3" s="1"/>
  <c r="BL474" i="3"/>
  <c r="G475" i="3"/>
  <c r="BA332" i="3"/>
  <c r="BL332" i="3"/>
  <c r="G339" i="3"/>
  <c r="G364" i="3"/>
  <c r="BA367" i="3"/>
  <c r="BA370" i="3"/>
  <c r="AZ370" i="3" s="1"/>
  <c r="BA386" i="3"/>
  <c r="AZ386" i="3" s="1"/>
  <c r="BA247" i="3"/>
  <c r="BL247" i="3"/>
  <c r="BA249" i="3"/>
  <c r="BL249" i="3"/>
  <c r="BL260" i="3"/>
  <c r="BL264" i="3"/>
  <c r="BL267" i="3"/>
  <c r="G268" i="3"/>
  <c r="BL280" i="3"/>
  <c r="G287" i="3"/>
  <c r="BA288" i="3"/>
  <c r="BA290" i="3"/>
  <c r="AZ290" i="3" s="1"/>
  <c r="G399" i="3"/>
  <c r="BL400" i="3"/>
  <c r="AZ400" i="3" s="1"/>
  <c r="BL408" i="3"/>
  <c r="BL411" i="3"/>
  <c r="BL413" i="3"/>
  <c r="AZ413" i="3" s="1"/>
  <c r="G416" i="3"/>
  <c r="BL417" i="3"/>
  <c r="BL418" i="3"/>
  <c r="BL420" i="3"/>
  <c r="G423" i="3"/>
  <c r="BL424" i="3"/>
  <c r="G427" i="3"/>
  <c r="BL428" i="3"/>
  <c r="BL429" i="3"/>
  <c r="BL432" i="3"/>
  <c r="BL435" i="3"/>
  <c r="BL436" i="3"/>
  <c r="BA439" i="3"/>
  <c r="AZ439" i="3" s="1"/>
  <c r="BA440" i="3"/>
  <c r="AZ440" i="3" s="1"/>
  <c r="AZ458" i="3"/>
  <c r="AZ462" i="3"/>
  <c r="BA477" i="3"/>
  <c r="AZ477" i="3" s="1"/>
  <c r="BA478" i="3"/>
  <c r="AZ478" i="3" s="1"/>
  <c r="BA481" i="3"/>
  <c r="BA488" i="3"/>
  <c r="AZ488" i="3" s="1"/>
  <c r="BA491" i="3"/>
  <c r="AZ491" i="3" s="1"/>
  <c r="BL324" i="3"/>
  <c r="AZ324" i="3" s="1"/>
  <c r="BL328" i="3"/>
  <c r="AZ328" i="3" s="1"/>
  <c r="BA397" i="3"/>
  <c r="BL397" i="3"/>
  <c r="BA210" i="3"/>
  <c r="AZ210" i="3" s="1"/>
  <c r="BL210" i="3"/>
  <c r="BL212" i="3"/>
  <c r="BL214" i="3"/>
  <c r="AZ214" i="3" s="1"/>
  <c r="BL225" i="3"/>
  <c r="BL226" i="3"/>
  <c r="BA239" i="3"/>
  <c r="BL239" i="3"/>
  <c r="BA241" i="3"/>
  <c r="BL241" i="3"/>
  <c r="BA244" i="3"/>
  <c r="BL244" i="3"/>
  <c r="BA246" i="3"/>
  <c r="BA252" i="3"/>
  <c r="AZ252" i="3" s="1"/>
  <c r="BA254" i="3"/>
  <c r="AZ254" i="3" s="1"/>
  <c r="BA256" i="3"/>
  <c r="BL256" i="3"/>
  <c r="BA258" i="3"/>
  <c r="BA282" i="3"/>
  <c r="BL282" i="3"/>
  <c r="BA297" i="3"/>
  <c r="BL297" i="3"/>
  <c r="BL300" i="3"/>
  <c r="BA302" i="3"/>
  <c r="BA117" i="3"/>
  <c r="BA130" i="3"/>
  <c r="BL130" i="3"/>
  <c r="BA137" i="3"/>
  <c r="BL138" i="3"/>
  <c r="BA140" i="3"/>
  <c r="AZ140" i="3" s="1"/>
  <c r="BA142" i="3"/>
  <c r="BL167" i="3"/>
  <c r="AZ167" i="3" s="1"/>
  <c r="BL191" i="3"/>
  <c r="AZ191" i="3" s="1"/>
  <c r="BA193" i="3"/>
  <c r="BA196" i="3"/>
  <c r="AZ196" i="3" s="1"/>
  <c r="G203" i="3"/>
  <c r="BA205" i="3"/>
  <c r="AZ205" i="3" s="1"/>
  <c r="BA25" i="3"/>
  <c r="BA37" i="3"/>
  <c r="BL39" i="3"/>
  <c r="G43" i="3"/>
  <c r="G44" i="3"/>
  <c r="BL57" i="3"/>
  <c r="AZ57" i="3" s="1"/>
  <c r="G59" i="3"/>
  <c r="BL70" i="3"/>
  <c r="BL71" i="3"/>
  <c r="D31" i="71"/>
  <c r="C32" i="71"/>
  <c r="C55" i="71"/>
  <c r="D54" i="71"/>
  <c r="N67" i="71"/>
  <c r="B66" i="71"/>
  <c r="F66" i="71"/>
  <c r="Q66" i="71" s="1"/>
  <c r="Q67" i="71"/>
  <c r="BL261" i="3"/>
  <c r="BA263" i="3"/>
  <c r="AZ263" i="3" s="1"/>
  <c r="BA267" i="3"/>
  <c r="BA269" i="3"/>
  <c r="AZ269" i="3" s="1"/>
  <c r="BA271" i="3"/>
  <c r="BL271" i="3"/>
  <c r="BA274" i="3"/>
  <c r="AZ274" i="3" s="1"/>
  <c r="BL274" i="3"/>
  <c r="BA276" i="3"/>
  <c r="BA279" i="3"/>
  <c r="BA281" i="3"/>
  <c r="G286" i="3"/>
  <c r="BL286" i="3"/>
  <c r="AZ286" i="3" s="1"/>
  <c r="G289" i="3"/>
  <c r="G290" i="3"/>
  <c r="G291" i="3"/>
  <c r="BA296" i="3"/>
  <c r="BA116" i="3"/>
  <c r="AZ116" i="3" s="1"/>
  <c r="BA121" i="3"/>
  <c r="AZ121" i="3" s="1"/>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69" i="3"/>
  <c r="BL170" i="3"/>
  <c r="G171" i="3"/>
  <c r="BL177" i="3"/>
  <c r="AZ177" i="3" s="1"/>
  <c r="G179" i="3"/>
  <c r="BL183" i="3"/>
  <c r="AZ183" i="3" s="1"/>
  <c r="BA186" i="3"/>
  <c r="AZ186" i="3" s="1"/>
  <c r="BL206" i="3"/>
  <c r="BA18" i="3"/>
  <c r="BL21" i="3"/>
  <c r="G23" i="3"/>
  <c r="BA27" i="3"/>
  <c r="BL30" i="3"/>
  <c r="AZ30" i="3" s="1"/>
  <c r="BL31" i="3"/>
  <c r="BA36" i="3"/>
  <c r="BL38" i="3"/>
  <c r="BA39" i="3"/>
  <c r="AZ39" i="3" s="1"/>
  <c r="BA47" i="3"/>
  <c r="BL52" i="3"/>
  <c r="G53" i="3"/>
  <c r="BL53" i="3"/>
  <c r="AZ53" i="3" s="1"/>
  <c r="BA62" i="3"/>
  <c r="BA66" i="3"/>
  <c r="AZ66" i="3" s="1"/>
  <c r="BL67" i="3"/>
  <c r="AZ67" i="3" s="1"/>
  <c r="BA72" i="3"/>
  <c r="AZ72" i="3" s="1"/>
  <c r="BL76" i="3"/>
  <c r="BL77" i="3"/>
  <c r="AZ77" i="3" s="1"/>
  <c r="P65" i="71"/>
  <c r="P66" i="71"/>
  <c r="V24" i="71"/>
  <c r="E23" i="71"/>
  <c r="E22" i="71" s="1"/>
  <c r="E21" i="71" s="1"/>
  <c r="E20" i="71" s="1"/>
  <c r="E19" i="71" s="1"/>
  <c r="E18" i="71" s="1"/>
  <c r="E17" i="71" s="1"/>
  <c r="E16" i="71" s="1"/>
  <c r="G265" i="3"/>
  <c r="BL265" i="3"/>
  <c r="AZ265" i="3" s="1"/>
  <c r="G267" i="3"/>
  <c r="G269" i="3"/>
  <c r="BA273" i="3"/>
  <c r="AZ273" i="3" s="1"/>
  <c r="BA278" i="3"/>
  <c r="AZ278" i="3" s="1"/>
  <c r="BA280" i="3"/>
  <c r="G283" i="3"/>
  <c r="BL283" i="3"/>
  <c r="AZ283" i="3" s="1"/>
  <c r="BL284" i="3"/>
  <c r="AZ284" i="3" s="1"/>
  <c r="G285" i="3"/>
  <c r="BL292" i="3"/>
  <c r="BA294" i="3"/>
  <c r="AZ294" i="3" s="1"/>
  <c r="BL295" i="3"/>
  <c r="BA298" i="3"/>
  <c r="AZ298" i="3" s="1"/>
  <c r="BL301" i="3"/>
  <c r="AZ301" i="3" s="1"/>
  <c r="BL302" i="3"/>
  <c r="BA114" i="3"/>
  <c r="BL123" i="3"/>
  <c r="AZ123" i="3" s="1"/>
  <c r="BA128" i="3"/>
  <c r="AZ128" i="3" s="1"/>
  <c r="BL134" i="3"/>
  <c r="BL137" i="3"/>
  <c r="G143" i="3"/>
  <c r="BA146" i="3"/>
  <c r="AZ146" i="3" s="1"/>
  <c r="BA150" i="3"/>
  <c r="AZ150" i="3" s="1"/>
  <c r="BL166" i="3"/>
  <c r="BL178" i="3"/>
  <c r="BA180" i="3"/>
  <c r="AZ180" i="3" s="1"/>
  <c r="BL182" i="3"/>
  <c r="AZ182" i="3" s="1"/>
  <c r="BA185" i="3"/>
  <c r="AZ185" i="3" s="1"/>
  <c r="G190" i="3"/>
  <c r="BL193" i="3"/>
  <c r="G194" i="3"/>
  <c r="BL194" i="3"/>
  <c r="BA198" i="3"/>
  <c r="AZ198" i="3" s="1"/>
  <c r="G204" i="3"/>
  <c r="BL20" i="3"/>
  <c r="BA21" i="3"/>
  <c r="BL24" i="3"/>
  <c r="G25" i="3"/>
  <c r="G29" i="3"/>
  <c r="BL29" i="3"/>
  <c r="AZ29" i="3" s="1"/>
  <c r="G33" i="3"/>
  <c r="G34" i="3"/>
  <c r="BL44" i="3"/>
  <c r="G45" i="3"/>
  <c r="BL45" i="3"/>
  <c r="AZ45" i="3" s="1"/>
  <c r="BL49" i="3"/>
  <c r="BL50" i="3"/>
  <c r="AZ50" i="3" s="1"/>
  <c r="BL51" i="3"/>
  <c r="G56" i="3"/>
  <c r="BA63" i="3"/>
  <c r="AZ63" i="3" s="1"/>
  <c r="BA70" i="3"/>
  <c r="AZ70" i="3" s="1"/>
  <c r="G76" i="3"/>
  <c r="G102" i="3"/>
  <c r="F40" i="68"/>
  <c r="C21" i="68"/>
  <c r="C47" i="71"/>
  <c r="D47" i="71" s="1"/>
  <c r="D46" i="71"/>
  <c r="BA144" i="3"/>
  <c r="AZ144" i="3" s="1"/>
  <c r="G152" i="3"/>
  <c r="BA153" i="3"/>
  <c r="AZ153" i="3" s="1"/>
  <c r="BL155" i="3"/>
  <c r="AZ155" i="3" s="1"/>
  <c r="BA164" i="3"/>
  <c r="AZ164" i="3" s="1"/>
  <c r="BA166" i="3"/>
  <c r="AZ166" i="3" s="1"/>
  <c r="BA169" i="3"/>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AZ19" i="3" s="1"/>
  <c r="BA20" i="3"/>
  <c r="AZ20" i="3" s="1"/>
  <c r="BL25" i="3"/>
  <c r="BL27" i="3"/>
  <c r="BA28" i="3"/>
  <c r="AZ28" i="3" s="1"/>
  <c r="BA31" i="3"/>
  <c r="AZ31" i="3" s="1"/>
  <c r="BA32" i="3"/>
  <c r="G38" i="3"/>
  <c r="BA38" i="3"/>
  <c r="BA41" i="3"/>
  <c r="BA42" i="3"/>
  <c r="G46" i="3"/>
  <c r="G47" i="3"/>
  <c r="BL48" i="3"/>
  <c r="BL54" i="3"/>
  <c r="AZ54" i="3" s="1"/>
  <c r="BL55" i="3"/>
  <c r="AZ55" i="3" s="1"/>
  <c r="G57" i="3"/>
  <c r="G58" i="3"/>
  <c r="BA59" i="3"/>
  <c r="G61" i="3"/>
  <c r="BL61" i="3"/>
  <c r="G64" i="3"/>
  <c r="BA64" i="3"/>
  <c r="G67" i="3"/>
  <c r="BL68" i="3"/>
  <c r="BA69" i="3"/>
  <c r="AZ69" i="3" s="1"/>
  <c r="G72" i="3"/>
  <c r="BL73" i="3"/>
  <c r="BA74" i="3"/>
  <c r="AZ74" i="3" s="1"/>
  <c r="BA75" i="3"/>
  <c r="AZ75" i="3" s="1"/>
  <c r="G81" i="3"/>
  <c r="G85" i="3"/>
  <c r="BL85" i="3"/>
  <c r="BA86" i="3"/>
  <c r="BA87" i="3"/>
  <c r="BA91" i="3"/>
  <c r="AZ91" i="3" s="1"/>
  <c r="G96" i="3"/>
  <c r="BL97" i="3"/>
  <c r="AZ97" i="3" s="1"/>
  <c r="BL101" i="3"/>
  <c r="AZ101" i="3" s="1"/>
  <c r="BL102" i="3"/>
  <c r="G104" i="3"/>
  <c r="G105" i="3"/>
  <c r="BL106" i="3"/>
  <c r="BA108" i="3"/>
  <c r="BA110" i="3"/>
  <c r="AZ110" i="3" s="1"/>
  <c r="F3" i="35"/>
  <c r="S21" i="33"/>
  <c r="S21" i="37"/>
  <c r="W29" i="39"/>
  <c r="S25" i="40"/>
  <c r="B77" i="43"/>
  <c r="AA18" i="35"/>
  <c r="O67" i="71"/>
  <c r="AA28" i="71"/>
  <c r="C87" i="71"/>
  <c r="E79" i="71"/>
  <c r="E78" i="71" s="1"/>
  <c r="E75" i="71"/>
  <c r="E74" i="71" s="1"/>
  <c r="AB25" i="71"/>
  <c r="C43" i="71"/>
  <c r="Y25" i="71"/>
  <c r="Z25" i="71" s="1"/>
  <c r="X38" i="71"/>
  <c r="C35" i="71"/>
  <c r="N68" i="71"/>
  <c r="E38" i="71"/>
  <c r="E39" i="71" s="1"/>
  <c r="E40" i="71" s="1"/>
  <c r="U40" i="71" s="1"/>
  <c r="B34" i="71"/>
  <c r="B35" i="71" s="1"/>
  <c r="B36" i="71" s="1"/>
  <c r="S36" i="71" s="1"/>
  <c r="X33" i="71"/>
  <c r="AB37" i="71"/>
  <c r="BA48" i="3"/>
  <c r="BA49" i="3"/>
  <c r="BA51" i="3"/>
  <c r="AZ51" i="3" s="1"/>
  <c r="G54" i="3"/>
  <c r="BL56" i="3"/>
  <c r="AZ56" i="3" s="1"/>
  <c r="BA58" i="3"/>
  <c r="AZ58" i="3" s="1"/>
  <c r="BL59" i="3"/>
  <c r="BL60" i="3"/>
  <c r="AZ60" i="3" s="1"/>
  <c r="BA61" i="3"/>
  <c r="AZ61" i="3" s="1"/>
  <c r="BA68" i="3"/>
  <c r="AZ68" i="3" s="1"/>
  <c r="BA73" i="3"/>
  <c r="BA80" i="3"/>
  <c r="G84" i="3"/>
  <c r="BL84" i="3"/>
  <c r="BA89" i="3"/>
  <c r="G99" i="3"/>
  <c r="BA103" i="3"/>
  <c r="AZ103" i="3" s="1"/>
  <c r="BA104" i="3"/>
  <c r="BA106" i="3"/>
  <c r="AZ106" i="3" s="1"/>
  <c r="BL108" i="3"/>
  <c r="G110" i="3"/>
  <c r="BL111" i="3"/>
  <c r="C5" i="68"/>
  <c r="U29" i="39"/>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L81" i="3"/>
  <c r="BA82" i="3"/>
  <c r="AZ82" i="3" s="1"/>
  <c r="BL83" i="3"/>
  <c r="G88" i="3"/>
  <c r="BA90" i="3"/>
  <c r="BL94" i="3"/>
  <c r="AZ94" i="3" s="1"/>
  <c r="BA100" i="3"/>
  <c r="AZ100" i="3" s="1"/>
  <c r="BA102" i="3"/>
  <c r="BL105" i="3"/>
  <c r="AZ105" i="3" s="1"/>
  <c r="BL107" i="3"/>
  <c r="BA111" i="3"/>
  <c r="AZ111" i="3" s="1"/>
  <c r="S18" i="36"/>
  <c r="AB28" i="71"/>
  <c r="AB33" i="71"/>
  <c r="AA30" i="71"/>
  <c r="E35" i="71"/>
  <c r="E36" i="71" s="1"/>
  <c r="U36" i="71" s="1"/>
  <c r="AB31" i="71"/>
  <c r="AA36" i="71"/>
  <c r="B47" i="71"/>
  <c r="B48" i="71" s="1"/>
  <c r="S48" i="71" s="1"/>
  <c r="F9" i="1"/>
  <c r="G9" i="1" s="1"/>
  <c r="F10" i="1"/>
  <c r="G10" i="1" s="1"/>
  <c r="F8" i="1"/>
  <c r="G8" i="1" s="1"/>
  <c r="H69" i="43"/>
  <c r="S23" i="33"/>
  <c r="AA23" i="33"/>
  <c r="AB17" i="33"/>
  <c r="S29" i="21"/>
  <c r="AB44" i="34"/>
  <c r="S39" i="34"/>
  <c r="AZ382" i="3"/>
  <c r="AZ321" i="3"/>
  <c r="AZ343" i="3"/>
  <c r="AZ562" i="3"/>
  <c r="AZ578" i="3"/>
  <c r="AC13" i="36"/>
  <c r="AB31" i="33"/>
  <c r="U31" i="33"/>
  <c r="S15" i="34"/>
  <c r="AB33" i="35"/>
  <c r="U33" i="35"/>
  <c r="AB43" i="33"/>
  <c r="U43" i="33"/>
  <c r="AZ545" i="3"/>
  <c r="AZ555" i="3"/>
  <c r="AZ581" i="3"/>
  <c r="AB33" i="37"/>
  <c r="U33" i="37"/>
  <c r="AC19" i="37"/>
  <c r="W23" i="33"/>
  <c r="S41" i="34"/>
  <c r="AA41" i="34"/>
  <c r="AZ495" i="3"/>
  <c r="AC14" i="37"/>
  <c r="W14" i="37"/>
  <c r="U28" i="37"/>
  <c r="AB28" i="37"/>
  <c r="W30" i="34"/>
  <c r="AC30" i="34"/>
  <c r="AC29" i="33"/>
  <c r="W29" i="33"/>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31" i="3"/>
  <c r="AZ467" i="3"/>
  <c r="AZ468" i="3"/>
  <c r="W35" i="39"/>
  <c r="F27" i="34"/>
  <c r="C21" i="39"/>
  <c r="U9" i="36"/>
  <c r="U14" i="37"/>
  <c r="H12" i="21"/>
  <c r="G526" i="3"/>
  <c r="AZ420" i="3"/>
  <c r="AZ424" i="3"/>
  <c r="AZ434" i="3"/>
  <c r="AZ436" i="3"/>
  <c r="AZ438" i="3"/>
  <c r="G28" i="6"/>
  <c r="U26" i="21"/>
  <c r="W36" i="39"/>
  <c r="U23" i="40"/>
  <c r="AA39" i="37"/>
  <c r="AC16" i="36"/>
  <c r="AB12" i="33"/>
  <c r="C27" i="39"/>
  <c r="U40" i="40"/>
  <c r="AC9" i="40"/>
  <c r="W36" i="35"/>
  <c r="J12" i="21"/>
  <c r="B73" i="43"/>
  <c r="B76" i="43"/>
  <c r="F9" i="36"/>
  <c r="J40" i="40"/>
  <c r="G562" i="3"/>
  <c r="AZ463" i="3"/>
  <c r="AZ489" i="3"/>
  <c r="AZ212" i="3"/>
  <c r="AZ220" i="3"/>
  <c r="AZ231" i="3"/>
  <c r="BA472" i="3"/>
  <c r="G476" i="3"/>
  <c r="BA479" i="3"/>
  <c r="AZ479" i="3" s="1"/>
  <c r="BA490" i="3"/>
  <c r="AZ490" i="3" s="1"/>
  <c r="BL312" i="3"/>
  <c r="AZ312" i="3" s="1"/>
  <c r="G313" i="3"/>
  <c r="BA316" i="3"/>
  <c r="AZ316" i="3" s="1"/>
  <c r="BA317" i="3"/>
  <c r="BA323" i="3"/>
  <c r="AZ323" i="3" s="1"/>
  <c r="G327" i="3"/>
  <c r="BL330" i="3"/>
  <c r="AZ330" i="3" s="1"/>
  <c r="G331" i="3"/>
  <c r="BL333" i="3"/>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AZ236" i="3"/>
  <c r="G248" i="3"/>
  <c r="AZ258" i="3"/>
  <c r="AZ260" i="3"/>
  <c r="BL268" i="3"/>
  <c r="G278" i="3"/>
  <c r="BA474" i="3"/>
  <c r="BA475" i="3"/>
  <c r="AZ475" i="3" s="1"/>
  <c r="BL481" i="3"/>
  <c r="BL482" i="3"/>
  <c r="AZ482" i="3" s="1"/>
  <c r="G483" i="3"/>
  <c r="BL485" i="3"/>
  <c r="BL486" i="3"/>
  <c r="AZ486" i="3" s="1"/>
  <c r="G487" i="3"/>
  <c r="BA492" i="3"/>
  <c r="AZ492" i="3" s="1"/>
  <c r="BL363" i="3"/>
  <c r="AZ363" i="3" s="1"/>
  <c r="G369" i="3"/>
  <c r="BL393" i="3"/>
  <c r="AZ393" i="3" s="1"/>
  <c r="BL396" i="3"/>
  <c r="AZ396" i="3" s="1"/>
  <c r="BL209" i="3"/>
  <c r="G240" i="3"/>
  <c r="G242" i="3"/>
  <c r="G245" i="3"/>
  <c r="BL246" i="3"/>
  <c r="AZ246" i="3" s="1"/>
  <c r="BL253" i="3"/>
  <c r="AZ253" i="3" s="1"/>
  <c r="BA261" i="3"/>
  <c r="AZ261" i="3" s="1"/>
  <c r="BA264" i="3"/>
  <c r="AZ264" i="3" s="1"/>
  <c r="BA266" i="3"/>
  <c r="AZ266" i="3" s="1"/>
  <c r="G272" i="3"/>
  <c r="G275" i="3"/>
  <c r="BL276" i="3"/>
  <c r="BL279" i="3"/>
  <c r="BL281" i="3"/>
  <c r="BA285" i="3"/>
  <c r="AZ285" i="3" s="1"/>
  <c r="BA287" i="3"/>
  <c r="AZ134" i="3"/>
  <c r="AZ207" i="3"/>
  <c r="BA289" i="3"/>
  <c r="AZ289" i="3" s="1"/>
  <c r="G293" i="3"/>
  <c r="G296" i="3"/>
  <c r="BL296" i="3"/>
  <c r="G301" i="3"/>
  <c r="G114" i="3"/>
  <c r="BL114" i="3"/>
  <c r="BL117" i="3"/>
  <c r="AZ117" i="3" s="1"/>
  <c r="G118" i="3"/>
  <c r="BL119" i="3"/>
  <c r="AZ119" i="3" s="1"/>
  <c r="G120" i="3"/>
  <c r="G124" i="3"/>
  <c r="BL129" i="3"/>
  <c r="AZ129" i="3" s="1"/>
  <c r="BL131" i="3"/>
  <c r="AZ131" i="3" s="1"/>
  <c r="G132" i="3"/>
  <c r="G139" i="3"/>
  <c r="G142" i="3"/>
  <c r="BL142" i="3"/>
  <c r="BL153" i="3"/>
  <c r="BA158" i="3"/>
  <c r="BA161" i="3"/>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BL202" i="3"/>
  <c r="AZ202" i="3" s="1"/>
  <c r="BL36" i="3"/>
  <c r="AZ40" i="3"/>
  <c r="G200" i="3"/>
  <c r="G207" i="3"/>
  <c r="BA23" i="3"/>
  <c r="AZ23" i="3" s="1"/>
  <c r="BA24" i="3"/>
  <c r="BL26" i="3"/>
  <c r="AZ26" i="3" s="1"/>
  <c r="BL32" i="3"/>
  <c r="AZ32" i="3" s="1"/>
  <c r="BA34" i="3"/>
  <c r="AZ34" i="3" s="1"/>
  <c r="BA35" i="3"/>
  <c r="AZ35" i="3" s="1"/>
  <c r="BL37" i="3"/>
  <c r="AZ37" i="3" s="1"/>
  <c r="BL42" i="3"/>
  <c r="AZ42" i="3" s="1"/>
  <c r="BA44" i="3"/>
  <c r="AZ44" i="3" s="1"/>
  <c r="BA206" i="3"/>
  <c r="AZ206" i="3" s="1"/>
  <c r="BL22" i="3"/>
  <c r="AZ22" i="3" s="1"/>
  <c r="BL33" i="3"/>
  <c r="AZ33" i="3" s="1"/>
  <c r="BL43" i="3"/>
  <c r="AZ43" i="3" s="1"/>
  <c r="BL46" i="3"/>
  <c r="AZ46" i="3" s="1"/>
  <c r="AZ90" i="3"/>
  <c r="AZ92" i="3"/>
  <c r="BL78" i="3"/>
  <c r="BA83" i="3"/>
  <c r="AZ83" i="3" s="1"/>
  <c r="G91" i="3"/>
  <c r="BL95" i="3"/>
  <c r="BL98" i="3"/>
  <c r="AZ98" i="3" s="1"/>
  <c r="BL109" i="3"/>
  <c r="AZ109" i="3" s="1"/>
  <c r="AB21" i="21"/>
  <c r="AZ78" i="3"/>
  <c r="AZ95" i="3"/>
  <c r="G77" i="3"/>
  <c r="BA81" i="3"/>
  <c r="BA85" i="3"/>
  <c r="AZ85" i="3" s="1"/>
  <c r="BL89" i="3"/>
  <c r="G94" i="3"/>
  <c r="G97" i="3"/>
  <c r="G100" i="3"/>
  <c r="BA107" i="3"/>
  <c r="BA112" i="3"/>
  <c r="AZ112" i="3" s="1"/>
  <c r="AC21" i="34"/>
  <c r="E27" i="71"/>
  <c r="E26" i="71" s="1"/>
  <c r="V28" i="71"/>
  <c r="BA76" i="3"/>
  <c r="AZ76" i="3" s="1"/>
  <c r="BL80" i="3"/>
  <c r="AZ80" i="3" s="1"/>
  <c r="BL87" i="3"/>
  <c r="AZ87" i="3" s="1"/>
  <c r="BA93" i="3"/>
  <c r="AZ93" i="3" s="1"/>
  <c r="BA96" i="3"/>
  <c r="AZ96" i="3" s="1"/>
  <c r="BA99" i="3"/>
  <c r="BL104" i="3"/>
  <c r="D64" i="71"/>
  <c r="T64" i="7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H16" i="1"/>
  <c r="P6" i="1"/>
  <c r="C13" i="12" s="1"/>
  <c r="P11" i="1"/>
  <c r="D9" i="11"/>
  <c r="C9" i="11" s="1"/>
  <c r="D19" i="12"/>
  <c r="C19" i="12" s="1"/>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B20" i="31"/>
  <c r="B21" i="31" s="1"/>
  <c r="I1" i="73"/>
  <c r="B39" i="1" s="1"/>
  <c r="F71" i="15"/>
  <c r="L59" i="15"/>
  <c r="N59" i="15"/>
  <c r="M59" i="15"/>
  <c r="Q71" i="67"/>
  <c r="D103" i="9"/>
  <c r="C27" i="67"/>
  <c r="G20" i="9"/>
  <c r="C103" i="9"/>
  <c r="B13" i="70"/>
  <c r="M7" i="67"/>
  <c r="F50" i="67"/>
  <c r="F64" i="67"/>
  <c r="C36" i="68"/>
  <c r="D9" i="69"/>
  <c r="C36" i="69"/>
  <c r="D9" i="68"/>
  <c r="F8" i="67"/>
  <c r="F36" i="15"/>
  <c r="L47" i="67"/>
  <c r="M22" i="15"/>
  <c r="D4" i="73"/>
  <c r="L48" i="67"/>
  <c r="F42" i="15"/>
  <c r="D3" i="73"/>
  <c r="F37" i="15"/>
  <c r="M9" i="15"/>
  <c r="J15" i="15"/>
  <c r="M28" i="15"/>
  <c r="F13" i="15"/>
  <c r="M8" i="15"/>
  <c r="M23" i="15"/>
  <c r="F8" i="15"/>
  <c r="F7" i="15"/>
  <c r="F43" i="67"/>
  <c r="M28" i="67"/>
  <c r="F9" i="15"/>
  <c r="F38" i="67"/>
  <c r="L48" i="15"/>
  <c r="M24" i="67"/>
  <c r="F26" i="15"/>
  <c r="M9" i="67"/>
  <c r="M29" i="15"/>
  <c r="M6" i="15"/>
  <c r="F6" i="15"/>
  <c r="C76" i="15"/>
  <c r="M26" i="15"/>
  <c r="M24" i="15"/>
  <c r="F37" i="67"/>
  <c r="D5" i="73"/>
  <c r="F38" i="15"/>
  <c r="F40" i="15"/>
  <c r="F40" i="67"/>
  <c r="D7" i="73"/>
  <c r="M22" i="67"/>
  <c r="F16" i="15"/>
  <c r="S27" i="21" l="1"/>
  <c r="F68" i="67"/>
  <c r="E63" i="39"/>
  <c r="E59" i="40"/>
  <c r="U14" i="21"/>
  <c r="AB14" i="21"/>
  <c r="S29" i="34"/>
  <c r="AA29" i="34"/>
  <c r="S46" i="34"/>
  <c r="AA46" i="34"/>
  <c r="E10" i="6"/>
  <c r="S12" i="36"/>
  <c r="AA12" i="36"/>
  <c r="S14" i="21"/>
  <c r="AA14" i="21"/>
  <c r="AC43" i="39"/>
  <c r="W43" i="39"/>
  <c r="AA33" i="40"/>
  <c r="S33" i="40"/>
  <c r="AB29" i="34"/>
  <c r="U29" i="34"/>
  <c r="AZ161" i="3"/>
  <c r="AZ287" i="3"/>
  <c r="AZ485" i="3"/>
  <c r="AZ64" i="3"/>
  <c r="AZ21" i="3"/>
  <c r="AZ256" i="3"/>
  <c r="AZ367" i="3"/>
  <c r="AZ222" i="3"/>
  <c r="AZ421" i="3"/>
  <c r="AZ15" i="3"/>
  <c r="W12" i="33"/>
  <c r="AC12" i="33"/>
  <c r="AZ499" i="3"/>
  <c r="W13" i="34"/>
  <c r="AC13" i="34"/>
  <c r="W33" i="40"/>
  <c r="AC33" i="40"/>
  <c r="AZ544" i="3"/>
  <c r="E13" i="6"/>
  <c r="W14" i="21"/>
  <c r="AC14" i="21"/>
  <c r="AB33" i="40"/>
  <c r="U33" i="40"/>
  <c r="AZ62" i="3"/>
  <c r="AZ158" i="3"/>
  <c r="AZ86" i="3"/>
  <c r="AZ41" i="3"/>
  <c r="AZ444" i="3"/>
  <c r="AZ471" i="3"/>
  <c r="AZ523" i="3"/>
  <c r="G29" i="6"/>
  <c r="AB31" i="21"/>
  <c r="U31" i="21"/>
  <c r="AB24" i="35"/>
  <c r="U24" i="35"/>
  <c r="AC28" i="37"/>
  <c r="W28" i="37"/>
  <c r="U27" i="37"/>
  <c r="AB27" i="37"/>
  <c r="AZ233" i="3"/>
  <c r="U11" i="35"/>
  <c r="E12" i="6"/>
  <c r="E57" i="40" s="1"/>
  <c r="AZ24" i="3"/>
  <c r="AZ114" i="3"/>
  <c r="AZ281" i="3"/>
  <c r="AC46" i="21"/>
  <c r="AZ84" i="3"/>
  <c r="AZ52" i="3"/>
  <c r="D51" i="71"/>
  <c r="AZ25" i="3"/>
  <c r="AZ130" i="3"/>
  <c r="AZ464" i="3"/>
  <c r="AZ416" i="3"/>
  <c r="AB45" i="21"/>
  <c r="AZ511" i="3"/>
  <c r="AZ510" i="3"/>
  <c r="AA28" i="37"/>
  <c r="S28" i="37"/>
  <c r="AA13" i="34"/>
  <c r="S13" i="34"/>
  <c r="B19" i="71"/>
  <c r="B18" i="71" s="1"/>
  <c r="B17" i="71" s="1"/>
  <c r="B16" i="71" s="1"/>
  <c r="B15" i="71" s="1"/>
  <c r="B14" i="71" s="1"/>
  <c r="B13" i="71" s="1"/>
  <c r="B12" i="71" s="1"/>
  <c r="S20" i="71"/>
  <c r="E29" i="6"/>
  <c r="K15" i="1" s="1"/>
  <c r="AZ107" i="3"/>
  <c r="AZ142" i="3"/>
  <c r="AZ279" i="3"/>
  <c r="AZ481" i="3"/>
  <c r="AZ48" i="3"/>
  <c r="AZ108" i="3"/>
  <c r="AZ178" i="3"/>
  <c r="AZ47" i="3"/>
  <c r="AZ415" i="3"/>
  <c r="C22" i="71"/>
  <c r="D23" i="71"/>
  <c r="AZ65" i="3"/>
  <c r="AZ465" i="3"/>
  <c r="AC13" i="21"/>
  <c r="W13" i="21"/>
  <c r="W28" i="33"/>
  <c r="AC28" i="33"/>
  <c r="AZ584" i="3"/>
  <c r="W12" i="36"/>
  <c r="AC12" i="36"/>
  <c r="D75" i="71"/>
  <c r="C74" i="71"/>
  <c r="D74" i="71" s="1"/>
  <c r="AZ519" i="3"/>
  <c r="W45" i="21"/>
  <c r="AC45" i="21"/>
  <c r="AZ224" i="3"/>
  <c r="AZ398" i="3"/>
  <c r="K120" i="9"/>
  <c r="E15" i="6"/>
  <c r="E64" i="39" s="1"/>
  <c r="AZ104" i="3"/>
  <c r="AZ276" i="3"/>
  <c r="AZ209" i="3"/>
  <c r="AB13" i="34"/>
  <c r="AZ194" i="3"/>
  <c r="AZ16" i="3"/>
  <c r="AZ409" i="3"/>
  <c r="W9" i="34"/>
  <c r="AA44" i="39"/>
  <c r="S44" i="39"/>
  <c r="S12" i="33"/>
  <c r="AA12" i="33"/>
  <c r="AA28" i="33"/>
  <c r="S28" i="33"/>
  <c r="S35" i="35"/>
  <c r="AA35" i="35"/>
  <c r="AZ81" i="3"/>
  <c r="AZ406" i="3"/>
  <c r="AZ487" i="3"/>
  <c r="D59" i="71"/>
  <c r="C60" i="71"/>
  <c r="AZ277" i="3"/>
  <c r="AZ425" i="3"/>
  <c r="AZ446" i="3"/>
  <c r="AZ251" i="3"/>
  <c r="W14" i="34"/>
  <c r="AC14" i="34"/>
  <c r="AA43" i="39"/>
  <c r="S43" i="39"/>
  <c r="AC29" i="34"/>
  <c r="W29" i="34"/>
  <c r="AB46" i="34"/>
  <c r="U46" i="34"/>
  <c r="AZ99" i="3"/>
  <c r="AZ296" i="3"/>
  <c r="AZ461" i="3"/>
  <c r="AZ230" i="3"/>
  <c r="AZ430" i="3"/>
  <c r="AZ125" i="3"/>
  <c r="W44" i="33"/>
  <c r="AC44" i="33"/>
  <c r="S45" i="39"/>
  <c r="AA45" i="39"/>
  <c r="U46" i="21"/>
  <c r="AB46" i="21"/>
  <c r="U44" i="39"/>
  <c r="AB44" i="39"/>
  <c r="AZ586" i="3"/>
  <c r="AZ565" i="3"/>
  <c r="AB28" i="33"/>
  <c r="U28" i="33"/>
  <c r="W11" i="35"/>
  <c r="AC11" i="35"/>
  <c r="AA45" i="21"/>
  <c r="S45" i="21"/>
  <c r="AZ472" i="3"/>
  <c r="G30" i="6"/>
  <c r="G31" i="6" s="1"/>
  <c r="AZ71" i="3"/>
  <c r="AZ193" i="3"/>
  <c r="AZ293" i="3"/>
  <c r="AZ255" i="3"/>
  <c r="AZ435" i="3"/>
  <c r="AZ407" i="3"/>
  <c r="D6" i="52"/>
  <c r="AZ88" i="3"/>
  <c r="U44" i="33"/>
  <c r="AB44" i="33"/>
  <c r="AC12" i="40"/>
  <c r="W12" i="40"/>
  <c r="U45" i="39"/>
  <c r="AB45" i="39"/>
  <c r="S29" i="33"/>
  <c r="AA29" i="33"/>
  <c r="S13" i="37"/>
  <c r="AA13" i="37"/>
  <c r="AC31" i="21"/>
  <c r="W31" i="21"/>
  <c r="AB13" i="21"/>
  <c r="U13" i="21"/>
  <c r="AB13" i="36"/>
  <c r="U13" i="36"/>
  <c r="AZ237" i="3"/>
  <c r="C48" i="69"/>
  <c r="AZ89" i="3"/>
  <c r="AZ268" i="3"/>
  <c r="AZ73" i="3"/>
  <c r="AZ27" i="3"/>
  <c r="AZ169" i="3"/>
  <c r="AZ280" i="3"/>
  <c r="AZ241" i="3"/>
  <c r="AZ249" i="3"/>
  <c r="AZ223" i="3"/>
  <c r="AZ162" i="3"/>
  <c r="AZ469" i="3"/>
  <c r="AZ173" i="3"/>
  <c r="AA27" i="37"/>
  <c r="S27" i="37"/>
  <c r="S13" i="36"/>
  <c r="AA13" i="36"/>
  <c r="U12" i="36"/>
  <c r="AB12" i="36"/>
  <c r="S46" i="21"/>
  <c r="AA46" i="21"/>
  <c r="S31" i="21"/>
  <c r="AA31" i="21"/>
  <c r="F51" i="67"/>
  <c r="F59" i="67" s="1"/>
  <c r="F31" i="67"/>
  <c r="C6" i="67"/>
  <c r="C32" i="67" s="1"/>
  <c r="F71" i="67"/>
  <c r="F51" i="15"/>
  <c r="F64" i="15"/>
  <c r="F65" i="15"/>
  <c r="F68" i="15"/>
  <c r="L56" i="67"/>
  <c r="I54" i="67"/>
  <c r="J53" i="67"/>
  <c r="F1" i="67" s="1"/>
  <c r="J57" i="67"/>
  <c r="J55" i="67" s="1"/>
  <c r="J58" i="67" s="1"/>
  <c r="Q50" i="67" s="1"/>
  <c r="M7" i="15"/>
  <c r="J6" i="15" s="1"/>
  <c r="J18" i="15" s="1"/>
  <c r="F50" i="15"/>
  <c r="F65" i="67"/>
  <c r="F66" i="67"/>
  <c r="F66" i="15"/>
  <c r="Q71" i="15"/>
  <c r="L58" i="67"/>
  <c r="Q73" i="67" s="1"/>
  <c r="M59" i="67"/>
  <c r="N59" i="67"/>
  <c r="L59" i="67"/>
  <c r="Q61" i="67" s="1"/>
  <c r="C27" i="15"/>
  <c r="F31" i="15"/>
  <c r="C6" i="15"/>
  <c r="C32" i="15" s="1"/>
  <c r="J57" i="15"/>
  <c r="J55" i="15" s="1"/>
  <c r="J58" i="15" s="1"/>
  <c r="Q50" i="15" s="1"/>
  <c r="I54" i="15"/>
  <c r="L58" i="15"/>
  <c r="Q60" i="15" s="1"/>
  <c r="J53" i="15"/>
  <c r="L56" i="15" s="1"/>
  <c r="AC9" i="36"/>
  <c r="W9" i="36"/>
  <c r="AB13" i="37"/>
  <c r="U13" i="37"/>
  <c r="J6" i="67"/>
  <c r="J18" i="67" s="1"/>
  <c r="D83" i="71"/>
  <c r="C82" i="71"/>
  <c r="D82" i="71" s="1"/>
  <c r="AB9" i="33"/>
  <c r="U9" i="33"/>
  <c r="AB23" i="36"/>
  <c r="U23" i="36"/>
  <c r="E28" i="6"/>
  <c r="K14" i="1" s="1"/>
  <c r="C40" i="71"/>
  <c r="D39" i="71"/>
  <c r="C44" i="71"/>
  <c r="D43" i="71"/>
  <c r="C86" i="71"/>
  <c r="D86" i="71" s="1"/>
  <c r="D87" i="71"/>
  <c r="AZ59" i="3"/>
  <c r="AZ271" i="3"/>
  <c r="T52" i="71"/>
  <c r="D52" i="71"/>
  <c r="AZ297" i="3"/>
  <c r="AZ282" i="3"/>
  <c r="AZ244" i="3"/>
  <c r="AZ239" i="3"/>
  <c r="AZ397" i="3"/>
  <c r="AZ332" i="3"/>
  <c r="AZ428" i="3"/>
  <c r="AZ411" i="3"/>
  <c r="AB24" i="36"/>
  <c r="U24" i="36"/>
  <c r="AC9" i="33"/>
  <c r="W9" i="33"/>
  <c r="AC39" i="40"/>
  <c r="W39" i="40"/>
  <c r="S14" i="39"/>
  <c r="AA14" i="39"/>
  <c r="O65" i="71"/>
  <c r="D66" i="71"/>
  <c r="O66" i="71"/>
  <c r="N65" i="71"/>
  <c r="N66" i="71"/>
  <c r="AZ429" i="3"/>
  <c r="U39" i="40"/>
  <c r="AB39" i="40"/>
  <c r="AZ474" i="3"/>
  <c r="AZ333" i="3"/>
  <c r="V20" i="71"/>
  <c r="AZ102" i="3"/>
  <c r="C70" i="71"/>
  <c r="D70" i="71" s="1"/>
  <c r="D71" i="71"/>
  <c r="C36" i="71"/>
  <c r="D35" i="71"/>
  <c r="T32" i="71"/>
  <c r="D32" i="71"/>
  <c r="AZ137" i="3"/>
  <c r="AZ302" i="3"/>
  <c r="AZ247" i="3"/>
  <c r="AZ457" i="3"/>
  <c r="AZ414" i="3"/>
  <c r="AZ368" i="3"/>
  <c r="AZ353" i="3"/>
  <c r="AZ432" i="3"/>
  <c r="AZ417" i="3"/>
  <c r="AB38" i="40"/>
  <c r="U38" i="40"/>
  <c r="U23" i="35"/>
  <c r="AB23" i="35"/>
  <c r="AA23" i="36"/>
  <c r="S23" i="36"/>
  <c r="D20" i="53"/>
  <c r="B40" i="72" s="1"/>
  <c r="G5" i="3"/>
  <c r="B3" i="3" s="1"/>
  <c r="E539" i="3" s="1"/>
  <c r="AZ36" i="3"/>
  <c r="AZ317" i="3"/>
  <c r="T28" i="71"/>
  <c r="D28" i="71"/>
  <c r="U28" i="71" s="1"/>
  <c r="C27" i="71"/>
  <c r="D79" i="71"/>
  <c r="C78" i="71"/>
  <c r="D78" i="71" s="1"/>
  <c r="AZ49" i="3"/>
  <c r="AZ38" i="3"/>
  <c r="AZ267" i="3"/>
  <c r="C56" i="71"/>
  <c r="D55" i="71"/>
  <c r="AZ483" i="3"/>
  <c r="AZ418" i="3"/>
  <c r="AZ408" i="3"/>
  <c r="AA38" i="40"/>
  <c r="S38" i="40"/>
  <c r="AZ550" i="3"/>
  <c r="AC23" i="35"/>
  <c r="W23" i="35"/>
  <c r="AB32" i="36"/>
  <c r="U32" i="36"/>
  <c r="AC23" i="36"/>
  <c r="W23" i="36"/>
  <c r="G16" i="1"/>
  <c r="F10" i="39" s="1"/>
  <c r="AA10" i="39" s="1"/>
  <c r="J7" i="37"/>
  <c r="W7" i="37" s="1"/>
  <c r="K1" i="73"/>
  <c r="E510" i="3"/>
  <c r="E536" i="3"/>
  <c r="E575" i="3"/>
  <c r="E442" i="3"/>
  <c r="E466" i="3"/>
  <c r="E541" i="3"/>
  <c r="E449" i="3"/>
  <c r="E255" i="3"/>
  <c r="I3" i="6"/>
  <c r="E554" i="3"/>
  <c r="E417" i="3"/>
  <c r="E479" i="3"/>
  <c r="E37" i="3"/>
  <c r="E95" i="3"/>
  <c r="E152" i="3"/>
  <c r="E192" i="3"/>
  <c r="E258" i="3"/>
  <c r="E241" i="3"/>
  <c r="E292" i="3"/>
  <c r="E389" i="3"/>
  <c r="E544" i="3"/>
  <c r="E59" i="3"/>
  <c r="E409" i="3"/>
  <c r="E484" i="3"/>
  <c r="E425" i="3"/>
  <c r="E467" i="3"/>
  <c r="E64" i="3"/>
  <c r="E46" i="3"/>
  <c r="E160" i="3"/>
  <c r="E267" i="3"/>
  <c r="E249" i="3"/>
  <c r="E371" i="3"/>
  <c r="E310" i="3"/>
  <c r="E492" i="3"/>
  <c r="E23" i="3"/>
  <c r="E84" i="3"/>
  <c r="E67" i="3"/>
  <c r="E33" i="3"/>
  <c r="E184" i="3"/>
  <c r="E233" i="3"/>
  <c r="E355" i="3"/>
  <c r="E68" i="3"/>
  <c r="E63" i="3"/>
  <c r="E81" i="3"/>
  <c r="E264" i="3"/>
  <c r="E283" i="3"/>
  <c r="E309" i="3"/>
  <c r="E513" i="3"/>
  <c r="E494" i="3"/>
  <c r="E198" i="3"/>
  <c r="E281" i="3"/>
  <c r="E391" i="3"/>
  <c r="AL6" i="3"/>
  <c r="E42" i="3"/>
  <c r="E75" i="3"/>
  <c r="E482" i="3"/>
  <c r="E18" i="3"/>
  <c r="E96" i="3"/>
  <c r="E174" i="3"/>
  <c r="E235" i="3"/>
  <c r="E383" i="3"/>
  <c r="E86" i="3"/>
  <c r="E34" i="3"/>
  <c r="E206" i="3"/>
  <c r="E251" i="3"/>
  <c r="AF6" i="3"/>
  <c r="E102" i="3"/>
  <c r="E113" i="3"/>
  <c r="E308" i="3"/>
  <c r="E22" i="3"/>
  <c r="E205" i="3"/>
  <c r="E197" i="3"/>
  <c r="E173" i="3"/>
  <c r="E525" i="3"/>
  <c r="E534" i="3"/>
  <c r="T6" i="3"/>
  <c r="E405" i="3"/>
  <c r="E456" i="3"/>
  <c r="E512" i="3"/>
  <c r="E408" i="3"/>
  <c r="E451" i="3"/>
  <c r="E556" i="3"/>
  <c r="E497" i="3"/>
  <c r="E13" i="3"/>
  <c r="E452" i="3"/>
  <c r="E470" i="3"/>
  <c r="E420" i="3"/>
  <c r="E26" i="3"/>
  <c r="E41" i="3"/>
  <c r="E115" i="3"/>
  <c r="E225" i="3"/>
  <c r="E356" i="3"/>
  <c r="E428" i="3"/>
  <c r="E412" i="3"/>
  <c r="E78" i="3"/>
  <c r="E190" i="3"/>
  <c r="E220" i="3"/>
  <c r="E324" i="3"/>
  <c r="E35" i="3"/>
  <c r="E49" i="3"/>
  <c r="E232" i="3"/>
  <c r="E370" i="3"/>
  <c r="E80" i="3"/>
  <c r="E158" i="3"/>
  <c r="E326" i="3"/>
  <c r="E83" i="3"/>
  <c r="E329" i="3"/>
  <c r="E16" i="3"/>
  <c r="E188" i="3"/>
  <c r="E116" i="3"/>
  <c r="E105" i="3"/>
  <c r="E393" i="3"/>
  <c r="E493" i="3"/>
  <c r="E564" i="3"/>
  <c r="E543" i="3"/>
  <c r="E427" i="3"/>
  <c r="E486" i="3"/>
  <c r="E507" i="3"/>
  <c r="E422" i="3"/>
  <c r="E440" i="3"/>
  <c r="E376" i="3"/>
  <c r="AH6" i="3"/>
  <c r="J6" i="3"/>
  <c r="E498" i="3"/>
  <c r="E419" i="3"/>
  <c r="E401" i="3"/>
  <c r="E463" i="3"/>
  <c r="E40" i="3"/>
  <c r="E25" i="3"/>
  <c r="E108" i="3"/>
  <c r="E178" i="3"/>
  <c r="E226" i="3"/>
  <c r="E276" i="3"/>
  <c r="E346" i="3"/>
  <c r="E333" i="3"/>
  <c r="E372" i="3"/>
  <c r="L6" i="3"/>
  <c r="E60" i="3"/>
  <c r="E43" i="3"/>
  <c r="E540" i="3"/>
  <c r="E473" i="3"/>
  <c r="E15" i="3"/>
  <c r="E79" i="3"/>
  <c r="E38" i="3"/>
  <c r="E170" i="3"/>
  <c r="E137" i="3"/>
  <c r="E194" i="3"/>
  <c r="E234" i="3"/>
  <c r="E299" i="3"/>
  <c r="E339" i="3"/>
  <c r="E325" i="3"/>
  <c r="E392" i="3"/>
  <c r="AQ6" i="3"/>
  <c r="E36" i="3"/>
  <c r="E112" i="3"/>
  <c r="E123" i="3"/>
  <c r="E147" i="3"/>
  <c r="E289" i="3"/>
  <c r="E340" i="3"/>
  <c r="E364" i="3"/>
  <c r="E50" i="3"/>
  <c r="E20" i="3"/>
  <c r="E62" i="3"/>
  <c r="E176" i="3"/>
  <c r="E265" i="3"/>
  <c r="E365" i="3"/>
  <c r="E524" i="3"/>
  <c r="E101" i="3"/>
  <c r="E165" i="3"/>
  <c r="E141" i="3"/>
  <c r="E552" i="3"/>
  <c r="E398" i="3"/>
  <c r="E566" i="3"/>
  <c r="E460" i="3"/>
  <c r="E90" i="3"/>
  <c r="E348" i="3"/>
  <c r="E58" i="3"/>
  <c r="E521" i="3"/>
  <c r="E65" i="3"/>
  <c r="E386" i="3"/>
  <c r="E24" i="3"/>
  <c r="E250" i="3"/>
  <c r="E51" i="3"/>
  <c r="E222" i="3"/>
  <c r="E244" i="3"/>
  <c r="E312" i="3"/>
  <c r="E416" i="3"/>
  <c r="E500" i="3"/>
  <c r="E520" i="3"/>
  <c r="E57" i="3"/>
  <c r="E110" i="3"/>
  <c r="E446" i="3"/>
  <c r="E138" i="3"/>
  <c r="E209" i="3"/>
  <c r="E354" i="3"/>
  <c r="E48" i="3"/>
  <c r="E284" i="3"/>
  <c r="E323" i="3"/>
  <c r="E149" i="3"/>
  <c r="E464" i="3"/>
  <c r="E582" i="3"/>
  <c r="E436" i="3"/>
  <c r="E297" i="3"/>
  <c r="E375" i="3"/>
  <c r="E47" i="3"/>
  <c r="E266" i="3"/>
  <c r="E584" i="3"/>
  <c r="E341" i="3"/>
  <c r="E542" i="3"/>
  <c r="E374" i="3"/>
  <c r="E39" i="3"/>
  <c r="E259" i="3"/>
  <c r="E462" i="3"/>
  <c r="E163" i="3"/>
  <c r="E66" i="3"/>
  <c r="Y6" i="3"/>
  <c r="E179" i="3"/>
  <c r="AD6" i="3"/>
  <c r="AC6" i="3" s="1"/>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D26" i="43"/>
  <c r="C25" i="43" s="1"/>
  <c r="C7" i="43"/>
  <c r="C5" i="43" s="1"/>
  <c r="D10" i="52"/>
  <c r="D125" i="9"/>
  <c r="D11" i="52" s="1"/>
  <c r="B7" i="74"/>
  <c r="C7" i="74" s="1"/>
  <c r="F67" i="39"/>
  <c r="H7" i="37"/>
  <c r="AB7" i="37" s="1"/>
  <c r="T42" i="37" s="1"/>
  <c r="G42" i="37" s="1"/>
  <c r="S10" i="39"/>
  <c r="H7" i="33"/>
  <c r="J7" i="33"/>
  <c r="D65" i="40"/>
  <c r="E63" i="40"/>
  <c r="F48" i="35"/>
  <c r="S7" i="36"/>
  <c r="AC7" i="37"/>
  <c r="AB7" i="36"/>
  <c r="U7" i="36"/>
  <c r="F7" i="33"/>
  <c r="E58" i="21"/>
  <c r="AC7" i="36"/>
  <c r="V36" i="36" s="1"/>
  <c r="I36" i="36" s="1"/>
  <c r="W7" i="36"/>
  <c r="F7" i="37"/>
  <c r="M17" i="67"/>
  <c r="P28" i="43"/>
  <c r="B66" i="40" s="1"/>
  <c r="P25" i="43"/>
  <c r="P29" i="43"/>
  <c r="P27" i="43"/>
  <c r="B70" i="39" s="1"/>
  <c r="C32" i="9"/>
  <c r="M11" i="67"/>
  <c r="J10" i="67" s="1"/>
  <c r="F11" i="15"/>
  <c r="M11" i="15"/>
  <c r="J10" i="15" s="1"/>
  <c r="F11" i="67"/>
  <c r="Q74" i="15"/>
  <c r="Q61" i="15"/>
  <c r="AE11" i="1"/>
  <c r="AE6" i="1"/>
  <c r="AE9" i="1"/>
  <c r="F27" i="68"/>
  <c r="AE7" i="1"/>
  <c r="AE8" i="1"/>
  <c r="AE12" i="1"/>
  <c r="AE10" i="1"/>
  <c r="C16" i="15"/>
  <c r="F41" i="67"/>
  <c r="C16" i="67"/>
  <c r="G1" i="73"/>
  <c r="E3" i="6" l="1"/>
  <c r="K16" i="1"/>
  <c r="H10" i="40"/>
  <c r="AB10" i="40" s="1"/>
  <c r="E243" i="3"/>
  <c r="E360" i="3"/>
  <c r="E140" i="3"/>
  <c r="E522" i="3"/>
  <c r="E332" i="3"/>
  <c r="E381" i="3"/>
  <c r="E300" i="3"/>
  <c r="E76" i="3"/>
  <c r="E56" i="3"/>
  <c r="R6" i="3"/>
  <c r="C21" i="71"/>
  <c r="D22" i="71"/>
  <c r="J10" i="39"/>
  <c r="W10" i="39" s="1"/>
  <c r="E30" i="6"/>
  <c r="S16" i="71"/>
  <c r="E499" i="3"/>
  <c r="T49" i="34"/>
  <c r="G49" i="34" s="1"/>
  <c r="T36" i="36"/>
  <c r="G36" i="36" s="1"/>
  <c r="G40" i="36" s="1"/>
  <c r="H40" i="36" s="1"/>
  <c r="F10" i="40"/>
  <c r="S10" i="40" s="1"/>
  <c r="H10" i="39"/>
  <c r="U10" i="39" s="1"/>
  <c r="E349" i="3"/>
  <c r="E435" i="3"/>
  <c r="E199" i="3"/>
  <c r="E373" i="3"/>
  <c r="E19" i="3"/>
  <c r="E421" i="3"/>
  <c r="E155" i="3"/>
  <c r="E218" i="3"/>
  <c r="E52" i="3"/>
  <c r="E455" i="3"/>
  <c r="E202" i="3"/>
  <c r="E490" i="3"/>
  <c r="E223" i="3"/>
  <c r="E342" i="3"/>
  <c r="E104" i="3"/>
  <c r="E469" i="3"/>
  <c r="E287" i="3"/>
  <c r="E129" i="3"/>
  <c r="E21" i="3"/>
  <c r="E144" i="3"/>
  <c r="E103" i="3"/>
  <c r="E363" i="3"/>
  <c r="E517" i="3"/>
  <c r="E212" i="3"/>
  <c r="T60" i="71"/>
  <c r="D60" i="71"/>
  <c r="Q52" i="67"/>
  <c r="J5" i="67"/>
  <c r="J24" i="67" s="1"/>
  <c r="Q60" i="67"/>
  <c r="Q74" i="67"/>
  <c r="Q52" i="15"/>
  <c r="C49" i="15"/>
  <c r="F1" i="15"/>
  <c r="F59" i="15"/>
  <c r="C49" i="67"/>
  <c r="M17" i="15"/>
  <c r="J5" i="15"/>
  <c r="J24" i="15" s="1"/>
  <c r="Q73" i="15"/>
  <c r="R36" i="36"/>
  <c r="D36" i="71"/>
  <c r="T36" i="71"/>
  <c r="T40" i="71"/>
  <c r="D40" i="71"/>
  <c r="D56" i="71"/>
  <c r="T56" i="71"/>
  <c r="D44" i="71"/>
  <c r="T44" i="71"/>
  <c r="E491" i="3"/>
  <c r="AP6" i="3"/>
  <c r="E430" i="3"/>
  <c r="E502" i="3"/>
  <c r="E286" i="3"/>
  <c r="C26" i="71"/>
  <c r="D26" i="71" s="1"/>
  <c r="D27"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6" i="37"/>
  <c r="H46" i="37" s="1"/>
  <c r="G48" i="35"/>
  <c r="U7" i="33"/>
  <c r="AB7" i="33"/>
  <c r="T48" i="33" s="1"/>
  <c r="G48" i="33" s="1"/>
  <c r="C53" i="67"/>
  <c r="C10" i="67"/>
  <c r="C5" i="67" s="1"/>
  <c r="C38" i="67" s="1"/>
  <c r="C53" i="15"/>
  <c r="C10" i="15"/>
  <c r="C5" i="15" s="1"/>
  <c r="C38" i="15" s="1"/>
  <c r="C35" i="9"/>
  <c r="M27" i="15"/>
  <c r="M27" i="67"/>
  <c r="F41" i="15"/>
  <c r="D116" i="43" l="1"/>
  <c r="I46" i="37"/>
  <c r="J46" i="37" s="1"/>
  <c r="G41" i="36"/>
  <c r="H41" i="36" s="1"/>
  <c r="AB10" i="39"/>
  <c r="D21" i="71"/>
  <c r="C20" i="71"/>
  <c r="C48" i="67"/>
  <c r="C66" i="67" s="1"/>
  <c r="C48" i="15"/>
  <c r="C66" i="15" s="1"/>
  <c r="F25" i="12"/>
  <c r="C26" i="12" s="1"/>
  <c r="D25" i="12" s="1"/>
  <c r="F22" i="68"/>
  <c r="C44" i="68" s="1"/>
  <c r="D41" i="68" s="1"/>
  <c r="F22" i="11"/>
  <c r="C23" i="11" s="1"/>
  <c r="F24" i="67"/>
  <c r="C24" i="67" s="1"/>
  <c r="F24" i="15"/>
  <c r="C24" i="15" s="1"/>
  <c r="F22" i="69"/>
  <c r="F41" i="69" s="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34" i="9"/>
  <c r="D10" i="69"/>
  <c r="C34" i="69"/>
  <c r="D10" i="68"/>
  <c r="C17" i="67"/>
  <c r="C14" i="67"/>
  <c r="C17" i="15"/>
  <c r="C19" i="71" l="1"/>
  <c r="D20" i="71"/>
  <c r="U20" i="71" s="1"/>
  <c r="T20" i="71"/>
  <c r="H25" i="6"/>
  <c r="H24" i="6"/>
  <c r="R24" i="6" s="1"/>
  <c r="R11" i="1" s="1"/>
  <c r="C60" i="67"/>
  <c r="C60" i="15"/>
  <c r="C44" i="11"/>
  <c r="D41" i="11" s="1"/>
  <c r="C26" i="11"/>
  <c r="D22" i="11" s="1"/>
  <c r="F41" i="68"/>
  <c r="C23" i="68"/>
  <c r="C26" i="68"/>
  <c r="D22" i="68"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67"/>
  <c r="F35" i="15"/>
  <c r="M21" i="15"/>
  <c r="C15" i="71" l="1"/>
  <c r="T16" i="71"/>
  <c r="D16" i="71"/>
  <c r="U16" i="71" s="1"/>
  <c r="E48" i="21"/>
  <c r="E52" i="21" s="1"/>
  <c r="F52" i="21" s="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B22" i="80" s="1"/>
  <c r="G42" i="35"/>
  <c r="H42" i="35" s="1"/>
  <c r="I53" i="21"/>
  <c r="J53" i="21" s="1"/>
  <c r="K65" i="40"/>
  <c r="L63" i="40"/>
  <c r="B20" i="80" l="1"/>
  <c r="D22" i="80"/>
  <c r="E22" i="80" s="1"/>
  <c r="G22" i="80" s="1"/>
  <c r="E53" i="21"/>
  <c r="F53" i="21" s="1"/>
  <c r="C14" i="71"/>
  <c r="D15" i="71"/>
  <c r="I42" i="35"/>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7"/>
  <c r="L51" i="15"/>
  <c r="D2" i="34"/>
  <c r="C11" i="71" l="1"/>
  <c r="T12" i="71"/>
  <c r="D12" i="71"/>
  <c r="U12" i="71"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11" i="1"/>
  <c r="AO10" i="1"/>
  <c r="AO7" i="1"/>
  <c r="AO8" i="1"/>
  <c r="AO12" i="1"/>
  <c r="AO9"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D8" i="71" l="1"/>
  <c r="C7"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B53" i="72"/>
  <c r="F5" i="52"/>
  <c r="F119" i="9"/>
  <c r="C5" i="74"/>
  <c r="B20" i="72"/>
  <c r="E97" i="9"/>
  <c r="E96" i="9"/>
  <c r="C96" i="9"/>
  <c r="B47" i="72"/>
  <c r="D4" i="52"/>
  <c r="C80" i="9"/>
  <c r="E80" i="9"/>
  <c r="E81" i="9"/>
  <c r="D54" i="9"/>
  <c r="C68" i="9"/>
  <c r="H102" i="9"/>
  <c r="D7" i="53"/>
  <c r="B21" i="72"/>
  <c r="B52" i="72"/>
  <c r="G4" i="52"/>
  <c r="D5" i="53"/>
  <c r="D6" i="53"/>
  <c r="B22" i="72"/>
  <c r="B51" i="72"/>
  <c r="G118" i="9"/>
  <c r="F118" i="9"/>
  <c r="F4" i="52"/>
  <c r="B49" i="72"/>
  <c r="D5" i="52"/>
  <c r="D118" i="9"/>
  <c r="D119" i="9"/>
  <c r="N60" i="9"/>
  <c r="N59" i="9"/>
  <c r="N61" i="9"/>
  <c r="C72" i="9"/>
  <c r="C79" i="9"/>
  <c r="C81" i="9"/>
  <c r="C6" i="74"/>
  <c r="C85" i="9"/>
  <c r="C95" i="9"/>
  <c r="C97" i="9"/>
  <c r="D58" i="9"/>
  <c r="D56" i="9"/>
  <c r="M54" i="9"/>
  <c r="D8" i="52"/>
  <c r="B30" i="72"/>
  <c r="C105" i="9"/>
  <c r="I4" i="52"/>
  <c r="P57" i="9"/>
  <c r="D55" i="9"/>
  <c r="M53" i="9"/>
  <c r="N57" i="9"/>
  <c r="N58" i="9"/>
  <c r="M48" i="9"/>
  <c r="C104" i="9"/>
  <c r="H4" i="52"/>
  <c r="H119" i="9"/>
  <c r="H5" i="52"/>
  <c r="H108" i="9"/>
  <c r="D15" i="53"/>
  <c r="B31" i="72"/>
  <c r="E118" i="9"/>
  <c r="E4" i="52"/>
  <c r="B48" i="72"/>
  <c r="D53" i="9"/>
  <c r="D52" i="9"/>
  <c r="C64" i="9"/>
  <c r="C63" i="9"/>
  <c r="C67" i="9"/>
  <c r="D59" i="9"/>
  <c r="M55" i="9"/>
  <c r="C93" i="9"/>
  <c r="C86" i="9"/>
  <c r="D45" i="9"/>
  <c r="C78" i="9"/>
  <c r="C73" i="9"/>
  <c r="D122" i="9"/>
  <c r="D123" i="9"/>
  <c r="D9" i="52"/>
  <c r="I118" i="9"/>
  <c r="H118" i="9"/>
  <c r="H101" i="9"/>
  <c r="H107" i="9"/>
  <c r="D13" i="53"/>
  <c r="D14" i="53"/>
  <c r="B3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1C2F611A-28B6-4896-B6D8-F73EA804F473}">
      <text>
        <r>
          <rPr>
            <b/>
            <sz val="9"/>
            <color indexed="81"/>
            <rFont val="宋体"/>
            <family val="3"/>
            <charset val="134"/>
          </rPr>
          <t>权重验证</t>
        </r>
        <r>
          <rPr>
            <sz val="9"/>
            <color indexed="81"/>
            <rFont val="宋体"/>
            <family val="3"/>
            <charset val="134"/>
          </rPr>
          <t xml:space="preserve">
</t>
        </r>
      </text>
    </comment>
    <comment ref="C58" authorId="1" shapeId="0" xr:uid="{0F9F8E5E-04EB-4249-98DC-BE18FC5B7FAE}">
      <text>
        <r>
          <rPr>
            <b/>
            <sz val="12"/>
            <color indexed="81"/>
            <rFont val="宋体"/>
            <family val="3"/>
            <charset val="134"/>
          </rPr>
          <t>价值时点所在月度</t>
        </r>
        <r>
          <rPr>
            <sz val="12"/>
            <color indexed="81"/>
            <rFont val="宋体"/>
            <family val="3"/>
            <charset val="134"/>
          </rPr>
          <t xml:space="preserve">
</t>
        </r>
      </text>
    </comment>
    <comment ref="B102" authorId="1" shapeId="0" xr:uid="{A90845C3-93C0-49DC-8D22-6DE8A9CE3D5C}">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C480151D-B53F-444A-B6B0-82FDB0452B3C}">
      <text>
        <r>
          <rPr>
            <b/>
            <sz val="9"/>
            <color indexed="81"/>
            <rFont val="宋体"/>
            <family val="3"/>
            <charset val="134"/>
          </rPr>
          <t>权重验证</t>
        </r>
        <r>
          <rPr>
            <sz val="9"/>
            <color indexed="81"/>
            <rFont val="宋体"/>
            <family val="3"/>
            <charset val="134"/>
          </rPr>
          <t xml:space="preserve">
</t>
        </r>
      </text>
    </comment>
    <comment ref="C58" authorId="1" shapeId="0" xr:uid="{08F54CB4-04E2-4C5E-9716-D377DC35A168}">
      <text>
        <r>
          <rPr>
            <b/>
            <sz val="12"/>
            <color indexed="81"/>
            <rFont val="宋体"/>
            <family val="3"/>
            <charset val="134"/>
          </rPr>
          <t>价值时点所在月度</t>
        </r>
        <r>
          <rPr>
            <sz val="12"/>
            <color indexed="81"/>
            <rFont val="宋体"/>
            <family val="3"/>
            <charset val="134"/>
          </rPr>
          <t xml:space="preserve">
</t>
        </r>
      </text>
    </comment>
    <comment ref="B102" authorId="1" shapeId="0" xr:uid="{774763AA-E29B-4D20-8D87-B295738FC586}">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BE2B458A-0E75-45F5-9BDC-D79619532584}">
      <text>
        <r>
          <rPr>
            <b/>
            <sz val="9"/>
            <color indexed="81"/>
            <rFont val="宋体"/>
            <family val="3"/>
            <charset val="134"/>
          </rPr>
          <t>权重验证</t>
        </r>
        <r>
          <rPr>
            <sz val="9"/>
            <color indexed="81"/>
            <rFont val="宋体"/>
            <family val="3"/>
            <charset val="134"/>
          </rPr>
          <t xml:space="preserve">
</t>
        </r>
      </text>
    </comment>
    <comment ref="C58" authorId="1" shapeId="0" xr:uid="{3CDFBB81-B2F6-4CB5-B30F-0EED646A8F72}">
      <text>
        <r>
          <rPr>
            <b/>
            <sz val="12"/>
            <color indexed="81"/>
            <rFont val="宋体"/>
            <family val="3"/>
            <charset val="134"/>
          </rPr>
          <t>价值时点所在月度</t>
        </r>
        <r>
          <rPr>
            <sz val="12"/>
            <color indexed="81"/>
            <rFont val="宋体"/>
            <family val="3"/>
            <charset val="134"/>
          </rPr>
          <t xml:space="preserve">
</t>
        </r>
      </text>
    </comment>
    <comment ref="B102" authorId="1" shapeId="0" xr:uid="{39872213-1FC8-416F-9AD1-D1A92EEC8FAD}">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<sst xmlns="http://schemas.openxmlformats.org/spreadsheetml/2006/main" count="11867" uniqueCount="4126">
  <si>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</si>
  <si>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</si>
  <si>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</si>
  <si>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</si>
  <si>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</si>
  <si>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</si>
  <si>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</si>
  <si>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</si>
  <si>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</si>
  <si>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</si>
  <si>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</si>
  <si>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</si>
  <si>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</si>
  <si>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</si>
  <si>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</si>
  <si>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</si>
  <si>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</si>
  <si>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</si>
  <si>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</si>
  <si>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</si>
  <si>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</si>
  <si>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</si>
  <si>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</si>
  <si>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</si>
  <si>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</si>
  <si>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</si>
  <si>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</si>
  <si>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</si>
  <si>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</si>
  <si>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</si>
  <si>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</si>
  <si>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</si>
  <si>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</si>
  <si>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</si>
  <si>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</si>
  <si>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</si>
  <si>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</si>
  <si>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</si>
  <si>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</si>
  <si>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</si>
  <si>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</si>
  <si>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</si>
  <si>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</si>
  <si>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</si>
  <si>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</si>
  <si>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</si>
  <si>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</si>
  <si>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</si>
  <si>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</si>
  <si>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</si>
  <si>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</si>
  <si>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</si>
  <si>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</si>
  <si>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</si>
  <si>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</si>
  <si>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</si>
  <si>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</si>
  <si>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</si>
  <si>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</si>
  <si>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</si>
  <si>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</si>
  <si>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</si>
  <si>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</si>
  <si>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</si>
  <si>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</si>
  <si>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</si>
  <si>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</si>
  <si>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</si>
  <si>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</si>
  <si>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</si>
  <si>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</si>
  <si>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</si>
  <si>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</si>
  <si>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</si>
  <si>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</si>
  <si>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</si>
  <si>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</si>
  <si>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</si>
  <si>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</si>
  <si>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</si>
  <si>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</si>
  <si>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</si>
  <si>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</si>
  <si>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</si>
  <si>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</si>
  <si>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</si>
  <si>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</si>
  <si>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</si>
  <si>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</si>
  <si>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</si>
  <si>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</si>
  <si>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</si>
  <si>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</si>
  <si>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</si>
  <si>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</si>
  <si>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</si>
  <si>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</si>
  <si>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</si>
  <si>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</si>
  <si>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</si>
  <si>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</si>
  <si>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</si>
  <si>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</si>
  <si>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</si>
  <si>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</si>
  <si>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</si>
  <si>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</si>
  <si>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</si>
  <si>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</si>
  <si>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</si>
  <si>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</si>
  <si>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</si>
  <si>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</si>
  <si>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</si>
  <si>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</si>
  <si>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</si>
  <si>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</si>
  <si>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</si>
  <si>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</si>
  <si>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</si>
  <si>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</si>
  <si>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</si>
  <si>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</si>
  <si>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</si>
  <si>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</si>
  <si>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</si>
  <si>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</si>
  <si>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</si>
  <si>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</si>
  <si>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</si>
  <si>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</si>
  <si>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</si>
  <si>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</si>
  <si>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</si>
  <si>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</si>
  <si>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</si>
  <si>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</si>
  <si>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</si>
  <si>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</si>
  <si>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</si>
  <si>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</si>
  <si>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</si>
  <si>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</si>
  <si>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</si>
  <si>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</si>
  <si>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</si>
  <si>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</si>
  <si>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</si>
  <si>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</si>
  <si>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</si>
  <si>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</si>
  <si>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</si>
  <si>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</si>
  <si>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</si>
  <si>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</si>
  <si>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</si>
  <si>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</si>
  <si>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</si>
  <si>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</si>
  <si>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</si>
  <si>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</si>
  <si>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</si>
  <si>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</si>
  <si>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</si>
  <si>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</si>
  <si>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</si>
  <si>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</si>
  <si>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</si>
  <si>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</si>
  <si>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</si>
  <si>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</si>
  <si>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</si>
  <si>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</si>
  <si>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</si>
  <si>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</si>
  <si>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</si>
  <si>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</si>
  <si>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</si>
  <si>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</si>
  <si>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</si>
  <si>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</si>
  <si>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</si>
  <si>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</si>
  <si>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</si>
  <si>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</si>
  <si>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</si>
  <si>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</si>
  <si>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</si>
  <si>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</si>
  <si>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</si>
  <si>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</si>
  <si>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</si>
  <si>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</si>
  <si>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</si>
  <si>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</si>
  <si>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</si>
  <si>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</si>
  <si>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</si>
  <si>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</si>
  <si>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</si>
  <si>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</si>
  <si>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</si>
  <si>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</si>
  <si>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</si>
  <si>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</si>
  <si>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</si>
  <si>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</si>
  <si>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</si>
  <si>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</si>
  <si>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</si>
  <si>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</si>
  <si>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</si>
  <si>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</si>
  <si>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</si>
  <si>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</si>
  <si>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</si>
  <si>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</si>
  <si>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</si>
  <si>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</si>
  <si>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</si>
  <si>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</si>
  <si>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</si>
  <si>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</si>
  <si>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</si>
  <si>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</si>
  <si>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</si>
  <si>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</si>
  <si>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</si>
  <si>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</si>
  <si>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</si>
  <si>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</si>
  <si>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</si>
  <si>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</si>
  <si>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</si>
  <si>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</si>
  <si>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</si>
  <si>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</si>
  <si>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</si>
  <si>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</si>
  <si>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</si>
  <si>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</si>
  <si>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</si>
  <si>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</si>
  <si>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</si>
  <si>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</si>
  <si>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</si>
  <si>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</si>
  <si>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</si>
  <si>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</si>
  <si>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</si>
  <si>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</si>
  <si>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</si>
  <si>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</si>
  <si>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</si>
  <si>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</si>
  <si>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</si>
  <si>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</si>
  <si>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</si>
  <si>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</si>
  <si>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</si>
  <si>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</si>
  <si>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</si>
  <si>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</si>
  <si>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</si>
  <si>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</si>
  <si>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</si>
  <si>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</si>
  <si>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</si>
  <si>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</si>
  <si>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</si>
  <si>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</si>
  <si>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</si>
  <si>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</si>
  <si>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</si>
  <si>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</si>
  <si>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</si>
  <si>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</si>
  <si>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</si>
  <si>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</si>
  <si>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</si>
  <si>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</si>
  <si>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</si>
  <si>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</si>
  <si>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</si>
  <si>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</si>
  <si>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</si>
  <si>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</si>
  <si>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</si>
  <si>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</si>
  <si>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</si>
  <si>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</si>
  <si>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</si>
  <si>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</si>
  <si>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</si>
  <si>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</si>
  <si>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</si>
  <si>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</si>
  <si>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</si>
  <si>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</si>
  <si>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</si>
  <si>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</si>
  <si>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</si>
  <si>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</si>
  <si>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</si>
  <si>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</si>
  <si>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</si>
  <si>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</si>
  <si>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</si>
  <si>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</si>
  <si>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</si>
  <si>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</si>
  <si>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</si>
  <si>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</si>
  <si>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</si>
  <si>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</si>
  <si>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</si>
  <si>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</si>
  <si>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</si>
  <si>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</si>
  <si>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</si>
  <si>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</si>
  <si>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</si>
  <si>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</si>
  <si>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</si>
  <si>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</si>
  <si>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</si>
  <si>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</si>
  <si>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</si>
  <si>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</si>
  <si>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</si>
  <si>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</si>
  <si>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</si>
  <si>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</si>
  <si>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</si>
  <si>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</si>
  <si>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</si>
  <si>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</si>
  <si>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</si>
  <si>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</si>
  <si>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</si>
  <si>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</si>
  <si>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</si>
  <si>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</si>
  <si>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</si>
  <si>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</si>
  <si>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</si>
  <si>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</si>
  <si>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</si>
  <si>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</si>
  <si>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</si>
  <si>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</si>
  <si>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</si>
  <si>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</si>
  <si>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</si>
  <si>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</si>
  <si>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</si>
  <si>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</si>
  <si>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</si>
  <si>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</si>
  <si>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</si>
  <si>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</si>
  <si>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</si>
  <si>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</si>
  <si>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</si>
  <si>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</si>
  <si>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</si>
  <si>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</si>
  <si>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</si>
  <si>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</si>
  <si>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</si>
  <si>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</si>
  <si>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</si>
  <si>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</si>
  <si>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</si>
  <si>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</si>
  <si>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</si>
  <si>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</si>
  <si>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</si>
  <si>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</si>
  <si>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</si>
  <si>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</si>
  <si>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</si>
  <si>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</si>
  <si>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</si>
  <si>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</si>
  <si>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</si>
  <si>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</si>
  <si>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</si>
  <si>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</si>
  <si>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</si>
  <si>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</si>
  <si>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</si>
  <si>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</si>
  <si>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</si>
  <si>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</si>
  <si>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</si>
  <si>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</si>
  <si>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</si>
  <si>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</si>
  <si>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</si>
  <si>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</si>
  <si>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</si>
  <si>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</si>
  <si>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</si>
  <si>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</si>
  <si>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</si>
  <si>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</si>
  <si>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</si>
  <si>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</si>
  <si>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</si>
  <si>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</si>
  <si>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</si>
  <si>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</si>
  <si>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</si>
  <si>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</si>
  <si>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</si>
  <si>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</si>
  <si>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</si>
  <si>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</si>
  <si>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</si>
  <si>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</si>
  <si>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</si>
  <si>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</si>
  <si>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</si>
  <si>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</si>
  <si>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</si>
  <si>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</si>
  <si>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</si>
  <si>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</si>
  <si>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</si>
  <si>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</si>
  <si>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</si>
  <si>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</si>
  <si>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</si>
  <si>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</si>
  <si>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</si>
  <si>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</si>
  <si>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</si>
  <si>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</si>
  <si>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</si>
  <si>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</si>
  <si>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</si>
  <si>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</si>
  <si>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</si>
  <si>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</si>
  <si>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</si>
  <si>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</si>
  <si>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</si>
  <si>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</si>
  <si>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</si>
  <si>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</si>
  <si>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</si>
  <si>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</si>
  <si>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</si>
  <si>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</si>
  <si>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</si>
  <si>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</si>
  <si>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</si>
  <si>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</si>
  <si>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</si>
  <si>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</si>
  <si>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</si>
  <si>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</si>
  <si>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</si>
  <si>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</si>
  <si>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</si>
  <si>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</si>
  <si>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</si>
  <si>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</si>
  <si>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</si>
  <si>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</si>
  <si>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</si>
  <si>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</si>
  <si>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</si>
  <si>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</si>
  <si>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</si>
  <si>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</si>
  <si>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</si>
  <si>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</si>
  <si>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</si>
  <si>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</si>
  <si>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</si>
  <si>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</si>
  <si>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</si>
  <si>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</si>
  <si>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</si>
  <si>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</si>
  <si>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</si>
  <si>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</si>
  <si>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</si>
  <si>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</si>
  <si>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</si>
  <si>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</si>
  <si>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</si>
  <si>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</si>
  <si>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</si>
  <si>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</si>
  <si>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</si>
  <si>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</si>
  <si>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</si>
  <si>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</si>
  <si>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</si>
  <si>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</si>
  <si>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</si>
  <si>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</si>
  <si>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</si>
  <si>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</si>
  <si>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</si>
  <si>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</si>
  <si>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</si>
  <si>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</si>
  <si>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</si>
  <si>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</si>
  <si>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</si>
  <si>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</si>
  <si>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</si>
  <si>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</si>
  <si>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</si>
  <si>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</si>
  <si>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</si>
  <si>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</si>
  <si>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</si>
  <si>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</si>
  <si>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</si>
  <si>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</si>
  <si>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</si>
  <si>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</si>
  <si>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</si>
  <si>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</si>
  <si>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</si>
  <si>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</si>
  <si>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</si>
  <si>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</si>
  <si>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</si>
  <si>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</si>
  <si>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</si>
  <si>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</si>
  <si>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</si>
  <si>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</si>
  <si>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</si>
  <si>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</si>
  <si>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</si>
  <si>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</si>
  <si>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</si>
  <si>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</si>
  <si>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</si>
  <si>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</si>
  <si>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</si>
  <si>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</si>
  <si>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</si>
  <si>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</si>
  <si>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</si>
  <si>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</si>
  <si>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</si>
  <si>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</si>
  <si>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</si>
  <si>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</si>
  <si>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</si>
  <si>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</si>
  <si>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</si>
  <si>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</si>
  <si>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</si>
  <si>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</si>
  <si>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</si>
  <si>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</si>
  <si>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</si>
  <si>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</si>
  <si>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</si>
  <si>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</si>
  <si>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</si>
  <si>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</si>
  <si>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</si>
  <si>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</si>
  <si>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</si>
  <si>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</si>
  <si>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</si>
  <si>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</si>
  <si>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</si>
  <si>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</si>
  <si>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</si>
  <si>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</si>
  <si>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</si>
  <si>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</si>
  <si>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</si>
  <si>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</si>
  <si>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</si>
  <si>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</si>
  <si>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</si>
  <si>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</si>
  <si>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</si>
  <si>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</si>
  <si>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</si>
  <si>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</si>
  <si>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</si>
  <si>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</si>
  <si>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</si>
  <si>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</si>
  <si>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</si>
  <si>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</si>
  <si>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</si>
  <si>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</si>
  <si>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</si>
  <si>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</si>
  <si>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</si>
  <si>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</si>
  <si>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</si>
  <si>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</si>
  <si>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</si>
  <si>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</si>
  <si>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</si>
  <si>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</si>
  <si>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</si>
  <si>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</si>
  <si>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</si>
  <si>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</si>
  <si>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</si>
  <si>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</si>
  <si>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</si>
  <si>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</si>
  <si>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</si>
  <si>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</si>
  <si>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</si>
  <si>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</si>
  <si>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</si>
  <si>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</si>
  <si>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</si>
  <si>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</si>
  <si>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</si>
  <si>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</si>
  <si>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</si>
  <si>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</si>
  <si>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</si>
  <si>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</si>
  <si>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</si>
  <si>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</si>
  <si>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</si>
  <si>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</si>
  <si>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</si>
  <si>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</si>
  <si>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</si>
  <si>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</si>
  <si>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</si>
  <si>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</si>
  <si>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</si>
  <si>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</si>
  <si>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</si>
  <si>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</si>
  <si>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</si>
  <si>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</si>
  <si>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</si>
  <si>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</si>
  <si>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</si>
  <si>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</si>
  <si>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</si>
  <si>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</si>
  <si>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</si>
  <si>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</si>
  <si>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</si>
  <si>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</si>
  <si>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</si>
  <si>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</si>
  <si>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</si>
  <si>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</si>
  <si>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</si>
  <si>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</si>
  <si>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</si>
  <si>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</si>
  <si>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</si>
  <si>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</si>
  <si>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</si>
  <si>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</si>
  <si>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</si>
  <si>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</si>
  <si>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</si>
  <si>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</si>
  <si>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</si>
  <si>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</si>
  <si>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</si>
  <si>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</si>
  <si>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</si>
  <si>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</si>
  <si>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</si>
  <si>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</si>
  <si>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</si>
  <si>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</si>
  <si>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</si>
  <si>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</si>
  <si>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</si>
  <si>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</si>
  <si>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</si>
  <si>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</si>
  <si>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</si>
  <si>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</si>
  <si>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</si>
  <si>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</si>
  <si>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</si>
  <si>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</si>
  <si>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</si>
  <si>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</si>
  <si>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</si>
  <si>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</si>
  <si>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</si>
  <si>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</si>
  <si>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</si>
  <si>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</si>
  <si>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</si>
  <si>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</si>
  <si>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</si>
  <si>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</si>
  <si>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</si>
  <si>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</si>
  <si>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</si>
  <si>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</si>
  <si>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</si>
  <si>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</si>
  <si>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</si>
  <si>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</si>
  <si>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</si>
  <si>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</si>
  <si>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</si>
  <si>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</si>
  <si>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</si>
  <si>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</si>
  <si>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</si>
  <si>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</si>
  <si>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</si>
  <si>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</si>
  <si>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</si>
  <si>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</si>
  <si>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</si>
  <si>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</si>
  <si>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</si>
  <si>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</si>
  <si>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</si>
  <si>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</si>
  <si>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</si>
  <si>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</si>
  <si>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</si>
  <si>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</si>
  <si>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</si>
  <si>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</si>
  <si>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</si>
  <si>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</si>
  <si>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</si>
  <si>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</si>
  <si>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</si>
  <si>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</si>
  <si>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</si>
  <si>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</si>
  <si>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</si>
  <si>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</si>
  <si>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</si>
  <si>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</si>
  <si>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</si>
  <si>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</si>
  <si>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</si>
  <si>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</si>
  <si>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</si>
  <si>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</si>
  <si>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</si>
  <si>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</si>
  <si>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</si>
  <si>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</si>
  <si>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</si>
  <si>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</si>
  <si>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</si>
  <si>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</si>
  <si>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</si>
  <si>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</si>
  <si>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</si>
  <si>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</si>
  <si>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</si>
  <si>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</si>
  <si>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</si>
  <si>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</si>
  <si>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</si>
  <si>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</si>
  <si>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</si>
  <si>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</si>
  <si>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</si>
  <si>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</si>
  <si>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</si>
  <si>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</si>
  <si>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</si>
  <si>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</si>
  <si>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</si>
  <si>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</si>
  <si>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</si>
  <si>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</si>
  <si>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</si>
  <si>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</si>
  <si>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</si>
  <si>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</si>
  <si>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</si>
  <si>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</si>
  <si>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</si>
  <si>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</si>
  <si>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</si>
  <si>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</si>
  <si>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</si>
  <si>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</si>
  <si>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</si>
  <si>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</si>
  <si>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</si>
  <si>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</si>
  <si>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</si>
  <si>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</si>
  <si>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</si>
  <si>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</si>
  <si>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</si>
  <si>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</si>
  <si>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</si>
  <si>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</si>
  <si>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</si>
  <si>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</si>
  <si>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</si>
  <si>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</si>
  <si>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</si>
  <si>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</si>
  <si>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</si>
  <si>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</si>
  <si>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</si>
  <si>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</si>
  <si>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</si>
  <si>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</si>
  <si>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</si>
  <si>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</si>
  <si>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</si>
  <si>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</si>
  <si>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</si>
  <si>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</si>
  <si>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</si>
  <si>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</si>
  <si>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</si>
  <si>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</si>
  <si>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</si>
  <si>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</si>
  <si>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</si>
  <si>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</si>
  <si>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</si>
  <si>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</si>
  <si>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</si>
  <si>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</si>
  <si>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</si>
  <si>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</si>
  <si>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</si>
  <si>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</si>
  <si>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</si>
  <si>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</si>
  <si>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</si>
  <si>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</si>
  <si>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</si>
  <si>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</si>
  <si>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</si>
  <si>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</si>
  <si>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</si>
  <si>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</si>
  <si>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</si>
  <si>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</si>
  <si>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</si>
  <si>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</si>
  <si>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</si>
  <si>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</si>
  <si>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</si>
  <si>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</si>
  <si>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</si>
  <si>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</si>
  <si>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</si>
  <si>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</si>
  <si>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</si>
  <si>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</si>
  <si>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</si>
  <si>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</si>
  <si>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</si>
  <si>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</si>
  <si>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</si>
  <si>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</si>
  <si>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</si>
  <si>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</si>
  <si>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</si>
  <si>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</si>
  <si>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</si>
  <si>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</si>
  <si>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</si>
  <si>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</si>
  <si>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</si>
  <si>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</si>
  <si>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</si>
  <si>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</si>
  <si>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</si>
  <si>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</si>
  <si>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</si>
  <si>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</si>
  <si>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</si>
  <si>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</si>
  <si>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</si>
  <si>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</si>
  <si>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</si>
  <si>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</si>
  <si>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</si>
  <si>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</si>
  <si>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</si>
  <si>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</si>
  <si>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</si>
  <si>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</si>
  <si>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</si>
  <si>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</si>
  <si>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</si>
  <si>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</si>
  <si>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</si>
  <si>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</si>
  <si>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</si>
  <si>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</si>
  <si>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</si>
  <si>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</si>
  <si>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</si>
  <si>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</si>
  <si>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</si>
  <si>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</si>
  <si>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</si>
  <si>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</si>
  <si>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</si>
  <si>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</si>
  <si>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</si>
  <si>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</si>
  <si>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</si>
  <si>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</si>
  <si>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</si>
  <si>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</si>
  <si>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</si>
  <si>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</si>
  <si>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</si>
  <si>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</si>
  <si>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</si>
  <si>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</si>
  <si>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</si>
  <si>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</si>
  <si>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</si>
  <si>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</si>
  <si>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</si>
  <si>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</si>
  <si>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</si>
  <si>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</si>
  <si>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</si>
  <si>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</si>
  <si>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</si>
  <si>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</si>
  <si>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</si>
  <si>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</si>
  <si>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</si>
  <si>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</si>
  <si>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</si>
  <si>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</si>
  <si>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</si>
  <si>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</si>
  <si>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</si>
  <si>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</si>
  <si>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</si>
  <si>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</si>
  <si>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</si>
  <si>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</si>
  <si>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</si>
  <si>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</si>
  <si>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</si>
  <si>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</si>
  <si>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</si>
  <si>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</si>
  <si>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</si>
  <si>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</si>
  <si>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</si>
  <si>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</si>
  <si>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</si>
  <si>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</si>
  <si>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</si>
  <si>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</si>
  <si>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</si>
  <si>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</si>
  <si>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</si>
  <si>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</si>
  <si>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</si>
  <si>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</si>
  <si>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</si>
  <si>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</si>
  <si>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</si>
  <si>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</si>
  <si>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</si>
  <si>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</si>
  <si>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</si>
  <si>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</si>
  <si>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</si>
  <si>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</si>
  <si>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</si>
  <si>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</si>
  <si>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</si>
  <si>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</si>
  <si>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</si>
  <si>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</si>
  <si>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</si>
  <si>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</si>
  <si>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</si>
  <si>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</si>
  <si>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</si>
  <si>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</si>
  <si>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</si>
  <si>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</si>
  <si>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</si>
  <si>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</si>
  <si>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</si>
  <si>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</si>
  <si>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</si>
  <si>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</si>
  <si>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</si>
  <si>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</si>
  <si>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</si>
  <si>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</si>
  <si>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</si>
  <si>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</si>
  <si>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</si>
  <si>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</si>
  <si>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</si>
  <si>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</si>
  <si>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</si>
  <si>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</si>
  <si>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</si>
  <si>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</si>
  <si>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</si>
  <si>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</si>
  <si>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</si>
  <si>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</si>
  <si>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</si>
  <si>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</si>
  <si>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</si>
  <si>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</si>
  <si>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</si>
  <si>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</si>
  <si>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</si>
  <si>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</si>
  <si>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</si>
  <si>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</si>
  <si>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</si>
  <si>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</si>
  <si>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</si>
  <si>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</si>
  <si>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</si>
  <si>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</si>
  <si>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</si>
  <si>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</si>
  <si>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</si>
  <si>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</si>
  <si>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</si>
  <si>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</si>
  <si>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</si>
  <si>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</si>
  <si>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</si>
  <si>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</si>
  <si>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</si>
  <si>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</si>
  <si>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</si>
  <si>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</si>
  <si>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</si>
  <si>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</si>
  <si>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</si>
  <si>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</si>
  <si>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</si>
  <si>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</si>
  <si>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</si>
  <si>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</si>
  <si>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</si>
  <si>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</si>
  <si>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</si>
  <si>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</si>
  <si>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</si>
  <si>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</si>
  <si>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</si>
  <si>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</si>
  <si>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</si>
  <si>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</si>
  <si>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</si>
  <si>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</si>
  <si>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</si>
  <si>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</si>
  <si>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</si>
  <si>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</si>
  <si>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</si>
  <si>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</si>
  <si>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</si>
  <si>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</si>
  <si>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</si>
  <si>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</si>
  <si>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</si>
  <si>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</si>
  <si>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</si>
  <si>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</si>
  <si>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</si>
  <si>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</si>
  <si>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</si>
  <si>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</si>
  <si>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</si>
  <si>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</si>
  <si>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</si>
  <si>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</si>
  <si>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</si>
  <si>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</si>
  <si>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</si>
  <si>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</si>
  <si>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</si>
  <si>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</si>
  <si>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</si>
  <si>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</si>
  <si>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</si>
  <si>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</si>
  <si>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</si>
  <si>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</si>
  <si>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</si>
  <si>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</si>
  <si>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</si>
  <si>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</si>
  <si>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</si>
  <si>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</si>
  <si>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</si>
  <si>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</si>
  <si>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</si>
  <si>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</si>
  <si>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</si>
  <si>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</si>
  <si>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</si>
  <si>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</si>
  <si>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</si>
  <si>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</si>
  <si>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</si>
  <si>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</si>
  <si>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</si>
  <si>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</si>
  <si>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</si>
  <si>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</si>
  <si>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</si>
  <si>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</si>
  <si>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</si>
  <si>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</si>
  <si>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</si>
  <si>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</si>
  <si>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</si>
  <si>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</si>
  <si>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</si>
  <si>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</si>
  <si>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</si>
  <si>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</si>
  <si>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</si>
  <si>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</si>
  <si>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</si>
  <si>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</si>
  <si>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</si>
  <si>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</si>
  <si>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</si>
  <si>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</si>
  <si>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</si>
  <si>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</si>
  <si>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</si>
  <si>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</si>
  <si>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</si>
  <si>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</si>
  <si>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</si>
  <si>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</si>
  <si>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</si>
  <si>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</si>
  <si>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</si>
  <si>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</si>
  <si>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</si>
  <si>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</si>
  <si>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</si>
  <si>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</si>
  <si>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</si>
  <si>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</si>
  <si>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</si>
  <si>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</si>
  <si>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</si>
  <si>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</si>
  <si>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</si>
  <si>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</si>
  <si>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</si>
  <si>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</si>
  <si>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</si>
  <si>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</si>
  <si>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</si>
  <si>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</si>
  <si>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</si>
  <si>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</si>
  <si>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</si>
  <si>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</si>
  <si>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</si>
  <si>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</si>
  <si>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</si>
  <si>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</si>
  <si>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</si>
  <si>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</si>
  <si>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</si>
  <si>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</si>
  <si>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</si>
  <si>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</si>
  <si>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</si>
  <si>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</si>
  <si>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</si>
  <si>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</si>
  <si>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</si>
  <si>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</si>
  <si>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</si>
  <si>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</si>
  <si>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</si>
  <si>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</si>
  <si>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</si>
  <si>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</si>
  <si>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</si>
  <si>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</si>
  <si>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</si>
  <si>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</si>
  <si>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</si>
  <si>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</si>
  <si>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</si>
  <si>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</si>
  <si>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</si>
  <si>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</si>
  <si>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</si>
  <si>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</si>
  <si>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</si>
  <si>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</si>
  <si>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</si>
  <si>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</si>
  <si>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</si>
  <si>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</si>
  <si>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</si>
  <si>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</si>
  <si>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</si>
  <si>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</si>
  <si>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</si>
  <si>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</si>
  <si>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</si>
  <si>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</si>
  <si>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</si>
  <si>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</si>
  <si>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</si>
  <si>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</si>
  <si>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</si>
  <si>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</si>
  <si>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</si>
  <si>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</si>
  <si>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</si>
  <si>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</si>
  <si>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</si>
  <si>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</si>
  <si>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</si>
  <si>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</si>
  <si>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</si>
  <si>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</si>
  <si>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</si>
  <si>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</si>
  <si>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</si>
  <si>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</si>
  <si>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</si>
  <si>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</si>
  <si>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</si>
  <si>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</si>
  <si>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</si>
  <si>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</si>
  <si>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</si>
  <si>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</si>
  <si>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</si>
  <si>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</si>
  <si>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</si>
  <si>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</si>
  <si>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</si>
  <si>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</si>
  <si>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</si>
  <si>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</si>
  <si>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</si>
  <si>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</si>
  <si>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</si>
  <si>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</si>
  <si>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</si>
  <si>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</si>
  <si>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</si>
  <si>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</si>
  <si>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</si>
  <si>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</si>
  <si>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</si>
  <si>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</si>
  <si>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</si>
  <si>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</si>
  <si>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</si>
  <si>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</si>
  <si>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</si>
  <si>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</si>
  <si>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</si>
  <si>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</si>
  <si>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</si>
  <si>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</si>
  <si>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</si>
  <si>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</si>
  <si>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</si>
  <si>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</si>
  <si>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</si>
  <si>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</si>
  <si>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</si>
  <si>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</si>
  <si>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</si>
  <si>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</si>
  <si>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</si>
  <si>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</si>
  <si>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</si>
  <si>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</si>
  <si>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</si>
  <si>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</si>
  <si>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</si>
  <si>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</si>
  <si>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</si>
  <si>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</si>
  <si>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</si>
  <si>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</si>
  <si>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</si>
  <si>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</si>
  <si>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</si>
  <si>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</si>
  <si>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</si>
  <si>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</si>
  <si>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</si>
  <si>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</si>
  <si>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</si>
  <si>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</si>
  <si>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</si>
  <si>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</si>
  <si>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</si>
  <si>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</si>
  <si>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</si>
  <si>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</si>
  <si>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</si>
  <si>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</si>
  <si>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</si>
  <si>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</si>
  <si>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</si>
  <si>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</si>
  <si>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</si>
  <si>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</si>
  <si>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</si>
  <si>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</si>
  <si>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</si>
  <si>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</si>
  <si>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</si>
  <si>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</si>
  <si>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</si>
  <si>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</si>
  <si>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</si>
  <si>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</si>
  <si>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</si>
  <si>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</si>
  <si>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</si>
  <si>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</si>
  <si>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</si>
  <si>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</si>
  <si>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</si>
  <si>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</si>
  <si>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</si>
  <si>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</si>
  <si>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</si>
  <si>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</si>
  <si>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</si>
  <si>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</si>
  <si>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</si>
  <si>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</si>
  <si>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</si>
  <si>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</si>
  <si>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</si>
  <si>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</si>
  <si>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</si>
  <si>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</si>
  <si>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</si>
  <si>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</si>
  <si>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</si>
  <si>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</si>
  <si>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</si>
  <si>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</si>
  <si>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</si>
  <si>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</si>
  <si>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</si>
  <si>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</si>
  <si>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</si>
  <si>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</si>
  <si>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</si>
  <si>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</si>
  <si>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</si>
  <si>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</si>
  <si>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</si>
  <si>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</si>
  <si>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</si>
  <si>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</si>
  <si>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</si>
  <si>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</si>
  <si>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</si>
  <si>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</si>
  <si>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</si>
  <si>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</si>
  <si>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</si>
  <si>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</si>
  <si>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</si>
  <si>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</si>
  <si>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</si>
  <si>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</si>
  <si>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</si>
  <si>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</si>
  <si>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</si>
  <si>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</si>
  <si>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</si>
  <si>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</si>
  <si>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</si>
  <si>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</si>
  <si>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</si>
  <si>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</si>
  <si>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</si>
  <si>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</si>
  <si>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</si>
  <si>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</si>
  <si>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</si>
  <si>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</si>
  <si>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</si>
  <si>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</si>
  <si>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</si>
  <si>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</si>
  <si>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</si>
  <si>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</si>
  <si>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</si>
  <si>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</si>
  <si>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</si>
  <si>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</si>
  <si>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</si>
  <si>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</si>
  <si>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</si>
  <si>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</si>
  <si>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</si>
  <si>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</si>
  <si>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</si>
  <si>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</si>
  <si>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</si>
  <si>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</si>
  <si>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</si>
  <si>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</si>
  <si>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</si>
  <si>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</si>
  <si>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</si>
  <si>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</si>
  <si>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</si>
  <si>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</si>
  <si>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</si>
  <si>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</si>
  <si>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</si>
  <si>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</si>
  <si>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</si>
  <si>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</si>
  <si>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</si>
  <si>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</si>
  <si>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</si>
  <si>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</si>
  <si>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</si>
  <si>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</si>
  <si>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</si>
  <si>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</si>
  <si>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</si>
  <si>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</si>
  <si>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</si>
  <si>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</si>
  <si>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</si>
  <si>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</si>
  <si>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</si>
  <si>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</si>
  <si>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</si>
  <si>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</si>
  <si>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</si>
  <si>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</si>
  <si>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</si>
  <si>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</si>
  <si>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</si>
  <si>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</si>
  <si>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</si>
  <si>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</si>
  <si>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</si>
  <si>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</si>
  <si>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</si>
  <si>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</si>
  <si>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</si>
  <si>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</si>
  <si>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</si>
  <si>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</si>
  <si>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</si>
  <si>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</si>
  <si>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</si>
  <si>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</si>
  <si>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</si>
  <si>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</si>
  <si>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</si>
  <si>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</si>
  <si>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</si>
  <si>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</si>
  <si>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</si>
  <si>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</si>
  <si>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</si>
  <si>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</si>
  <si>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</si>
  <si>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</si>
  <si>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</si>
  <si>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</si>
  <si>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</si>
  <si>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</si>
  <si>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</si>
  <si>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</si>
  <si>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</si>
  <si>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</si>
  <si>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</si>
  <si>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</si>
  <si>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</si>
  <si>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</si>
  <si>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</si>
  <si>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</si>
  <si>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</si>
  <si>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</si>
  <si>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</si>
  <si>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</si>
  <si>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</si>
  <si>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</si>
  <si>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</si>
  <si>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</si>
  <si>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</si>
  <si>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</si>
  <si>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</si>
  <si>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</si>
  <si>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</si>
  <si>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</si>
  <si>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</si>
  <si>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</si>
  <si>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</si>
  <si>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</si>
  <si>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</si>
  <si>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</si>
  <si>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</si>
  <si>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</si>
  <si>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</si>
  <si>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</si>
  <si>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</si>
  <si>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</si>
  <si>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</si>
  <si>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</si>
  <si>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</si>
  <si>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</si>
  <si>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</si>
  <si>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</si>
  <si>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</si>
  <si>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</si>
  <si>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</si>
  <si>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</si>
  <si>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</si>
  <si>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</si>
  <si>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</si>
  <si>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</si>
  <si>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</si>
  <si>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</si>
  <si>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</si>
  <si>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</si>
  <si>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</si>
  <si>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</si>
  <si>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</si>
  <si>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</si>
  <si>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</si>
  <si>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</si>
  <si>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</si>
  <si>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</si>
  <si>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</si>
  <si>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</si>
  <si>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</si>
  <si>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</si>
  <si>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</si>
  <si>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</si>
  <si>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</si>
  <si>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</si>
  <si>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</si>
  <si>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</si>
  <si>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</si>
  <si>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</si>
  <si>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</si>
  <si>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</si>
  <si>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</si>
  <si>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</si>
  <si>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</si>
  <si>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</si>
  <si>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</si>
  <si>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</si>
  <si>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</si>
  <si>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</si>
  <si>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</si>
  <si>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</si>
  <si>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</si>
  <si>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</si>
  <si>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</si>
  <si>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</si>
  <si>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</si>
  <si>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</si>
  <si>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</si>
  <si>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</si>
  <si>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</si>
  <si>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</si>
  <si>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</si>
  <si>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</si>
  <si>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</si>
  <si>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</si>
  <si>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</si>
  <si>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</si>
  <si>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</si>
  <si>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</si>
  <si>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</si>
  <si>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</si>
  <si>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</si>
  <si>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</si>
  <si>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</si>
  <si>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</si>
  <si>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</si>
  <si>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</si>
  <si>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</si>
  <si>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</si>
  <si>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</si>
  <si>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</si>
  <si>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</si>
  <si>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</si>
  <si>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</si>
  <si>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</si>
  <si>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</si>
  <si>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</si>
  <si>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</si>
  <si>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</si>
  <si>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</si>
  <si>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</si>
  <si>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</si>
  <si>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</si>
  <si>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</si>
  <si>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</si>
  <si>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</si>
  <si>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</si>
  <si>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</si>
  <si>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</si>
  <si>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</si>
  <si>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</si>
  <si>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</si>
  <si>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</si>
  <si>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</si>
  <si>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</si>
  <si>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</si>
  <si>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</si>
  <si>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</si>
  <si>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</si>
  <si>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</si>
  <si>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</si>
  <si>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</si>
  <si>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</si>
  <si>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</si>
  <si>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</si>
  <si>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</si>
  <si>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</si>
  <si>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</si>
  <si>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</si>
  <si>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</si>
  <si>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</si>
  <si>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</si>
  <si>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</si>
  <si>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</si>
  <si>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</si>
  <si>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</si>
  <si>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</si>
  <si>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</si>
  <si>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</si>
  <si>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</si>
  <si>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</si>
  <si>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</si>
  <si>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</si>
  <si>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</si>
  <si>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</si>
  <si>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</si>
  <si>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</si>
  <si>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</si>
  <si>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</si>
  <si>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</si>
  <si>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</si>
  <si>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</si>
  <si>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</si>
  <si>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</si>
  <si>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</si>
  <si>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</si>
  <si>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</si>
  <si>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</si>
  <si>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</si>
  <si>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</si>
  <si>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</si>
  <si>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</si>
  <si>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</si>
  <si>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</si>
  <si>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</si>
  <si>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</si>
  <si>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</si>
  <si>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</si>
  <si>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</si>
  <si>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</si>
  <si>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</si>
  <si>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</si>
  <si>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</si>
  <si>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</si>
  <si>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</si>
  <si>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</si>
  <si>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</si>
  <si>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</si>
  <si>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</si>
  <si>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</si>
  <si>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</si>
  <si>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</si>
  <si>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</si>
  <si>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</si>
  <si>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</si>
  <si>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</si>
  <si>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</si>
  <si>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</si>
  <si>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</si>
  <si>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</si>
  <si>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</si>
  <si>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</si>
  <si>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</si>
  <si>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</si>
  <si>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</si>
  <si>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</si>
  <si>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</si>
  <si>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</si>
  <si>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</si>
  <si>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</si>
  <si>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</si>
  <si>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</si>
  <si>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</si>
  <si>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</si>
  <si>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</si>
  <si>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</si>
  <si>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</si>
  <si>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</si>
  <si>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</si>
  <si>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</si>
  <si>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</si>
  <si>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</si>
  <si>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</si>
  <si>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</si>
  <si>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</si>
  <si>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</si>
  <si>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</si>
  <si>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</si>
  <si>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</si>
  <si>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</si>
  <si>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</si>
  <si>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</si>
  <si>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</si>
  <si>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</si>
  <si>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</si>
  <si>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</si>
  <si>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</si>
  <si>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</si>
  <si>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</si>
  <si>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</si>
  <si>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</si>
  <si>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</si>
  <si>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</si>
  <si>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</si>
  <si>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</si>
  <si>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</si>
  <si>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</si>
  <si>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</si>
  <si>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</si>
  <si>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</si>
  <si>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</si>
  <si>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</si>
  <si>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</si>
  <si>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</si>
  <si>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</si>
  <si>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</si>
  <si>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</si>
  <si>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</si>
  <si>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</si>
  <si>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</si>
  <si>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</si>
  <si>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</si>
  <si>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</si>
  <si>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</si>
  <si>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</si>
  <si>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</si>
  <si>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</si>
  <si>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</si>
  <si>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</si>
  <si>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</si>
  <si>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</si>
  <si>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</si>
  <si>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</si>
  <si>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</si>
  <si>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</si>
  <si>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</si>
  <si>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</si>
  <si>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</si>
  <si>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</si>
  <si>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</si>
  <si>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</si>
  <si>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</si>
  <si>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</si>
  <si>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</si>
  <si>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</si>
  <si>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</si>
  <si>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</si>
  <si>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</si>
  <si>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</si>
  <si>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</si>
  <si>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</si>
  <si>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</si>
  <si>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</si>
  <si>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</si>
  <si>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</si>
  <si>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</si>
  <si>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</si>
  <si>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</si>
  <si>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</si>
  <si>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</si>
  <si>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</si>
  <si>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</si>
  <si>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</si>
  <si>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</si>
  <si>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</si>
  <si>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</si>
  <si>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</si>
  <si>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</si>
  <si>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</si>
  <si>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</si>
  <si>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</si>
  <si>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</si>
  <si>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</si>
  <si>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</si>
  <si>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</si>
  <si>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</si>
  <si>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</si>
  <si>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</si>
  <si>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</si>
  <si>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</si>
  <si>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</si>
  <si>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</si>
  <si>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</si>
  <si>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</si>
  <si>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</si>
  <si>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</si>
  <si>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</si>
  <si>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</si>
  <si>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</si>
  <si>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</si>
  <si>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</si>
  <si>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</si>
  <si>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</si>
  <si>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</si>
  <si>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</si>
  <si>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</si>
  <si>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</si>
  <si>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</si>
  <si>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</si>
  <si>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</si>
  <si>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</si>
  <si>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</si>
  <si>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</si>
  <si>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</si>
  <si>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</si>
  <si>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</si>
  <si>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</si>
  <si>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</si>
  <si>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</si>
  <si>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</si>
  <si>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</si>
  <si>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</si>
  <si>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</si>
  <si>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</si>
  <si>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</si>
  <si>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</si>
  <si>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</si>
  <si>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</si>
  <si>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</si>
  <si>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</si>
  <si>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</si>
  <si>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</si>
  <si>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</si>
  <si>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</si>
  <si>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</si>
  <si>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</si>
  <si>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</si>
  <si>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</si>
  <si>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</si>
  <si>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</si>
  <si>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</si>
  <si>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</si>
  <si>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</si>
  <si>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</si>
  <si>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</si>
  <si>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</si>
  <si>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</si>
  <si>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</si>
  <si>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</si>
  <si>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</si>
  <si>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</si>
  <si>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</si>
  <si>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</si>
  <si>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</si>
  <si>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</si>
  <si>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</si>
  <si>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</si>
  <si>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</si>
  <si>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</si>
  <si>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</si>
  <si>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</si>
  <si>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</si>
  <si>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</si>
  <si>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</si>
  <si>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</si>
  <si>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</si>
  <si>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</si>
  <si>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</si>
  <si>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</si>
  <si>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</si>
  <si>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</si>
  <si>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</si>
  <si>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</si>
  <si>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</si>
  <si>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</si>
  <si>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</si>
  <si>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</si>
  <si>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</si>
  <si>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</si>
  <si>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</si>
  <si>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</si>
  <si>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</si>
  <si>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</si>
  <si>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</si>
  <si>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</si>
  <si>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</si>
  <si>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</si>
  <si>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</si>
  <si>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</si>
  <si>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</si>
  <si>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</si>
  <si>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</si>
  <si>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</si>
  <si>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</si>
  <si>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</si>
  <si>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</si>
  <si>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</si>
  <si>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</si>
  <si>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</si>
  <si>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</si>
  <si>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</si>
  <si>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</si>
  <si>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</si>
  <si>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</si>
  <si>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</si>
  <si>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</si>
  <si>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</si>
  <si>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</si>
  <si>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</si>
  <si>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</si>
  <si>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</si>
  <si>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</si>
  <si>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</si>
  <si>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</si>
  <si>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</si>
  <si>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</si>
  <si>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</si>
  <si>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</si>
  <si>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</si>
  <si>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</si>
  <si>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</si>
  <si>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</si>
  <si>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</si>
  <si>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</si>
  <si>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</si>
  <si>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</si>
  <si>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</si>
  <si>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</si>
  <si>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</si>
  <si>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</si>
  <si>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</si>
  <si>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</si>
  <si>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</si>
  <si>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</si>
  <si>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</si>
  <si>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</si>
  <si>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</si>
  <si>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</si>
  <si>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</si>
  <si>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</si>
  <si>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</si>
  <si>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</si>
  <si>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</si>
  <si>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</si>
  <si>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</si>
  <si>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</si>
  <si>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</si>
  <si>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</si>
  <si>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</si>
  <si>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</si>
  <si>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</si>
  <si>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</si>
  <si>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</si>
  <si>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</si>
  <si>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</si>
  <si>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</si>
  <si>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</si>
  <si>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</si>
  <si>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</si>
  <si>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</si>
  <si>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</si>
  <si>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</si>
  <si>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</si>
  <si>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</si>
  <si>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</si>
  <si>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</si>
  <si>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</si>
  <si>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</si>
  <si>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</si>
  <si>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</si>
  <si>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</si>
  <si>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</si>
  <si>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</si>
  <si>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</si>
  <si>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</si>
  <si>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</si>
  <si>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</si>
  <si>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</si>
  <si>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</si>
  <si>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</si>
  <si>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</si>
  <si>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</si>
  <si>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</si>
  <si>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</si>
  <si>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</si>
  <si>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</si>
  <si>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</si>
  <si>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</si>
  <si>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</si>
  <si>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</si>
  <si>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</si>
  <si>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</si>
  <si>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</si>
  <si>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</si>
  <si>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</si>
  <si>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</si>
  <si>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</si>
  <si>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</si>
  <si>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</si>
  <si>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</si>
  <si>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</si>
  <si>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</si>
  <si>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</si>
  <si>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</si>
  <si>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</si>
  <si>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</si>
  <si>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</si>
  <si>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</si>
  <si>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</si>
  <si>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</si>
  <si>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</si>
  <si>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</si>
  <si>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</si>
  <si>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</si>
  <si>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</si>
  <si>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</si>
  <si>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</si>
  <si>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</si>
  <si>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</si>
  <si>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</si>
  <si>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</si>
  <si>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</si>
  <si>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</si>
  <si>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</si>
  <si>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</si>
  <si>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</si>
  <si>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</si>
  <si>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</si>
  <si>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</si>
  <si>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</si>
  <si>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</si>
  <si>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</si>
  <si>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</si>
  <si>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</si>
  <si>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</si>
  <si>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</si>
  <si>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</si>
  <si>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</si>
  <si>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</si>
  <si>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</si>
  <si>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</si>
  <si>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</si>
  <si>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</si>
  <si>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</si>
  <si>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</si>
  <si>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</si>
  <si>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</si>
  <si>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</si>
  <si>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</si>
  <si>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</si>
  <si>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</si>
  <si>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</si>
  <si>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</si>
  <si>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</si>
  <si>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</si>
  <si>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</si>
  <si>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</si>
  <si>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</si>
  <si>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</si>
  <si>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</si>
  <si>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</si>
  <si>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</si>
  <si>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</si>
  <si>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</si>
  <si>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</si>
  <si>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</si>
  <si>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</si>
  <si>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</si>
  <si>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</si>
  <si>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</si>
  <si>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</si>
  <si>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</si>
  <si>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</si>
  <si>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</si>
  <si>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</si>
  <si>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</si>
  <si>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</si>
  <si>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</si>
  <si>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</si>
  <si>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</si>
  <si>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</si>
  <si>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</si>
  <si>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</si>
  <si>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</si>
  <si>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</si>
  <si>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</si>
  <si>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</si>
  <si>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</si>
  <si>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</si>
  <si>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</si>
  <si>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</si>
  <si>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</si>
  <si>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</si>
  <si>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</si>
  <si>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</si>
  <si>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</si>
  <si>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</si>
  <si>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</si>
  <si>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</si>
  <si>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</si>
  <si>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</si>
  <si>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</si>
  <si>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</si>
  <si>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</si>
  <si>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</si>
  <si>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</si>
  <si>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</si>
  <si>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</si>
  <si>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</si>
  <si>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</si>
  <si>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</si>
  <si>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</si>
  <si>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</si>
  <si>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</si>
  <si>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</si>
  <si>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</si>
  <si>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</si>
  <si>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</si>
  <si>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</si>
  <si>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</si>
  <si>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</si>
  <si>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</si>
  <si>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</si>
  <si>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</si>
  <si>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</si>
  <si>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</si>
  <si>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</si>
  <si>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</si>
  <si>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</si>
  <si>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</si>
  <si>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</si>
  <si>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</si>
  <si>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</si>
  <si>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</si>
  <si>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</si>
  <si>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</si>
  <si>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</si>
  <si>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</si>
  <si>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</si>
  <si>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</si>
  <si>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</si>
  <si>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</si>
  <si>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</si>
  <si>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</si>
  <si>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</si>
  <si>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</si>
  <si>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</si>
  <si>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</si>
  <si>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</si>
  <si>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</si>
  <si>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</si>
  <si>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</si>
  <si>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</si>
  <si>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</si>
  <si>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</si>
  <si>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</si>
  <si>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</si>
  <si>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</si>
  <si>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</si>
  <si>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</si>
  <si>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</si>
  <si>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</si>
  <si>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</si>
  <si>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</si>
  <si>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</si>
  <si>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</si>
  <si>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</si>
  <si>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</si>
  <si>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</si>
  <si>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</si>
  <si>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</si>
  <si>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</si>
  <si>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</si>
  <si>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</si>
  <si>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</si>
  <si>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</si>
  <si>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</si>
  <si>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</si>
  <si>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</si>
  <si>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</si>
  <si>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</si>
  <si>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</si>
  <si>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</si>
  <si>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</si>
  <si>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</si>
  <si>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</si>
  <si>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</si>
  <si>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</si>
  <si>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</si>
  <si>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</si>
  <si>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</si>
  <si>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</si>
  <si>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</si>
  <si>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</si>
  <si>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</si>
  <si>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</si>
  <si>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</si>
  <si>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</si>
  <si>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</si>
  <si>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</si>
  <si>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</si>
  <si>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</si>
  <si>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</si>
  <si>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</si>
  <si>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</si>
  <si>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</si>
  <si>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</si>
  <si>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</si>
  <si>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</si>
  <si>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</si>
  <si>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</si>
  <si>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</si>
  <si>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</si>
  <si>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</si>
  <si>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</si>
  <si>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</si>
  <si>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</si>
  <si>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</si>
  <si>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</si>
  <si>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</si>
  <si>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</si>
  <si>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</si>
  <si>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</si>
  <si>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</si>
  <si>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</si>
  <si>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</si>
  <si>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</si>
  <si>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</si>
  <si>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</si>
  <si>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</si>
  <si>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</si>
  <si>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</si>
  <si>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</si>
  <si>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</si>
  <si>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</si>
  <si>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</si>
  <si>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</si>
  <si>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</si>
  <si>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</si>
  <si>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</si>
  <si>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</si>
  <si>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</si>
  <si>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</si>
  <si>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</si>
  <si>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</si>
  <si>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</si>
  <si>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</si>
  <si>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</si>
  <si>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</si>
  <si>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</si>
  <si>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</si>
  <si>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</si>
  <si>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</si>
  <si>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</si>
  <si>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</si>
  <si>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</si>
  <si>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</si>
  <si>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</si>
  <si>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</si>
  <si>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</si>
  <si>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</si>
  <si>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</si>
  <si>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</si>
  <si>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</si>
  <si>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</si>
  <si>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</si>
  <si>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</si>
  <si>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</si>
  <si>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</si>
  <si>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</si>
  <si>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</si>
  <si>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</si>
  <si>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</si>
  <si>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</si>
  <si>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</si>
  <si>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</si>
  <si>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</si>
  <si>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</si>
  <si>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</si>
  <si>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</si>
  <si>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</si>
  <si>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</si>
  <si>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</si>
  <si>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</si>
  <si>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</si>
  <si>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</si>
  <si>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</si>
  <si>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</si>
  <si>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</si>
  <si>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</si>
  <si>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</si>
  <si>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</si>
  <si>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</si>
  <si>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</si>
  <si>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</si>
  <si>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</si>
  <si>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</si>
  <si>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</si>
  <si>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</si>
  <si>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</si>
  <si>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</si>
  <si>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</si>
  <si>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</si>
  <si>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</si>
  <si>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</si>
  <si>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</si>
  <si>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</si>
  <si>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</si>
  <si>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</si>
  <si>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</si>
  <si>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</si>
  <si>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</si>
  <si>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</si>
  <si>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</si>
  <si>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</si>
  <si>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</si>
  <si>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</si>
  <si>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</si>
  <si>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</si>
  <si>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</si>
  <si>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</si>
  <si>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</si>
  <si>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</si>
  <si>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</si>
  <si>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</si>
  <si>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</si>
  <si>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</si>
  <si>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</si>
  <si>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</si>
  <si>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</si>
  <si>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</si>
  <si>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</si>
  <si>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</si>
  <si>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</si>
  <si>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</si>
  <si>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</si>
  <si>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</si>
  <si>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</si>
  <si>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</si>
  <si>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</si>
  <si>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</si>
  <si>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</si>
  <si>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</si>
  <si>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</si>
  <si>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</si>
  <si>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</si>
  <si>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</si>
  <si>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</si>
  <si>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</si>
  <si>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</si>
  <si>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</si>
  <si>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</si>
  <si>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</si>
  <si>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</si>
  <si>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</si>
  <si>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</si>
  <si>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</si>
  <si>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</si>
  <si>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</si>
  <si>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</si>
  <si>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</si>
  <si>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</si>
  <si>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</si>
  <si>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</si>
  <si>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</si>
  <si>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</si>
  <si>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</si>
  <si>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</si>
  <si>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</si>
  <si>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</si>
  <si>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</si>
  <si>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</si>
  <si>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</si>
  <si>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</si>
  <si>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</si>
  <si>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</si>
  <si>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</si>
  <si>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</si>
  <si>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</si>
  <si>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</si>
  <si>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</si>
  <si>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</si>
  <si>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</si>
  <si>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</si>
  <si>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</si>
  <si>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</si>
  <si>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</si>
  <si>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</si>
  <si>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</si>
  <si>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</si>
  <si>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</si>
  <si>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</si>
  <si>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</si>
  <si>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</si>
  <si>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</si>
  <si>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</si>
  <si>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</si>
  <si>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</si>
  <si>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</si>
  <si>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</si>
  <si>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</si>
  <si>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</si>
  <si>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</si>
  <si>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</si>
  <si>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</si>
  <si>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</si>
  <si>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</si>
  <si>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</si>
  <si>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</si>
  <si>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</si>
  <si>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</si>
  <si>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</si>
  <si>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</si>
  <si>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</si>
  <si>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</si>
  <si>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</si>
  <si>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</si>
  <si>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</si>
  <si>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</si>
  <si>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</si>
  <si>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</si>
  <si>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</si>
  <si>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</si>
  <si>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</si>
  <si>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</si>
  <si>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</si>
  <si>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</si>
  <si>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</si>
  <si>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</si>
  <si>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</si>
  <si>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</si>
  <si>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</si>
  <si>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</si>
  <si>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</si>
  <si>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</si>
  <si>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</si>
  <si>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</si>
  <si>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</si>
  <si>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</si>
  <si>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</si>
  <si>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</si>
  <si>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</si>
  <si>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</si>
  <si>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</si>
  <si>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</si>
  <si>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</si>
  <si>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</si>
  <si>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</si>
  <si>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</si>
  <si>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</si>
  <si>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</si>
  <si>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</si>
  <si>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</si>
  <si>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</si>
  <si>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</si>
  <si>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</si>
  <si>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</si>
  <si>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</si>
  <si>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</si>
  <si>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</si>
  <si>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</si>
  <si>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</si>
  <si>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</si>
  <si>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</si>
  <si>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</si>
  <si>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</si>
  <si>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</si>
  <si>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</si>
  <si>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</si>
  <si>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</si>
  <si>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</si>
  <si>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</si>
  <si>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</si>
  <si>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</si>
  <si>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</si>
  <si>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</si>
  <si>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</si>
  <si>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</si>
  <si>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</si>
  <si>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</si>
  <si>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</si>
  <si>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</si>
  <si>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</si>
  <si>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</si>
  <si>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</si>
  <si>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</si>
  <si>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</si>
  <si>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</si>
  <si>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</si>
  <si>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</si>
  <si>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</si>
  <si>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</si>
  <si>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</si>
  <si>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</si>
  <si>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</si>
  <si>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</si>
  <si>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</si>
  <si>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</si>
  <si>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</si>
  <si>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</si>
  <si>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</si>
  <si>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</si>
  <si>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</si>
  <si>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</si>
  <si>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</si>
  <si>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</si>
  <si>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</si>
  <si>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</si>
  <si>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</si>
  <si>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</si>
  <si>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</si>
  <si>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</si>
  <si>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</si>
  <si>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</si>
  <si>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</si>
  <si>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</si>
  <si>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</si>
  <si>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</si>
  <si>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</si>
  <si>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</si>
  <si>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</si>
  <si>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</si>
  <si>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</si>
  <si>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</si>
  <si>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</si>
  <si>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</si>
  <si>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</si>
  <si>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</si>
  <si>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</si>
  <si>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</si>
  <si>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</si>
  <si>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</si>
  <si>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</si>
  <si>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</si>
  <si>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</si>
  <si>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</si>
  <si>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</si>
  <si>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</si>
  <si>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</si>
  <si>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</si>
  <si>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</si>
  <si>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</si>
  <si>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</si>
  <si>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</si>
  <si>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</si>
  <si>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</si>
  <si>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</si>
  <si>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</si>
  <si>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</si>
  <si>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</si>
  <si>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</si>
  <si>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</si>
  <si>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</si>
  <si>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</si>
  <si>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</si>
  <si>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</si>
  <si>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</si>
  <si>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</si>
  <si>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</si>
  <si>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</si>
  <si>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</si>
  <si>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</si>
  <si>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</si>
  <si>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</si>
  <si>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</si>
  <si>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</si>
  <si>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</si>
  <si>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</si>
  <si>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</si>
  <si>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</si>
  <si>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</si>
  <si>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</si>
  <si>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</si>
  <si>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</si>
  <si>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</si>
  <si>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</si>
  <si>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</si>
  <si>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</si>
  <si>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</si>
  <si>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</si>
  <si>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</si>
  <si>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</si>
  <si>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</si>
  <si>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</si>
  <si>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</si>
  <si>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</si>
  <si>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</si>
  <si>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</si>
  <si>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</si>
  <si>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</si>
  <si>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</si>
  <si>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</si>
  <si>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</si>
  <si>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</si>
  <si>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</si>
  <si>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</si>
  <si>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</si>
  <si>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</si>
  <si>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</si>
  <si>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</si>
  <si>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</si>
  <si>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</si>
  <si>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</si>
  <si>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</si>
  <si>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</si>
  <si>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</si>
  <si>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</si>
  <si>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</si>
  <si>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</si>
  <si>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</si>
  <si>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</si>
  <si>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</si>
  <si>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</si>
  <si>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</si>
  <si>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</si>
  <si>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</si>
  <si>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</si>
  <si>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</si>
  <si>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</si>
  <si>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</si>
  <si>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</si>
  <si>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</si>
  <si>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</si>
  <si>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</si>
  <si>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</si>
  <si>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</si>
  <si>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</si>
  <si>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</si>
  <si>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</si>
  <si>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</si>
  <si>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</si>
  <si>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</si>
  <si>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</si>
  <si>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</si>
  <si>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</si>
  <si>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</si>
  <si>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</si>
  <si>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</si>
  <si>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</si>
  <si>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</si>
  <si>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</si>
  <si>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</si>
  <si>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</si>
  <si>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</si>
  <si>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</si>
  <si>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</si>
  <si>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</si>
  <si>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</si>
  <si>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</si>
  <si>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</si>
  <si>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</si>
  <si>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</si>
  <si>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</si>
  <si>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</si>
  <si>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</si>
  <si>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</si>
  <si>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</si>
  <si>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</si>
  <si>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</si>
  <si>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</si>
  <si>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</si>
  <si>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</si>
  <si>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</si>
  <si>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</si>
  <si>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</si>
  <si>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</si>
  <si>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</si>
  <si>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</si>
  <si>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</si>
  <si>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</si>
  <si>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</si>
  <si>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</si>
  <si>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</si>
  <si>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</si>
  <si>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</si>
  <si>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</si>
  <si>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</si>
  <si>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</si>
  <si>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</si>
  <si>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</si>
  <si>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</si>
  <si>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</si>
  <si>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</si>
  <si>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</si>
  <si>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</si>
  <si>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</si>
  <si>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</si>
  <si>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</si>
  <si>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</si>
  <si>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</si>
  <si>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</si>
  <si>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</si>
  <si>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</si>
  <si>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</si>
  <si>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</si>
  <si>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</si>
  <si>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</si>
  <si>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</si>
  <si>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</si>
  <si>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</si>
  <si>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</si>
  <si>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</si>
  <si>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</si>
  <si>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</si>
  <si>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</si>
  <si>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</si>
  <si>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</si>
  <si>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</si>
  <si>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</si>
  <si>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</si>
  <si>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</si>
  <si>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</si>
  <si>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</si>
  <si>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</si>
  <si>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</si>
  <si>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</si>
  <si>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</si>
  <si>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</si>
  <si>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</si>
  <si>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</si>
  <si>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</si>
  <si>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</si>
  <si>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</si>
  <si>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</si>
  <si>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</si>
  <si>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</si>
  <si>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</si>
  <si>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</si>
  <si>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</si>
  <si>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</si>
  <si>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</si>
  <si>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</si>
  <si>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</si>
  <si>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</si>
  <si>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</si>
  <si>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</si>
  <si>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</si>
  <si>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</si>
  <si>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</si>
  <si>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</si>
  <si>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</si>
  <si>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</si>
  <si>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</si>
  <si>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</si>
  <si>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</si>
  <si>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</si>
  <si>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</si>
  <si>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</si>
  <si>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</si>
  <si>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</si>
  <si>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</si>
  <si>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</si>
  <si>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</si>
  <si>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</si>
  <si>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</si>
  <si>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</si>
  <si>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</si>
  <si>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</si>
  <si>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</si>
  <si>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</si>
  <si>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</si>
  <si>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</si>
  <si>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</si>
  <si>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</si>
  <si>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</si>
  <si>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</si>
  <si>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</si>
  <si>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</si>
  <si>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</si>
  <si>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</si>
  <si>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</si>
  <si>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</si>
  <si>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</si>
  <si>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</si>
  <si>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</si>
  <si>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</si>
  <si>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</si>
  <si>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</si>
  <si>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</si>
  <si>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</si>
  <si>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</si>
  <si>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</si>
  <si>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</si>
  <si>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</si>
  <si>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</si>
  <si>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</si>
  <si>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</si>
  <si>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</si>
  <si>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</si>
  <si>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</si>
  <si>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</si>
  <si>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</si>
  <si>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</si>
  <si>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</si>
  <si>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</si>
  <si>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</si>
  <si>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</si>
  <si>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</si>
  <si>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</si>
  <si>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</si>
  <si>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</si>
  <si>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</si>
  <si>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</si>
  <si>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</si>
  <si>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</si>
  <si>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</si>
  <si>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</si>
  <si>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</si>
  <si>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</si>
  <si>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</si>
  <si>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</si>
  <si>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</si>
  <si>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</si>
  <si>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</si>
  <si>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</si>
  <si>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</si>
  <si>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</si>
  <si>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</si>
  <si>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</si>
  <si>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</si>
  <si>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</si>
  <si>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</si>
  <si>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</si>
  <si>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</si>
  <si>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</si>
  <si>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</si>
  <si>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</si>
  <si>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</si>
  <si>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</si>
  <si>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</si>
  <si>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</si>
  <si>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</si>
  <si>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</si>
  <si>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</si>
  <si>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</si>
  <si>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</si>
  <si>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</si>
  <si>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</si>
  <si>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</si>
  <si>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</si>
  <si>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</si>
  <si>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</si>
  <si>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</si>
  <si>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</si>
  <si>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</si>
  <si>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</si>
  <si>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</si>
  <si>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</si>
  <si>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</si>
  <si>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</si>
  <si>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</si>
  <si>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</si>
  <si>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</si>
  <si>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</si>
  <si>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</si>
  <si>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</si>
  <si>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</si>
  <si>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</si>
  <si>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</si>
  <si>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</si>
  <si>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</si>
  <si>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</si>
  <si>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</si>
  <si>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</si>
  <si>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</si>
  <si>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</si>
  <si>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</si>
  <si>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</si>
  <si>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</si>
  <si>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</si>
  <si>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</si>
  <si>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</si>
  <si>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</si>
  <si>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</si>
  <si>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</si>
  <si>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</si>
  <si>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</si>
  <si>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</si>
  <si>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</si>
  <si>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</si>
  <si>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</si>
  <si>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</si>
  <si>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</si>
  <si>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</si>
  <si>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</si>
  <si>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</si>
  <si>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</si>
  <si>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</si>
  <si>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</si>
  <si>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</si>
  <si>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</si>
  <si>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</si>
  <si>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</si>
  <si>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</si>
  <si>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</si>
  <si>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</si>
  <si>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</si>
  <si>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</si>
  <si>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</si>
  <si>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</si>
  <si>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</si>
  <si>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</si>
  <si>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</si>
  <si>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</si>
  <si>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</si>
  <si>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</si>
  <si>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</si>
  <si>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</si>
  <si>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</si>
  <si>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</si>
  <si>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</si>
  <si>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</si>
  <si>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</si>
  <si>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</si>
  <si>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</si>
  <si>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</si>
  <si>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</si>
  <si>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</si>
  <si>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</si>
  <si>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</si>
  <si>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</si>
  <si>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</si>
  <si>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</si>
  <si>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</si>
  <si>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</si>
  <si>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</si>
  <si>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</si>
  <si>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</si>
  <si>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</si>
  <si>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</si>
  <si>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</si>
  <si>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</si>
  <si>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</si>
  <si>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</si>
  <si>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</si>
  <si>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</si>
  <si>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</si>
  <si>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</si>
  <si>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</si>
  <si>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</si>
  <si>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</si>
  <si>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</si>
  <si>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</si>
  <si>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</si>
  <si>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</si>
  <si>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</si>
  <si>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</si>
  <si>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</si>
  <si>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</si>
  <si>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</si>
  <si>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</si>
  <si>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</si>
  <si>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</si>
  <si>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</si>
  <si>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</si>
  <si>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</si>
  <si>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</si>
  <si>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</si>
  <si>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</si>
  <si>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</si>
  <si>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</si>
  <si>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</si>
  <si>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</si>
  <si>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</si>
  <si>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</si>
  <si>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</si>
  <si>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</si>
  <si>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</si>
  <si>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</si>
  <si>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</si>
  <si>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</si>
  <si>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</si>
  <si>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</si>
  <si>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</si>
  <si>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</si>
  <si>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</si>
  <si>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</si>
  <si>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</si>
  <si>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</si>
  <si>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</si>
  <si>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</si>
  <si>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</si>
  <si>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</si>
  <si>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</si>
  <si>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</si>
  <si>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</si>
  <si>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</si>
  <si>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</si>
  <si>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</si>
  <si>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</si>
  <si>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</si>
  <si>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</si>
  <si>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</si>
  <si>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</si>
  <si>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</si>
  <si>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</si>
  <si>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</si>
  <si>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</si>
  <si>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</si>
  <si>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</si>
  <si>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</si>
  <si>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</si>
  <si>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</si>
  <si>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</si>
  <si>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</si>
  <si>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</si>
  <si>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</si>
  <si>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</si>
  <si>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</si>
  <si>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</si>
  <si>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</si>
  <si>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</si>
  <si>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</si>
  <si>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</si>
  <si>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</si>
  <si>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</si>
  <si>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</si>
  <si>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</si>
  <si>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</si>
  <si>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</si>
  <si>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</si>
  <si>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</si>
  <si>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</si>
  <si>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</si>
  <si>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</si>
  <si>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</si>
  <si>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</si>
  <si>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</si>
  <si>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</si>
  <si>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</si>
  <si>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</si>
  <si>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</si>
  <si>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</si>
  <si>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</si>
  <si>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</si>
  <si>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</si>
  <si>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</si>
  <si>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</si>
  <si>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</si>
  <si>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</si>
  <si>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</si>
  <si>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</si>
  <si>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</si>
  <si>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</si>
  <si>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</si>
  <si>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</si>
  <si>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</si>
  <si>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</si>
  <si>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</si>
  <si>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</si>
  <si>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</si>
  <si>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</si>
  <si>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</si>
  <si>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</si>
  <si>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</si>
  <si>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</si>
  <si>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</si>
  <si>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</si>
  <si>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</si>
  <si>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</si>
  <si>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</si>
  <si>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</si>
  <si>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</si>
  <si>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</si>
  <si>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</si>
  <si>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</si>
  <si>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</si>
  <si>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</si>
  <si>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</si>
  <si>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</si>
  <si>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</si>
  <si>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</si>
  <si>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</si>
  <si>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</si>
  <si>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</si>
  <si>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</si>
  <si>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</si>
  <si>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</si>
  <si>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</si>
  <si>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</si>
  <si>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</si>
  <si>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</si>
  <si>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</si>
  <si>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</si>
  <si>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</si>
  <si>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</si>
  <si>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</si>
  <si>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</si>
  <si>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</si>
  <si>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</si>
  <si>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</si>
  <si>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</si>
  <si>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</si>
  <si>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</si>
  <si>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</si>
  <si>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</si>
  <si>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</si>
  <si>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</si>
  <si>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</si>
  <si>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</si>
  <si>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</si>
  <si>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</si>
  <si>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</si>
  <si>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</si>
  <si>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</si>
  <si>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</si>
  <si>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</si>
  <si>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</si>
  <si>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</si>
  <si>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</si>
  <si>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</si>
  <si>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</si>
  <si>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</si>
  <si>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</si>
  <si>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</si>
  <si>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</si>
  <si>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</si>
  <si>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</si>
  <si>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</si>
  <si>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</si>
  <si>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</si>
  <si>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</si>
  <si>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</si>
  <si>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</si>
  <si>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</si>
  <si>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</si>
  <si>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</si>
  <si>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</si>
  <si>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</si>
  <si>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</si>
  <si>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</si>
  <si>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</si>
  <si>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</si>
  <si>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</si>
  <si>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</si>
  <si>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</si>
  <si>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</si>
  <si>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</si>
  <si>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</si>
  <si>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</si>
  <si>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</si>
  <si>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</si>
  <si>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</si>
  <si>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</si>
  <si>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</si>
  <si>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</si>
  <si>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</si>
  <si>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</si>
  <si>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</si>
  <si>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</si>
  <si>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</si>
  <si>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</si>
  <si>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</si>
  <si>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</si>
  <si>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</si>
  <si>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</si>
  <si>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</si>
  <si>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</si>
  <si>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</si>
  <si>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</si>
  <si>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</si>
  <si>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</si>
  <si>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</si>
  <si>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</si>
  <si>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</si>
  <si>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</si>
  <si>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</si>
  <si>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</si>
  <si>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</si>
  <si>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</si>
  <si>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</si>
  <si>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</si>
  <si>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</si>
  <si>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</si>
  <si>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</si>
  <si>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</si>
  <si>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</si>
  <si>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</si>
  <si>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</si>
  <si>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</si>
  <si>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</si>
  <si>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</si>
  <si>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</si>
  <si>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</si>
  <si>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</si>
  <si>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</si>
  <si>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</si>
  <si>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</si>
  <si>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</si>
  <si>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</si>
  <si>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</si>
  <si>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</si>
  <si>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</si>
  <si>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</si>
  <si>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</si>
  <si>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</si>
  <si>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</si>
  <si>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</si>
  <si>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</si>
  <si>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</si>
  <si>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</si>
  <si>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</si>
  <si>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</si>
  <si>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</si>
  <si>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</si>
  <si>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</si>
  <si>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</si>
  <si>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</si>
  <si>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</si>
  <si>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</si>
  <si>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</si>
  <si>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</si>
  <si>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</si>
  <si>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</si>
  <si>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</si>
  <si>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</si>
  <si>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</si>
  <si>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</si>
  <si>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</si>
  <si>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</si>
  <si>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</si>
  <si>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</si>
  <si>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</si>
  <si>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</si>
  <si>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</si>
  <si>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</si>
  <si>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</si>
  <si>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</si>
  <si>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</si>
  <si>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</si>
  <si>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</si>
  <si>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</si>
  <si>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</si>
  <si>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</si>
  <si>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</si>
  <si>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</si>
  <si>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</si>
  <si>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</si>
  <si>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</si>
  <si>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</si>
  <si>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</si>
  <si>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</si>
  <si>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</si>
  <si>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</si>
  <si>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</si>
  <si>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</si>
  <si>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</si>
  <si>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</si>
  <si>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</si>
  <si>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</si>
  <si>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</si>
  <si>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</si>
  <si>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</si>
  <si>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</si>
  <si>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</si>
  <si>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</si>
  <si>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</si>
  <si>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</si>
  <si>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</si>
  <si>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</si>
  <si>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</si>
  <si>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</si>
  <si>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</si>
  <si>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</si>
  <si>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</si>
  <si>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</si>
  <si>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</si>
  <si>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</si>
  <si>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</si>
  <si>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</si>
  <si>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</si>
  <si>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</si>
  <si>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</si>
  <si>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</si>
  <si>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</si>
  <si>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</si>
  <si>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</si>
  <si>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</si>
  <si>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</si>
  <si>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</si>
  <si>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</si>
  <si>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</si>
  <si>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</si>
  <si>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</si>
  <si>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</si>
  <si>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</si>
  <si>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</si>
  <si>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</si>
  <si>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</si>
  <si>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</si>
  <si>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</si>
  <si>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</si>
  <si>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</si>
  <si>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</si>
  <si>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</si>
  <si>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</si>
  <si>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</si>
  <si>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</si>
  <si>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</si>
  <si>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</si>
  <si>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</si>
  <si>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</si>
  <si>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</si>
  <si>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</si>
  <si>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</si>
  <si>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</si>
  <si>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</si>
  <si>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</si>
  <si>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</si>
  <si>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</si>
  <si>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</si>
  <si>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</si>
  <si>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</si>
  <si>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</si>
  <si>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</si>
  <si>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</si>
  <si>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</si>
  <si>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</si>
  <si>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</si>
  <si>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</si>
  <si>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</si>
  <si>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</si>
  <si>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</si>
  <si>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</si>
  <si>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</si>
  <si>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</si>
  <si>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</si>
  <si>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</si>
  <si>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</si>
  <si>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</si>
  <si>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</si>
  <si>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</si>
  <si>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</si>
  <si>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</si>
  <si>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</si>
  <si>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</si>
  <si>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</si>
  <si>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</si>
  <si>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</si>
  <si>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</si>
  <si>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</si>
  <si>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</si>
  <si>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</si>
  <si>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</si>
  <si>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</si>
  <si>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</si>
  <si>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</si>
  <si>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</si>
  <si>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</si>
  <si>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</si>
  <si>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</si>
  <si>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</si>
  <si>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</si>
  <si>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</si>
  <si>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</si>
  <si>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</si>
  <si>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</si>
  <si>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</si>
  <si>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</si>
  <si>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</si>
  <si>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</si>
  <si>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</si>
  <si>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</si>
  <si>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西山印</t>
    <phoneticPr fontId="134" type="noConversion"/>
  </si>
  <si>
    <t>门头沟区龙泉镇门头沟新城05街区MC00-0005-6011地块D-3#住宅楼7层2单元-701</t>
    <phoneticPr fontId="134" type="noConversion"/>
  </si>
  <si>
    <r>
      <t>合同编号：G</t>
    </r>
    <r>
      <rPr>
        <sz val="11"/>
        <color theme="1"/>
        <rFont val="宋体"/>
        <family val="3"/>
        <charset val="134"/>
        <scheme val="minor"/>
      </rPr>
      <t>Y2664188</t>
    </r>
    <phoneticPr fontId="134" type="noConversion"/>
  </si>
  <si>
    <t>北京市共有产权住房预售合同</t>
    <phoneticPr fontId="134" type="noConversion"/>
  </si>
  <si>
    <t>李青萍、张建新</t>
    <phoneticPr fontId="134" type="noConversion"/>
  </si>
  <si>
    <t>签约时间</t>
    <phoneticPr fontId="134" type="noConversion"/>
  </si>
  <si>
    <t>入住时间</t>
    <phoneticPr fontId="134" type="noConversion"/>
  </si>
  <si>
    <t>购买价格</t>
    <phoneticPr fontId="134" type="noConversion"/>
  </si>
  <si>
    <t>产权人</t>
    <phoneticPr fontId="134" type="noConversion"/>
  </si>
  <si>
    <t>合同编号</t>
    <phoneticPr fontId="134" type="noConversion"/>
  </si>
  <si>
    <t>门头沟区龙泉镇门头沟新城05街区MC00-0005-6011地块C-6#住宅楼2层1单元-202</t>
    <phoneticPr fontId="134" type="noConversion"/>
  </si>
  <si>
    <t>张巧蓉、高海港</t>
    <phoneticPr fontId="134" type="noConversion"/>
  </si>
  <si>
    <t>合同编号：GY2664101</t>
    <phoneticPr fontId="134" type="noConversion"/>
  </si>
  <si>
    <t>诺德彩园</t>
    <phoneticPr fontId="134" type="noConversion"/>
  </si>
  <si>
    <t>北京市门头沟区永定镇曹各庄中路6号院2号楼1单元102号</t>
    <phoneticPr fontId="134" type="noConversion"/>
  </si>
  <si>
    <t>周会云、苏玉柱</t>
    <phoneticPr fontId="134" type="noConversion"/>
  </si>
  <si>
    <t>合同编号：GY2331466</t>
    <phoneticPr fontId="134" type="noConversion"/>
  </si>
  <si>
    <r>
      <t>回购价格=房屋原购买价格（</t>
    </r>
    <r>
      <rPr>
        <sz val="11"/>
        <color theme="1"/>
        <rFont val="宋体"/>
        <family val="3"/>
        <charset val="134"/>
        <scheme val="minor"/>
      </rPr>
      <t>1-折旧率×t1+物价水平指数×t2)</t>
    </r>
    <phoneticPr fontId="134" type="noConversion"/>
  </si>
  <si>
    <t>t1</t>
    <phoneticPr fontId="134" type="noConversion"/>
  </si>
  <si>
    <t>t2</t>
    <phoneticPr fontId="134" type="noConversion"/>
  </si>
  <si>
    <t>1年</t>
    <phoneticPr fontId="134" type="noConversion"/>
  </si>
  <si>
    <t>2年</t>
    <phoneticPr fontId="134" type="noConversion"/>
  </si>
  <si>
    <t>3年</t>
    <phoneticPr fontId="134" type="noConversion"/>
  </si>
  <si>
    <t>5年</t>
    <phoneticPr fontId="134" type="noConversion"/>
  </si>
  <si>
    <t>中国银行</t>
    <phoneticPr fontId="134" type="noConversion"/>
  </si>
  <si>
    <t>中国工商银行</t>
    <phoneticPr fontId="134" type="noConversion"/>
  </si>
  <si>
    <t>中国建设银行</t>
    <phoneticPr fontId="134" type="noConversion"/>
  </si>
  <si>
    <t>中国农业银行</t>
    <phoneticPr fontId="134" type="noConversion"/>
  </si>
  <si>
    <t>物价水平</t>
    <phoneticPr fontId="134" type="noConversion"/>
  </si>
  <si>
    <t>回购价格</t>
    <phoneticPr fontId="134" type="noConversion"/>
  </si>
  <si>
    <r>
      <t>C</t>
    </r>
    <r>
      <rPr>
        <sz val="11"/>
        <color theme="1"/>
        <rFont val="宋体"/>
        <family val="3"/>
        <charset val="134"/>
        <scheme val="minor"/>
      </rPr>
      <t>PI</t>
    </r>
    <phoneticPr fontId="134" type="noConversion"/>
  </si>
  <si>
    <t>年月</t>
  </si>
  <si>
    <t>月同比</t>
  </si>
  <si>
    <t>月环比</t>
  </si>
  <si>
    <t>月累计</t>
  </si>
  <si>
    <t>新建商品住宅</t>
  </si>
  <si>
    <t>环比</t>
  </si>
  <si>
    <t>同比</t>
  </si>
  <si>
    <t>二手住宅</t>
  </si>
  <si>
    <t>序号</t>
  </si>
  <si>
    <t>小区名称</t>
  </si>
  <si>
    <t>建筑面积</t>
  </si>
  <si>
    <t>装修</t>
  </si>
  <si>
    <t>朝向</t>
  </si>
  <si>
    <t>户型</t>
  </si>
  <si>
    <t>户型结构</t>
  </si>
  <si>
    <t>楼层</t>
  </si>
  <si>
    <t>配备电梯</t>
  </si>
  <si>
    <t>建筑类型</t>
  </si>
  <si>
    <t>梯户比</t>
  </si>
  <si>
    <t>建成年代</t>
  </si>
  <si>
    <t>产权性质</t>
  </si>
  <si>
    <t>成交总价
（万元）</t>
  </si>
  <si>
    <t>成交单价</t>
  </si>
  <si>
    <t>成交日期</t>
  </si>
  <si>
    <t>居室</t>
  </si>
  <si>
    <t>客厅</t>
  </si>
  <si>
    <t>厨房</t>
  </si>
  <si>
    <t>卫生间</t>
  </si>
  <si>
    <t>所在楼层</t>
  </si>
  <si>
    <t>总楼层</t>
  </si>
  <si>
    <t>简单装修</t>
  </si>
  <si>
    <t>南北</t>
  </si>
  <si>
    <t>平层</t>
  </si>
  <si>
    <t>无</t>
  </si>
  <si>
    <t>一梯两户</t>
  </si>
  <si>
    <t>皓月园</t>
    <phoneticPr fontId="3" type="noConversion"/>
  </si>
  <si>
    <t>普通装修</t>
  </si>
  <si>
    <t>东</t>
  </si>
  <si>
    <t>低楼层</t>
  </si>
  <si>
    <t>有</t>
  </si>
  <si>
    <t>钢混</t>
    <phoneticPr fontId="3" type="noConversion"/>
  </si>
  <si>
    <t>一梯四户</t>
    <phoneticPr fontId="3" type="noConversion"/>
  </si>
  <si>
    <t>商品房</t>
  </si>
  <si>
    <t>西南</t>
  </si>
  <si>
    <t>高楼层</t>
  </si>
  <si>
    <t>南</t>
  </si>
  <si>
    <t>精装修</t>
  </si>
  <si>
    <t>东西</t>
  </si>
  <si>
    <t>惠民家园</t>
    <phoneticPr fontId="3" type="noConversion"/>
  </si>
  <si>
    <t>低楼层</t>
    <phoneticPr fontId="3" type="noConversion"/>
  </si>
  <si>
    <t>9</t>
    <phoneticPr fontId="3" type="noConversion"/>
  </si>
  <si>
    <t>高楼层</t>
    <phoneticPr fontId="3" type="noConversion"/>
  </si>
  <si>
    <t>混合</t>
    <phoneticPr fontId="3" type="noConversion"/>
  </si>
  <si>
    <t>钢混</t>
  </si>
  <si>
    <t>两梯六户</t>
    <phoneticPr fontId="3" type="noConversion"/>
  </si>
  <si>
    <t>金泰丽湾悦栖山</t>
    <phoneticPr fontId="3" type="noConversion"/>
  </si>
  <si>
    <t>两梯四户</t>
    <phoneticPr fontId="3" type="noConversion"/>
  </si>
  <si>
    <t>两梯三户</t>
    <phoneticPr fontId="3" type="noConversion"/>
  </si>
  <si>
    <t>润西山苑</t>
  </si>
  <si>
    <t>中楼层</t>
  </si>
  <si>
    <t>中楼层</t>
    <phoneticPr fontId="3" type="noConversion"/>
  </si>
  <si>
    <t>皓月园</t>
  </si>
  <si>
    <t>惠民家园</t>
  </si>
  <si>
    <t>金泰丽湾悦栖山</t>
  </si>
  <si>
    <t>两梯四户</t>
  </si>
  <si>
    <t>两梯三户</t>
  </si>
  <si>
    <t>14</t>
    <phoneticPr fontId="3" type="noConversion"/>
  </si>
  <si>
    <t>21</t>
    <phoneticPr fontId="3" type="noConversion"/>
  </si>
  <si>
    <t>房屋坐落</t>
  </si>
  <si>
    <t>物业名称</t>
  </si>
  <si>
    <t>房屋用途</t>
  </si>
  <si>
    <t>总层数</t>
  </si>
  <si>
    <t>产权年代</t>
  </si>
  <si>
    <t>现场年代</t>
  </si>
  <si>
    <t>评估单价</t>
  </si>
  <si>
    <t>评估总价</t>
  </si>
  <si>
    <t>估价时点</t>
  </si>
  <si>
    <t>中门寺街8号院3号楼16层1602</t>
  </si>
  <si>
    <t>21（-2）</t>
  </si>
  <si>
    <t>黑山西街5号院4号楼2层1单元203</t>
  </si>
  <si>
    <t>21（-3）</t>
  </si>
  <si>
    <t>黑山西街5号院7号楼4层2单元401</t>
  </si>
  <si>
    <t>21（-1）</t>
  </si>
  <si>
    <t>黑山西街5号院6号楼17层1单元1701</t>
  </si>
  <si>
    <t>黑山西街5号院5号楼17层1单元1702</t>
  </si>
  <si>
    <t>黑山西街5号院4号楼17层1单元1701</t>
  </si>
  <si>
    <t>黑山西街5号院4号楼20层2单元2003</t>
  </si>
  <si>
    <t>黑山西街5号院6号楼7层1单元703</t>
  </si>
  <si>
    <t>黑山西街5号院6号楼3层2单元301</t>
  </si>
  <si>
    <t>黑山西街5号院2号楼8层1单元801</t>
  </si>
  <si>
    <t>19（-3）</t>
  </si>
  <si>
    <t>黑山西街5号院5号楼10层1单元1003</t>
  </si>
  <si>
    <t>黑山西街5号院6号楼4层1单元402</t>
  </si>
  <si>
    <t>黑山西街5号院5号楼1层1单元101</t>
  </si>
  <si>
    <t>黑山西街5号院5号楼2层2单元202</t>
  </si>
  <si>
    <t>黑山西街5号院7号楼21层2单元2101</t>
  </si>
  <si>
    <t>黑山西街5号院3号楼18层1803</t>
  </si>
  <si>
    <t>黑山西街5号院6号楼1层2单元103</t>
  </si>
  <si>
    <t>黑山西街5号院6号楼21层2单元2103</t>
  </si>
  <si>
    <t>黑山西街5号院1号楼13层2单元1301</t>
  </si>
  <si>
    <t>20（-3）</t>
  </si>
  <si>
    <t>黑山西街5号院6号楼14层2单元1402</t>
  </si>
  <si>
    <t>中门寺街8号院1号楼15层1502</t>
  </si>
  <si>
    <t>黑山西街5号院7号楼18层2单元1801</t>
  </si>
  <si>
    <t>黑山西街5号院6号楼21层1单元2101</t>
  </si>
  <si>
    <t>黑山西街5号院7号楼1层1单元101</t>
  </si>
  <si>
    <t>黑山西街5号院2号楼15层2单元1501</t>
  </si>
  <si>
    <t>黑山西街5号院1号楼5层2单元501</t>
  </si>
  <si>
    <t>黑山西街5号院1号楼20层1单元2003</t>
  </si>
  <si>
    <t>黑山西街5号院6号楼2层1单元203</t>
  </si>
  <si>
    <t>黑山西街5号院6号楼9层1单元903</t>
  </si>
  <si>
    <t>黑山西街5号院3号楼1层104</t>
  </si>
  <si>
    <t>黑山西街5号院3号楼8层804</t>
  </si>
  <si>
    <t>黑山西街5号院1号楼20层2单元2002</t>
  </si>
  <si>
    <t>黑山西街5号院1号楼9层2单元901</t>
  </si>
  <si>
    <t>黑山西街5号院2号楼10层1单元1002</t>
  </si>
  <si>
    <t>黑山西街5号院5号楼5层1单元502</t>
  </si>
  <si>
    <t>黑山西街5号院5号楼8层1单元802</t>
  </si>
  <si>
    <t>黑山西街5号院5号楼16层1单元1602</t>
  </si>
  <si>
    <t>黑山西街5号院3号楼9层902</t>
  </si>
  <si>
    <t>中门寺街8号院3号楼7层701</t>
  </si>
  <si>
    <t>黑山西街5号院1号楼14层2单元1402</t>
  </si>
  <si>
    <t>黑山西街5号院7号楼15层1单元1503</t>
  </si>
  <si>
    <t>中门寺街8号院3号楼4层402号</t>
  </si>
  <si>
    <t>黑山西街5号院1号楼20层1单元2003号</t>
  </si>
  <si>
    <t>黑山西街5号院3号楼14层1401号</t>
  </si>
  <si>
    <t>黑山西街5号院5号楼7层1单元703号</t>
  </si>
  <si>
    <t>中门寺街8号院1号楼16层1602号</t>
  </si>
  <si>
    <t>黑山西街5号院2号楼14层2单元1401号</t>
  </si>
  <si>
    <t>黑山西街5号院5号楼2层1单元203号</t>
  </si>
  <si>
    <t>21（-02）</t>
  </si>
  <si>
    <t>黑山西街5号院3号楼2层203号</t>
  </si>
  <si>
    <t>黑山西街5号院4号楼8层2单元801号</t>
  </si>
  <si>
    <t>黑山西街5号院1号楼15层1单元1503号</t>
  </si>
  <si>
    <t>黑山西街5号院5号楼11层1单元1101号</t>
  </si>
  <si>
    <t>黑山西街5号院4号楼1层1单元103号</t>
  </si>
  <si>
    <t>中门寺街8号院1号楼21层2103号</t>
  </si>
  <si>
    <t>滨河皓月园6号楼13层6单元1307</t>
  </si>
  <si>
    <t>滨河皓月园6号楼1层4单元102</t>
  </si>
  <si>
    <t>滨河西区皓月园2号楼6层8单元602号</t>
  </si>
  <si>
    <t>滨河西区皓月园3号楼3层1单元301号</t>
  </si>
  <si>
    <t>16（-1）</t>
  </si>
  <si>
    <t>滨河皓月园6号楼9层6单元902</t>
  </si>
  <si>
    <t>滨河西区皓月园4号楼-1至1层1单元101号</t>
  </si>
  <si>
    <t>滨河西区皓月园1号楼4层5-402</t>
  </si>
  <si>
    <t>滨河西区皓月园1号楼4层4-403</t>
  </si>
  <si>
    <t>滨河西区皓月园2号楼1层4单元101号</t>
  </si>
  <si>
    <t>滨河西区皓月园1号楼4层6单元403号</t>
  </si>
  <si>
    <t>滨河西区皓月园4号楼6层2单元604号</t>
  </si>
  <si>
    <t>滨河西区皓月园2号楼6层1单元602号</t>
  </si>
  <si>
    <t>滨河西区皓月园5号楼11层3单元1104号</t>
  </si>
  <si>
    <t>滨河皓月园6号楼4层6单元414号</t>
  </si>
  <si>
    <t>滨河西区皓月园2号楼6层1单元601号</t>
  </si>
  <si>
    <t>滨河皓月园6号楼6层6单元610</t>
  </si>
  <si>
    <t>滨河西区皓月园4号楼3-802</t>
  </si>
  <si>
    <t>滨河西区皓月园2号楼4层3单元402号</t>
  </si>
  <si>
    <t>滨河西区皓月园3号楼5-902</t>
  </si>
  <si>
    <t>滨河西区皓月园2号楼5层6单元501号</t>
  </si>
  <si>
    <t>滨河皓月园6号楼4层4单元403号</t>
  </si>
  <si>
    <t>滨河西区皓月园1号楼2层2单元202号</t>
  </si>
  <si>
    <t>滨河皓月园6号楼11层6单元1108号</t>
  </si>
  <si>
    <t>滨河皓月园6号楼9层6-909号</t>
  </si>
  <si>
    <t>14（0）</t>
  </si>
  <si>
    <t>滨河皓月园6号6-912</t>
  </si>
  <si>
    <t>滨河西区皓月园2号楼3层4单元303号</t>
  </si>
  <si>
    <t>滨河皓月园6号楼3层5单元302号</t>
  </si>
  <si>
    <t>滨河皓月园6号楼3层6单元314号</t>
  </si>
  <si>
    <t>滨河皓月园6号楼13层6单元1308号</t>
  </si>
  <si>
    <t>滨河西区皓月园4号楼16层2单元1602号</t>
  </si>
  <si>
    <t>滨河西区皓月园3号楼16层3单元1604号</t>
  </si>
  <si>
    <t>滨河西区皓月园4号楼12层2单元1204号</t>
  </si>
  <si>
    <t>滨河西区皓月园2号楼8-101号</t>
  </si>
  <si>
    <t>滨河西区皓月园1号楼6层2-602号</t>
  </si>
  <si>
    <t>滨河西区皓月园5号楼13层3单元1303号</t>
  </si>
  <si>
    <t>滨河皓月园6号楼6-901号</t>
  </si>
  <si>
    <t>滨河西区皓月园3号楼4-702号</t>
  </si>
  <si>
    <t>滨河西区皓月园3号楼4层2单元402号</t>
  </si>
  <si>
    <t>权属年代</t>
    <phoneticPr fontId="134" type="noConversion"/>
  </si>
  <si>
    <t>现场年代</t>
    <phoneticPr fontId="134" type="noConversion"/>
  </si>
  <si>
    <t>惠民家园二区32号楼14层5单元1402</t>
  </si>
  <si>
    <t>按经济适用住房管理</t>
  </si>
  <si>
    <t>15（-01）</t>
  </si>
  <si>
    <t>19（-2）</t>
  </si>
  <si>
    <t>惠民家园二区26号楼3层3单元303</t>
  </si>
  <si>
    <t>惠民家园二区20号楼3层2单元304</t>
  </si>
  <si>
    <t>惠民家园二区</t>
  </si>
  <si>
    <t>7（-01）</t>
  </si>
  <si>
    <t>惠民家园二区30号楼1层3单元106</t>
  </si>
  <si>
    <t>12（-02）</t>
  </si>
  <si>
    <t>9（-01）</t>
  </si>
  <si>
    <t>惠民家园一区12号楼1层4单元101</t>
  </si>
  <si>
    <t>惠民家园二区33号楼4层1单元403</t>
  </si>
  <si>
    <t>惠民家园19号楼10层2单元1003</t>
  </si>
  <si>
    <t>惠民家园二区33号楼13至14层2单元1304</t>
  </si>
  <si>
    <t>13-14</t>
  </si>
  <si>
    <t>惠民家园二区28号楼1层2单元101</t>
  </si>
  <si>
    <t>惠民家园二区23号楼5层2单元503</t>
  </si>
  <si>
    <t>惠民家园19号楼7层1单元706</t>
  </si>
  <si>
    <t>惠民家园二区26号楼6层4单元602</t>
  </si>
  <si>
    <t>惠民家园一区3号楼1层三单元102</t>
  </si>
  <si>
    <t>惠民家园二区27号楼7层3单元703</t>
  </si>
  <si>
    <t>惠民家园17号楼12层1单元1202</t>
  </si>
  <si>
    <t>惠民家园二区32号楼4层4单元403</t>
  </si>
  <si>
    <t>惠民家园二区21号楼5层2单元501</t>
  </si>
  <si>
    <t>惠民家园二区30号楼2层3单元202</t>
  </si>
  <si>
    <t>惠民家园17号楼12层2单元1206</t>
  </si>
  <si>
    <t>惠民家园二区30号楼10层1单元1002</t>
  </si>
  <si>
    <t>惠民家园二区29号楼8层2单元801</t>
  </si>
  <si>
    <t>15（-2）</t>
  </si>
  <si>
    <t>惠民家园二区29号楼8层2单元803</t>
  </si>
  <si>
    <t>15（-02）</t>
  </si>
  <si>
    <t>惠民家园二区28号楼8层1单元804</t>
  </si>
  <si>
    <t>惠民家园一区2号楼3层三单元301</t>
  </si>
  <si>
    <t>惠民家园一区5号楼4层二单元402</t>
  </si>
  <si>
    <t>惠民家园18号楼1层1单元104</t>
  </si>
  <si>
    <t>20（-2）</t>
  </si>
  <si>
    <t>惠民家园一区6号楼5层一单元503</t>
  </si>
  <si>
    <t>惠民家园一区9号楼4层1单元401</t>
  </si>
  <si>
    <t>惠民家园二区29号楼3层2单元301</t>
  </si>
  <si>
    <t>惠民家园二区32号楼12层5单元1201</t>
  </si>
  <si>
    <t>惠民家园二区32号楼6层3单元602</t>
  </si>
  <si>
    <t>惠民家园二区29号楼10层1单元1004</t>
  </si>
  <si>
    <t>惠民家园17号楼8层2单元803</t>
  </si>
  <si>
    <t>惠民家园二区27号楼6层1单元601</t>
  </si>
  <si>
    <t>惠民家园二区27号楼2层1单元202</t>
  </si>
  <si>
    <t>惠民家园二区28号楼10层1单元1002</t>
  </si>
  <si>
    <t>惠民家园19号楼4层1单元402</t>
  </si>
  <si>
    <t>惠民家园18号楼13层2单元1305</t>
  </si>
  <si>
    <t>惠民家园二区30号楼8层2单元802</t>
  </si>
  <si>
    <t>惠民家园一区1号楼4层1单元403</t>
  </si>
  <si>
    <t>惠民家园19号楼13层1单元1305</t>
  </si>
  <si>
    <t>惠民家园二区28号楼11至12层3单元1102</t>
  </si>
  <si>
    <t>惠民家园二区29号楼6层5单元605</t>
  </si>
  <si>
    <t>惠民家园二区31号楼5层3单元501</t>
  </si>
  <si>
    <t>12（-2）</t>
  </si>
  <si>
    <t>惠民家园18号楼6层1单元604</t>
  </si>
  <si>
    <t>惠民家园17号楼21层2单元2101</t>
  </si>
  <si>
    <t>惠民家园17号楼21层1单元2105</t>
  </si>
  <si>
    <t>惠民家园一区2号楼2层一单元201</t>
  </si>
  <si>
    <t>惠民家园二区23号楼7层4单元702</t>
  </si>
  <si>
    <t>9（-1）</t>
  </si>
  <si>
    <t>惠民家园二区30号楼1层1单元104</t>
  </si>
  <si>
    <t>惠民家园二区27号楼2层1单元203</t>
  </si>
  <si>
    <t>惠民家园二区32号楼3层3单元304</t>
  </si>
  <si>
    <t>惠民家园17号楼8层1单元801</t>
  </si>
  <si>
    <t>惠民家园18号楼7层2单元705</t>
  </si>
  <si>
    <t>惠民家园一区3号楼3层二单元302</t>
  </si>
  <si>
    <t>惠民家园18号楼9层2单元905</t>
  </si>
  <si>
    <t>惠民家园一区2号楼3层四单元303</t>
  </si>
  <si>
    <t>惠民家园二区25号楼8层2单元801</t>
  </si>
  <si>
    <t>惠民家园二区25号楼4层1单元401</t>
  </si>
  <si>
    <t>惠民家园18号楼8层1单元801</t>
  </si>
  <si>
    <t>惠民家园一区7号楼5层二单元502</t>
  </si>
  <si>
    <t>惠民家园二区33号楼2层3单元201</t>
  </si>
  <si>
    <t>惠民家园二区23号楼5层4单元503</t>
  </si>
  <si>
    <t>惠民家园二区22号楼3层2单元303</t>
  </si>
  <si>
    <t>惠民家园一区5号楼6层一单元602号</t>
  </si>
  <si>
    <t>惠民家园一区15号楼4层1单元402号</t>
  </si>
  <si>
    <t>惠民家园17号楼8层2单元802号</t>
  </si>
  <si>
    <t>惠民家园一区6号楼1层三单元101号</t>
  </si>
  <si>
    <t>惠民家园17号楼18层1单元1804号</t>
  </si>
  <si>
    <t>惠民家园一区6号楼2层三单元202号</t>
  </si>
  <si>
    <t>惠民家园一区4号楼6层五单元601号</t>
  </si>
  <si>
    <t>惠民家园一区5号楼4层一单元402号</t>
  </si>
  <si>
    <t>惠民家园18号楼10层2单元1001号</t>
  </si>
  <si>
    <t>惠民家园一区7号楼4层五单元402号</t>
  </si>
  <si>
    <t>惠民家园17号楼16层1单元1603号</t>
  </si>
  <si>
    <t>惠民家园二区29号楼14层5单元1405号</t>
  </si>
  <si>
    <t>惠民家园二区25号楼9层2单元903号</t>
  </si>
  <si>
    <t>惠民家园19号楼14层2单元1401号</t>
  </si>
  <si>
    <t>惠民家园二区29号楼10层1单元1004号</t>
  </si>
  <si>
    <t>惠民家园二区29号楼9层4单元903号</t>
  </si>
  <si>
    <t>惠民家园18号楼16层2单元1602号</t>
  </si>
  <si>
    <t>惠民家园17号楼1层1单元104号</t>
  </si>
  <si>
    <t>惠民家园一区4号楼3层三单元302号</t>
  </si>
  <si>
    <t>惠民家园二区21号楼4层4单元403号</t>
  </si>
  <si>
    <t>丽景长安</t>
  </si>
  <si>
    <t>梧桐苑</t>
  </si>
  <si>
    <t>西长安壹号</t>
  </si>
  <si>
    <t>曹各庄路30号院3号楼28层1单元2801</t>
  </si>
  <si>
    <t>28（-3）</t>
  </si>
  <si>
    <t>曹各庄路30号院3号楼26层2单元2602</t>
  </si>
  <si>
    <t>曹各庄路30号院3号楼2层1单元205</t>
  </si>
  <si>
    <t>曹各庄路30号院3号楼3层1单元304</t>
  </si>
  <si>
    <t>曹各庄路30号院3号楼1层1单元104</t>
  </si>
  <si>
    <t>曹各庄路30号院3号楼20层2单元2003</t>
  </si>
  <si>
    <t>曹各庄路30号院3号楼6层2单元604</t>
  </si>
  <si>
    <t>曹各庄路30号院3号楼18层1单元1801</t>
  </si>
  <si>
    <t>曹各庄路30号院3号楼12层1单元1203</t>
  </si>
  <si>
    <t>曹各庄路30号院3号楼23层1单元2304</t>
  </si>
  <si>
    <t>曹各庄路30号院3号楼10层2单元1003</t>
  </si>
  <si>
    <t>曹各庄路30号院3号楼18层2单元1805</t>
  </si>
  <si>
    <t>曹各庄路30号院3号楼14层2单元1404</t>
  </si>
  <si>
    <t>曹各庄路30号院3号楼1层1单元101</t>
  </si>
  <si>
    <t>曹各庄路30号院3号楼11层1单元1104</t>
  </si>
  <si>
    <t>曹各庄路30号院3号楼6层2单元601</t>
  </si>
  <si>
    <t>曹各庄路30号院3号楼2层1单元204</t>
  </si>
  <si>
    <t>石龙南路3号院1号楼22层1单元2201</t>
  </si>
  <si>
    <t>26（-02）</t>
  </si>
  <si>
    <t>何各庄中街1号院2号楼25层3单元2504</t>
  </si>
  <si>
    <t>27（-02）</t>
  </si>
  <si>
    <t>石龙南路3号院1号楼9层2单元903</t>
  </si>
  <si>
    <t>石龙南路3号院2号楼18层2单元1802</t>
  </si>
  <si>
    <t>石龙南路3号院3号楼17层2单元1704</t>
  </si>
  <si>
    <t>23（-02）</t>
  </si>
  <si>
    <t>何各庄中街1号院1号楼25层3单元2502</t>
  </si>
  <si>
    <t>27（-03）</t>
  </si>
  <si>
    <t>石龙南路3号院6号楼5层2单元503</t>
  </si>
  <si>
    <t>11（-02）</t>
  </si>
  <si>
    <t>11（-03）</t>
  </si>
  <si>
    <t>石龙南路3号院12号楼4层3单元401</t>
  </si>
  <si>
    <t>10（-02）</t>
  </si>
  <si>
    <t>25（-03）</t>
  </si>
  <si>
    <t>石龙南路3号院12号楼9层1单元901</t>
  </si>
  <si>
    <t>石龙南路3号院2号楼5层2单元503</t>
  </si>
  <si>
    <t>石龙南路3号院1号楼16层3单元1601</t>
  </si>
  <si>
    <t>何各庄中街1号院4号楼21层3单元2102</t>
  </si>
  <si>
    <t>24（-03）</t>
  </si>
  <si>
    <t>何各庄中街1号院3号楼1层2单元102</t>
  </si>
  <si>
    <t>石龙南路3号院7号楼8层1单元802</t>
  </si>
  <si>
    <t>25（-02）</t>
  </si>
  <si>
    <t>石龙南路3号院2号楼17层1单元1703</t>
  </si>
  <si>
    <t>何各庄中街1号院3号楼6层2单元603</t>
  </si>
  <si>
    <t>石龙南路3号院2号楼9层2单元901</t>
  </si>
  <si>
    <t>何各庄中街1号院3号楼24层2单元2406</t>
  </si>
  <si>
    <t>何各庄中街1号院7号楼22层1单元2202</t>
  </si>
  <si>
    <t>石龙南路3号院2号楼7层3单元704</t>
  </si>
  <si>
    <t>石龙南路3号院3号楼4层2单元404</t>
  </si>
  <si>
    <t>何各庄中街1号院3号楼2层2单元205</t>
  </si>
  <si>
    <t>石龙南路3号院1号楼10层1单元1002</t>
  </si>
  <si>
    <t>何各庄中街1号院2号楼1层2单元103</t>
  </si>
  <si>
    <t>27（-2）</t>
  </si>
  <si>
    <t>石龙南路3号院11号楼11层2单元1103</t>
  </si>
  <si>
    <t>石龙南路3号院10号楼2层3单元202</t>
  </si>
  <si>
    <t>11（-3）</t>
  </si>
  <si>
    <t>石龙南路3号院11号楼6层2单元601</t>
  </si>
  <si>
    <t>18（-04）</t>
  </si>
  <si>
    <t>石龙南路3号院14号楼2层2单元202</t>
  </si>
  <si>
    <t>09（-02）</t>
  </si>
  <si>
    <t>石龙南路3号院2号楼14层1单元1403</t>
  </si>
  <si>
    <t>石龙南路3号院3号楼14层1单元1402</t>
  </si>
  <si>
    <t>何各庄中街1号院2号楼8层3单元804</t>
  </si>
  <si>
    <t>26（-2）</t>
  </si>
  <si>
    <t>石龙南路3号院3号楼21层1单元2102</t>
  </si>
  <si>
    <t>石龙南路3号院7号楼1层2单元101</t>
  </si>
  <si>
    <t>石龙南路3号院2号楼24层3单元2401</t>
  </si>
  <si>
    <t>石龙南路3号院12号楼5层3单元502</t>
  </si>
  <si>
    <t>何各庄中街1号院7号楼21层1单元2102</t>
  </si>
  <si>
    <t>石龙南路3号院3号楼20层3单元2002</t>
  </si>
  <si>
    <t>10（-2）</t>
  </si>
  <si>
    <t>何各庄中街1号院2号楼9层2单元904</t>
  </si>
  <si>
    <t>何各庄中街1号院8号楼2层3单元201</t>
  </si>
  <si>
    <t>23（-03）</t>
  </si>
  <si>
    <t>何各庄中街1号院4号楼24层1单元2401</t>
  </si>
  <si>
    <t>石龙南路3号院12号楼5层2单元502</t>
  </si>
  <si>
    <t>何各庄中街1号院6号楼13层2单元1302</t>
  </si>
  <si>
    <t>何各庄中街1号院9号楼1层2单元102</t>
  </si>
  <si>
    <t>何各庄中街1号院6号楼1层1单元101</t>
  </si>
  <si>
    <t>石龙南路3号院2号楼6层2单元604</t>
  </si>
  <si>
    <t>石龙南路3号院1号楼12层1单元1203</t>
  </si>
  <si>
    <t>何各庄中街1号院3号楼26层2单元2601</t>
  </si>
  <si>
    <t>何各庄中街1号院6号楼19层1单元1901</t>
  </si>
  <si>
    <t>石龙南路3号院1号楼18层3单元1803</t>
  </si>
  <si>
    <t>石龙南路3号院11号楼7层2单元703</t>
  </si>
  <si>
    <t>石龙南路3号院3号楼9层1单元902</t>
  </si>
  <si>
    <t>何各庄中街1号院3号楼12层2单元1201</t>
  </si>
  <si>
    <t>何各庄中街1号院3号楼27层2单元2705</t>
  </si>
  <si>
    <t>石龙南路3号院1号楼6层2单元601</t>
  </si>
  <si>
    <t>石龙南路3号院11号楼2层1单元203</t>
  </si>
  <si>
    <t>石龙南路3号院2号楼7层2单元704</t>
  </si>
  <si>
    <t>26(-02)</t>
  </si>
  <si>
    <t>何各庄中街1号院1号楼24层3单元2402</t>
  </si>
  <si>
    <t>石龙南路3号院1号楼23层1单元2303</t>
  </si>
  <si>
    <t>石龙南路3号院1号楼22层1单元2203</t>
  </si>
  <si>
    <t>石龙南路3号院11号楼5层2单元501</t>
  </si>
  <si>
    <t>何各庄中街1号院6号楼5层1单元501</t>
  </si>
  <si>
    <t>何各庄中街1号院9号楼22层1单元2201</t>
  </si>
  <si>
    <t>石龙南路3号院3号楼8层3单元803</t>
  </si>
  <si>
    <t>何各庄中街1号院3号楼11层1单元1104</t>
  </si>
  <si>
    <t>何各庄中街1号院7号楼21层2单元2102</t>
  </si>
  <si>
    <t>石龙南路3号院10号楼4层2单元401</t>
  </si>
  <si>
    <t>何各庄中街1号院1号楼14层1单元1401</t>
  </si>
  <si>
    <t>石龙南路3号院1号楼22层3单元2202</t>
  </si>
  <si>
    <t>石龙南路3号院2号楼17层1单元1704</t>
  </si>
  <si>
    <t>石龙南路3号院2号楼21层3单元2102</t>
  </si>
  <si>
    <t>何各庄中街1号院3号楼4层2单元405</t>
  </si>
  <si>
    <t>何各庄中街1号院4号楼15层2单元1502</t>
  </si>
  <si>
    <t>何各庄中街1号院1号楼1层3单元101</t>
  </si>
  <si>
    <t>石龙南路3号院3号楼11层2单元1101</t>
  </si>
  <si>
    <t>石龙南路3号院10号楼8层1单元801</t>
  </si>
  <si>
    <t>石龙南路3号院1号楼12层3单元1201</t>
  </si>
  <si>
    <t>石龙南路3号院2号楼8层1单元803</t>
  </si>
  <si>
    <t>石龙南路3号院1号楼3层3单元303</t>
  </si>
  <si>
    <t>何各庄中街1号院9号楼17层1单元1702</t>
  </si>
  <si>
    <t>石龙南路3号院6号楼10层2单元1002</t>
  </si>
  <si>
    <t>何各庄中街1号院8号楼13层1单元1301</t>
  </si>
  <si>
    <t>石龙南路3号院7号楼9层2单元902</t>
  </si>
  <si>
    <t>石龙南路3号院1号楼11层3单元1103</t>
  </si>
  <si>
    <t>石龙南路3号院3号楼5层2单元502</t>
  </si>
  <si>
    <t>何各庄中街1号院9号楼10层3单元1002</t>
  </si>
  <si>
    <t>何各庄中街1号院7号楼14层2单元1402</t>
  </si>
  <si>
    <t>何各庄中街1号院7号楼15层1单元1502</t>
  </si>
  <si>
    <t>石龙南路3号院14号楼7层2单元703</t>
  </si>
  <si>
    <t>9（-02）</t>
  </si>
  <si>
    <t>石龙南路3号院2号楼25层1单元2502</t>
  </si>
  <si>
    <t>何各庄中街1号院1号楼25层1单元2502</t>
  </si>
  <si>
    <t>石龙南路3号院7号楼22层2单元2201</t>
  </si>
  <si>
    <t>石龙南路3号院6号楼7层2单元702</t>
  </si>
  <si>
    <t>石龙南路3号院12号楼3层1单元301</t>
  </si>
  <si>
    <t>石龙南路3号院2号楼14层3单元1401</t>
  </si>
  <si>
    <t>何各庄中街1号院4号楼17层1单元1701</t>
  </si>
  <si>
    <t>丽景长安二期</t>
  </si>
  <si>
    <t>石龙南路3号院2号楼7层1单元702</t>
  </si>
  <si>
    <t>何各庄中街1号院4号楼5层1单元502号</t>
  </si>
  <si>
    <t>石龙南路3号院11号楼9层1单元902号</t>
  </si>
  <si>
    <t>石龙南路3号院2号楼11层1单元1103号</t>
  </si>
  <si>
    <t>石龙南路3号院1号楼21层3单元2102号</t>
  </si>
  <si>
    <t>石龙南路3号院3号楼12层1单元1202号</t>
  </si>
  <si>
    <t>石龙南路3号院3号楼22层2单元2202号</t>
  </si>
  <si>
    <t>何各庄中街1号院9号楼21层1单元2101号</t>
  </si>
  <si>
    <t>石龙南路3号院2号楼12层3单元1201号</t>
  </si>
  <si>
    <t>石龙南路3号院2号楼20层2单元2003号</t>
  </si>
  <si>
    <t>石龙南路3号院9号楼5层1单元502号</t>
  </si>
  <si>
    <t>何各庄中街1号院7号楼2层2单元202号</t>
  </si>
  <si>
    <t>25（-3）</t>
  </si>
  <si>
    <t>石龙南路3号院2号楼19层2单元1902号</t>
  </si>
  <si>
    <t>石龙南路3号院1号楼20层3单元2004号</t>
  </si>
  <si>
    <t>石龙南路3号院3号楼5层2单元503号</t>
  </si>
  <si>
    <t>石龙南路3号院2号楼12层1单元1202号</t>
  </si>
  <si>
    <t>石龙南路3号院3号楼23层3单元2301号</t>
  </si>
  <si>
    <t>石龙南路3号院2号楼18层1单元1803号</t>
  </si>
  <si>
    <t>石龙南路3号院3号楼15层1单元1502号</t>
  </si>
  <si>
    <t>石龙南路3号院1号楼6层1单元602号</t>
  </si>
  <si>
    <t>石龙南路3号院1号楼18层1单元1802号</t>
  </si>
  <si>
    <t>石龙南路3号院8号楼7层2单元702号</t>
  </si>
  <si>
    <t>石龙南路3号院5号楼6层1单元601号</t>
  </si>
  <si>
    <t>11（-2）</t>
  </si>
  <si>
    <t>石龙南路3号院2号楼24层2单元2401号</t>
  </si>
  <si>
    <t>石龙南路3号院11号楼2层2单元202号</t>
  </si>
  <si>
    <t>何各庄中街1号院9号楼11层2单元1101号</t>
  </si>
  <si>
    <t>石龙南路3号院2号楼24层3单元2404号</t>
  </si>
  <si>
    <t>石龙南路3号院8号楼7层1单元701号</t>
  </si>
  <si>
    <t>9（-2）</t>
  </si>
  <si>
    <t>何各庄中街1号院4号楼13层2单元1301号</t>
  </si>
  <si>
    <t>石龙南路3号院1号楼13层2单元1301号</t>
  </si>
  <si>
    <t>何各庄中街1号院4号楼8层3单元802号</t>
  </si>
  <si>
    <t>石龙南路3号院1号楼14层2单元1404号</t>
  </si>
  <si>
    <t>石龙南路3号院2号楼12层3单元1203号</t>
  </si>
  <si>
    <t>石龙南路3号院1号楼9层3单元904号</t>
  </si>
  <si>
    <t>何各庄中街1号院6号楼1层2单元101号</t>
  </si>
  <si>
    <t>石龙南路3号院3号楼21层2单元2104号</t>
  </si>
  <si>
    <t>石龙南路3号院3号楼18层3单元1804号</t>
  </si>
  <si>
    <t>石龙南路3号院11号楼11层2单元1103号</t>
  </si>
  <si>
    <t>石龙南路3号院14号楼1层2单元102号</t>
  </si>
  <si>
    <t>龙兴南二路8号院3号楼2层1单元201</t>
  </si>
  <si>
    <t>中铁建梧桐苑栖凤园</t>
  </si>
  <si>
    <t>24（-1）</t>
  </si>
  <si>
    <t>龙兴南二路8号院5号楼5层2单元504</t>
  </si>
  <si>
    <t>28（-01）</t>
  </si>
  <si>
    <t>龙兴南二路7号院2号楼6层1单元604</t>
  </si>
  <si>
    <t>中铁建梧桐苑清露园</t>
  </si>
  <si>
    <t>26（-1）</t>
  </si>
  <si>
    <t>龙兴南二路10号院7号楼3层1单元302</t>
  </si>
  <si>
    <t>中铁建梧桐苑知秋园</t>
  </si>
  <si>
    <t>龙兴南二路8号院3号楼3层2单元301</t>
  </si>
  <si>
    <t>龙兴南二路10号院3号楼3层2单元301</t>
  </si>
  <si>
    <t>24（-01）</t>
  </si>
  <si>
    <t>龙兴南二路10号院9号楼4层1单元401</t>
  </si>
  <si>
    <t>22（-01）</t>
  </si>
  <si>
    <t>龙兴南二路7号院3号楼28层3单元2801</t>
  </si>
  <si>
    <t>28（-1）</t>
  </si>
  <si>
    <t>龙兴南二路8号院5号楼18层2单元1803</t>
  </si>
  <si>
    <t>龙兴南二路7号院5号楼10层3单元1001</t>
  </si>
  <si>
    <t>27（-1）</t>
  </si>
  <si>
    <t>龙兴南二路8号院5号楼6层3单元602</t>
  </si>
  <si>
    <t>龙兴南二路7号院3号楼23层1单元2303</t>
  </si>
  <si>
    <t>龙兴南二路10号院5号楼9层2单元903</t>
  </si>
  <si>
    <t>龙兴南二路7号院3号楼13层3单元1302</t>
  </si>
  <si>
    <t>龙兴南二路10号院8号楼1层1单元104</t>
  </si>
  <si>
    <t>梧桐苑知秋园</t>
  </si>
  <si>
    <t>龙兴南二路10号院5号楼2层1单元204</t>
  </si>
  <si>
    <t>21（-01）</t>
  </si>
  <si>
    <t>龙兴南二路10号院4号楼2层2单元203</t>
  </si>
  <si>
    <t>22（-1）</t>
  </si>
  <si>
    <t>龙兴南二路7号院5号楼4层3单元402</t>
  </si>
  <si>
    <t>龙兴南二路10号院9号楼1层1单元104</t>
  </si>
  <si>
    <t>龙兴南二路10号院9号楼7层1单元701</t>
  </si>
  <si>
    <t>龙兴南二路8号院3号楼6层2单元603</t>
  </si>
  <si>
    <t>龙兴南二路7号院2号楼9层2单元904</t>
  </si>
  <si>
    <t>26（-01）</t>
  </si>
  <si>
    <t>龙兴南二路10号院7号楼17层2单元1704</t>
  </si>
  <si>
    <t>龙兴南二路10号院5号楼9层2单元901</t>
  </si>
  <si>
    <t>龙兴南二路8号院6号楼17层1单元1702</t>
  </si>
  <si>
    <t>龙兴南二路7号院6号楼19层1单元1901</t>
  </si>
  <si>
    <t>23（-1）</t>
  </si>
  <si>
    <t>龙兴南二路8号院3号楼22层1单元2202</t>
  </si>
  <si>
    <t>龙兴南二路8号院2号楼11层2单元1102</t>
  </si>
  <si>
    <t>27（-01）</t>
  </si>
  <si>
    <t>龙兴南二路7号院2号楼12层2单元1201</t>
  </si>
  <si>
    <t>龙兴南二路10号院5号楼18层1单元1803</t>
  </si>
  <si>
    <t>龙兴南二路10号院9号楼17层2单元1701</t>
  </si>
  <si>
    <t>龙兴南二路10号院9号楼9层1单元901</t>
  </si>
  <si>
    <t>龙兴南二路10号院7号楼13层2单元1302</t>
  </si>
  <si>
    <t>龙兴南二路7号院6号楼4层1单元402</t>
  </si>
  <si>
    <t>23（-01）</t>
  </si>
  <si>
    <t>龙兴南二路8号院3号楼20层2单元2004</t>
  </si>
  <si>
    <t>龙兴南二路10号院3号楼13层1单元1302</t>
  </si>
  <si>
    <t>龙兴南二路8号院2号楼17层2单元1704</t>
  </si>
  <si>
    <t>龙兴南二路8号院5号楼20层2单元2002</t>
  </si>
  <si>
    <t>龙兴南二路7号院3号楼19层1单元1903</t>
  </si>
  <si>
    <t>龙兴南二路8号院5号楼22层3单元2202</t>
  </si>
  <si>
    <t>龙兴南二路7号院6号楼12层2单元1202</t>
  </si>
  <si>
    <t>龙兴南二路10号院9号楼10层1单元1002</t>
  </si>
  <si>
    <t>21(-1)</t>
  </si>
  <si>
    <t>龙兴南二路10号院8号楼4层1单元404</t>
  </si>
  <si>
    <t>龙兴南二路10号院4号楼22层1单元2203</t>
  </si>
  <si>
    <t>龙兴南二路7号院6号楼4层2单元401</t>
  </si>
  <si>
    <t>龙兴南二路7号院2号楼24层2单元2404</t>
  </si>
  <si>
    <t>龙兴南二路7号院5号楼27层1单元2702</t>
  </si>
  <si>
    <t>龙兴南二路8号院5号楼19层2单元1903</t>
  </si>
  <si>
    <t>龙兴南二路8号院6号楼17层1单元1703</t>
  </si>
  <si>
    <t>龙兴南二路8号院5号楼26层1单元2602</t>
  </si>
  <si>
    <t>龙兴南二路7号院5号楼8层2单元802</t>
  </si>
  <si>
    <t>龙兴南二路7号院5号楼23层3单元2302</t>
  </si>
  <si>
    <t>龙兴南二路10号院7号楼8层1单元804</t>
  </si>
  <si>
    <t>龙兴南二路8号院2号楼20层3单元2003</t>
  </si>
  <si>
    <t>龙兴南二路8号院3号楼8层1单元803</t>
  </si>
  <si>
    <t>龙兴南二路7号院5号楼25层1单元2503</t>
  </si>
  <si>
    <t>龙兴南二路10号院4号楼16层2单元1603</t>
  </si>
  <si>
    <t>龙兴南二路8号院5号楼3层2单元302</t>
  </si>
  <si>
    <t>龙兴南二路8号院6号楼14层3单元1403</t>
  </si>
  <si>
    <t>龙兴南二路10号院9号楼1层1单元103</t>
  </si>
  <si>
    <t>龙兴南二路8号院3号楼7层2单元703</t>
  </si>
  <si>
    <t>龙兴南二路7号院6号楼22层1单元2202</t>
  </si>
  <si>
    <t>龙兴南二路8号院5号楼24层2单元2403</t>
  </si>
  <si>
    <t>龙兴南二路7号院3号楼23层2单元2304</t>
  </si>
  <si>
    <t>龙兴南二路8号院5号楼24层2单元2401</t>
  </si>
  <si>
    <t>龙兴南二路7号院5号楼13层1单元1303</t>
  </si>
  <si>
    <t>龙兴南二路8号院6号楼2层1单元203</t>
  </si>
  <si>
    <t>龙兴南二路8号院2号楼6层2单元604</t>
  </si>
  <si>
    <t>龙兴南二路10号院8号楼18层1单元1801</t>
  </si>
  <si>
    <t>龙兴南二路10号院4号楼7层3单元701</t>
  </si>
  <si>
    <t>龙兴南二路10号院7号楼23层1单元2302</t>
  </si>
  <si>
    <t>龙兴南二路8号院3号楼13层2单元1302</t>
  </si>
  <si>
    <t>龙兴南二路7号院2号楼4层1单元403</t>
  </si>
  <si>
    <t>龙兴南二路8号院2号楼19层2单元1902</t>
  </si>
  <si>
    <t>龙兴南二路8号院5号楼20层1单元2002</t>
  </si>
  <si>
    <t>龙兴南二路10号院3号楼1层1单元102</t>
  </si>
  <si>
    <t>龙兴南二路7号院3号楼17层3单元1701</t>
  </si>
  <si>
    <t>龙兴南二路10号院4号楼8层2单元801</t>
  </si>
  <si>
    <t>龙兴南二路10号院7号楼10层2单元1002</t>
  </si>
  <si>
    <t>龙兴南二路7号院2号楼18层1单元1802</t>
  </si>
  <si>
    <t>龙兴南二路7号院6号楼5层2单元502</t>
  </si>
  <si>
    <t>龙兴南二路7号院3号楼28层3单元2803</t>
  </si>
  <si>
    <t>龙兴南二路10号院8号楼3层2单元303号</t>
  </si>
  <si>
    <t>龙兴南二路7号院5号楼17层3单元1703号</t>
  </si>
  <si>
    <t>龙兴南二路10号院9号楼14层2单元1402号</t>
  </si>
  <si>
    <t>龙兴南二路7号院3号楼4层2单元403号</t>
  </si>
  <si>
    <t>龙兴南二路7号院3号楼9层2单元902号</t>
  </si>
  <si>
    <t>龙兴南二路8号院5号楼12层3单元1203号</t>
  </si>
  <si>
    <t>龙兴南二路7号院3号楼28层1单元2801号</t>
  </si>
  <si>
    <t>龙兴南二路10号院8号楼19层1单元1904号</t>
  </si>
  <si>
    <t>龙兴南二路7号院3号楼22层1单元2203号</t>
  </si>
  <si>
    <t>龙兴南二路7号院5号楼3层2单元303号</t>
  </si>
  <si>
    <t>龙兴南二路10号院8号楼3层2单元304号</t>
  </si>
  <si>
    <t>龙兴南二路10号院8号楼1层1单元101号</t>
  </si>
  <si>
    <t>龙兴南二路8号院5号楼26层3单元2603号</t>
  </si>
  <si>
    <t>龙兴南二路10号院9号楼14层1单元1404号</t>
  </si>
  <si>
    <t>龙兴南二路10号院9号楼4层1单元402号</t>
  </si>
  <si>
    <t>龙兴南二路7号院5号楼22层2单元2202号</t>
  </si>
  <si>
    <t>龙兴南二路10号院4号楼19层1单元1903号</t>
  </si>
  <si>
    <t>龙兴南二路8号院5号楼11层3单元1102号</t>
  </si>
  <si>
    <t>龙兴南二路7号院3号楼15层3单元1502号</t>
  </si>
  <si>
    <t>龙兴南二路8号院3号楼15层2单元1503号</t>
  </si>
  <si>
    <t>龙兴南二路8号院5号楼19层1单元1902号</t>
  </si>
  <si>
    <t>龙兴南二路10号院3号楼24层2单元2402号</t>
  </si>
  <si>
    <t>龙兴南二路10号院3号楼11层2单元1101号</t>
  </si>
  <si>
    <t>龙兴南二路7号院6号楼13层1单元1304号</t>
  </si>
  <si>
    <t>龙兴南二路8号院6号楼24层1单元2403号</t>
  </si>
  <si>
    <t>龙兴南二路7号院3号楼5层1单元502号</t>
  </si>
  <si>
    <t>龙兴南二路8号院2号楼6层3单元602号</t>
  </si>
  <si>
    <t>龙兴南二路10号院3号楼9层1单元903号</t>
  </si>
  <si>
    <t>龙兴南二路7号院2号楼24层1单元2401号</t>
  </si>
  <si>
    <t>龙兴南二路7号院3号楼27层3单元2703号</t>
  </si>
  <si>
    <t>龙兴南二路8号院5号楼17层2单元1703号</t>
  </si>
  <si>
    <t>龙兴南二路7号院5号楼5层2单元501号</t>
  </si>
  <si>
    <t>龙兴南二路10号院5号楼2层1单元204号</t>
  </si>
  <si>
    <t>龙兴南二路7号院5号楼9层3单元902号</t>
  </si>
  <si>
    <t>龙兴南二路8号院3号楼10层1单元1004号</t>
  </si>
  <si>
    <t>龙兴南二路7号院2号楼7层2单元704号</t>
  </si>
  <si>
    <t>梧桐苑清露园</t>
  </si>
  <si>
    <t>龙兴南二路7号院3号楼24层3单元2403号</t>
  </si>
  <si>
    <t>龙兴南二路10号院5号楼12层2单元1203号</t>
  </si>
  <si>
    <t>龙兴南二路8号院2号楼21层2单元2101号</t>
  </si>
  <si>
    <t>龙兴南二路8号院2号楼12层1单元1202号</t>
  </si>
  <si>
    <t>龙兴南二路10号院7号楼2层1单元203号</t>
  </si>
  <si>
    <t>龙兴南二路7号院3号楼22层3单元2202号</t>
  </si>
  <si>
    <t>龙兴南二路8号院3号楼22层2单元2202号</t>
  </si>
  <si>
    <t>龙兴南二路7号院2号楼3层1单元301号</t>
  </si>
  <si>
    <t>龙兴南二路8号院5号楼17层3单元1701号</t>
  </si>
  <si>
    <t>龙兴南二路10号院9号楼21层2单元2101号</t>
  </si>
  <si>
    <t>龙兴南二路7号院5号楼6层1单元601号</t>
  </si>
  <si>
    <t>龙兴南二路10号院4号楼12层1单元1203号</t>
  </si>
  <si>
    <t>龙兴南二路10号院5号楼10层2单元1002号</t>
  </si>
  <si>
    <t>梧桐苑栖凤园</t>
  </si>
  <si>
    <t>龙兴南二路7号院5号楼9层3单元903号</t>
  </si>
  <si>
    <t>龙兴南二路10号院4号楼5层2单元502号</t>
  </si>
  <si>
    <t>龙兴南二路8号院5号楼23层1单元2302号</t>
  </si>
  <si>
    <t>龙兴南二路8号院2号楼23层1单元2301号</t>
  </si>
  <si>
    <t>龙兴南二路7号院3号楼15层3单元1501号</t>
  </si>
  <si>
    <t>中铁建梧桐苑·清露园</t>
  </si>
  <si>
    <t>龙兴南二路8号院6号楼22层3单元2202号</t>
  </si>
  <si>
    <t>龙兴南二路7号院2号楼24层1单元2404号</t>
  </si>
  <si>
    <t>冯石环路10号院1号楼9层6单元901</t>
  </si>
  <si>
    <t>冯石环路10号院7号楼9层3单元902</t>
  </si>
  <si>
    <t>冯石环路10号院7号楼3层4单元302</t>
  </si>
  <si>
    <t>冯石环路10号院7号楼3层3单元302</t>
  </si>
  <si>
    <t>冯石环路10号院1号楼3层5单元302</t>
  </si>
  <si>
    <t>10（-01）</t>
  </si>
  <si>
    <t>冯石环路10号院5号楼6层5单元601</t>
  </si>
  <si>
    <t>冯石环路10号院1号楼2层5单元201</t>
  </si>
  <si>
    <t>冯石环路10号院5号楼10层1单元1001</t>
  </si>
  <si>
    <t>冯石环路10号院7号楼2层5单元202</t>
  </si>
  <si>
    <t>冯石环路10号院6号楼3层1单元302</t>
  </si>
  <si>
    <t>6（-1）</t>
  </si>
  <si>
    <t>冯石环路10号院5号楼3层3单元303</t>
  </si>
  <si>
    <t>冯石环路10号院7号楼2层6单元201</t>
  </si>
  <si>
    <t>冯石环路10号院1号楼9层2单元902</t>
  </si>
  <si>
    <t>冯石环路10号院1号楼3层6单元302</t>
  </si>
  <si>
    <t>冯石环路10号院7号楼2层1单元202</t>
  </si>
  <si>
    <t>冯石环路10号院2号楼8层2单元802</t>
  </si>
  <si>
    <t>冯石环路10号院6号楼4层1单元402</t>
  </si>
  <si>
    <t>冯石环路10号院8号楼2层1单元201号</t>
  </si>
  <si>
    <t>10（-1）</t>
  </si>
  <si>
    <t>冯石环路10号院7号楼3层3单元301号</t>
  </si>
  <si>
    <t>冯石环路10号院7号楼5层6单元502号</t>
  </si>
  <si>
    <t>冯石环路10号院8号楼6层1单元602号</t>
  </si>
  <si>
    <t>冯石环路10号院7号楼5层3单元502号</t>
  </si>
  <si>
    <t>冯石环路10号院4号楼6层1单元601号</t>
  </si>
  <si>
    <t>冯石环路10号院2号楼5层5单元501号</t>
  </si>
  <si>
    <t>冯石环路10号院6号楼3层2单元302号</t>
  </si>
  <si>
    <t>冯石环路10号院7号楼7层7单元701号</t>
  </si>
  <si>
    <t>冯石环路10号院7号楼7层2单元701号</t>
  </si>
  <si>
    <t>诺德彩园</t>
    <phoneticPr fontId="3" type="noConversion"/>
  </si>
  <si>
    <t>石龙南路3号院6号楼10层2单元1003</t>
  </si>
  <si>
    <t>南北</t>
    <phoneticPr fontId="3" type="noConversion"/>
  </si>
  <si>
    <t>普通装修</t>
    <phoneticPr fontId="3" type="noConversion"/>
  </si>
  <si>
    <t>龙兴南二路8号院5号楼26层3单元2601</t>
  </si>
  <si>
    <t>简单装修</t>
    <phoneticPr fontId="3" type="noConversion"/>
  </si>
  <si>
    <t>精装修</t>
    <phoneticPr fontId="3" type="noConversion"/>
  </si>
  <si>
    <t>南</t>
    <phoneticPr fontId="3" type="noConversion"/>
  </si>
  <si>
    <t>售价</t>
  </si>
  <si>
    <t>精装修</t>
    <phoneticPr fontId="24" type="noConversion"/>
  </si>
  <si>
    <t>普通装修</t>
    <phoneticPr fontId="24" type="noConversion"/>
  </si>
  <si>
    <t>简单装修</t>
    <phoneticPr fontId="24" type="noConversion"/>
  </si>
  <si>
    <t>较好</t>
  </si>
  <si>
    <t>南北</t>
    <phoneticPr fontId="24" type="noConversion"/>
  </si>
  <si>
    <t>南</t>
    <phoneticPr fontId="24" type="noConversion"/>
  </si>
  <si>
    <t>高楼层</t>
    <phoneticPr fontId="24" type="noConversion"/>
  </si>
  <si>
    <t>中楼层</t>
    <phoneticPr fontId="24" type="noConversion"/>
  </si>
  <si>
    <t>低楼层</t>
    <phoneticPr fontId="24" type="noConversion"/>
  </si>
  <si>
    <t>楼层</t>
    <phoneticPr fontId="24" type="noConversion"/>
  </si>
  <si>
    <t>楼层</t>
    <phoneticPr fontId="134" type="noConversion"/>
  </si>
  <si>
    <t>低楼层</t>
    <phoneticPr fontId="134" type="noConversion"/>
  </si>
  <si>
    <t>高楼层</t>
    <phoneticPr fontId="134" type="noConversion"/>
  </si>
  <si>
    <t>购买价</t>
    <phoneticPr fontId="134" type="noConversion"/>
  </si>
  <si>
    <t>差价</t>
    <phoneticPr fontId="134" type="noConversion"/>
  </si>
  <si>
    <t>南北</t>
    <phoneticPr fontId="134" type="noConversion"/>
  </si>
  <si>
    <t>简单装修</t>
    <phoneticPr fontId="134" type="noConversion"/>
  </si>
  <si>
    <t>东</t>
    <phoneticPr fontId="134" type="noConversion"/>
  </si>
  <si>
    <t>普通装修</t>
    <phoneticPr fontId="134" type="noConversion"/>
  </si>
  <si>
    <t>南</t>
    <phoneticPr fontId="134" type="noConversion"/>
  </si>
  <si>
    <t>西山印</t>
    <phoneticPr fontId="3" type="noConversion"/>
  </si>
  <si>
    <t>中楼层</t>
    <phoneticPr fontId="134" type="noConversion"/>
  </si>
  <si>
    <t>东南西</t>
  </si>
  <si>
    <t>东南西</t>
    <phoneticPr fontId="134" type="noConversion"/>
  </si>
  <si>
    <t>东南西</t>
    <phoneticPr fontId="24" type="noConversion"/>
  </si>
  <si>
    <t>一般</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</si>
</sst>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00"/>
    <numFmt numFmtId="198" formatCode="0.000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
      <sz val="11"/>
      <name val="宋体"/>
      <family val="3"/>
      <charset val="134"/>
      <scheme val="minor"/>
    </font>
    <font>
      <sz val="9"/>
      <color rgb="FF000000"/>
      <name val="Noto Sans SC"/>
      <family val="2"/>
      <charset val="134"/>
    </font>
    <font>
      <sz val="9"/>
      <color rgb="FF333333"/>
      <name val="Noto Sans SC"/>
      <family val="2"/>
      <charset val="134"/>
    </font>
    <font>
      <sz val="9"/>
      <color rgb="FFFF0000"/>
      <name val="Noto Sans SC"/>
      <family val="2"/>
      <charset val="134"/>
    </font>
  </fonts>
  <fills count="3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7"/>
        <bgColor indexed="64"/>
      </patternFill>
    </fill>
    <fill>
      <patternFill patternType="solid">
        <fgColor rgb="FFF7F7F7"/>
        <bgColor indexed="64"/>
      </patternFill>
    </fill>
    <fill>
      <patternFill patternType="solid">
        <fgColor rgb="FFEAF6FC"/>
        <bgColor indexed="64"/>
      </patternFill>
    </fill>
    <fill>
      <patternFill patternType="solid">
        <fgColor rgb="FFFDFDC0"/>
        <bgColor indexed="64"/>
      </patternFill>
    </fill>
    <fill>
      <patternFill patternType="solid">
        <fgColor theme="9" tint="0.59999389629810485"/>
        <bgColor indexed="64"/>
      </patternFill>
    </fill>
    <fill>
      <patternFill patternType="solid">
        <fgColor rgb="FFFFCC99"/>
        <bgColor rgb="FF000000"/>
      </patternFill>
    </fill>
    <fill>
      <patternFill patternType="solid">
        <fgColor theme="9" tint="0.79998168889431442"/>
        <bgColor indexed="64"/>
      </patternFill>
    </fill>
    <fill>
      <patternFill patternType="solid">
        <fgColor theme="6" tint="0.79998168889431442"/>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diagonal/>
    </border>
    <border>
      <left style="medium">
        <color rgb="FFCCCCCC"/>
      </left>
      <right style="medium">
        <color rgb="FFCCCCCC"/>
      </right>
      <top style="medium">
        <color rgb="FFCCCCCC"/>
      </top>
      <bottom style="medium">
        <color rgb="FFCCCCCC"/>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6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95" fillId="0" borderId="0" xfId="0" applyFont="1" applyAlignment="1">
      <alignment vertical="center" wrapText="1"/>
    </xf>
    <xf numFmtId="0" fontId="0" fillId="0" borderId="0" xfId="0" applyAlignment="1">
      <alignment vertical="center" wrapText="1"/>
    </xf>
    <xf numFmtId="14" fontId="0" fillId="0" borderId="0" xfId="0" applyNumberFormat="1">
      <alignment vertical="center"/>
    </xf>
    <xf numFmtId="10" fontId="0" fillId="0" borderId="0" xfId="0" applyNumberFormat="1">
      <alignment vertical="center"/>
    </xf>
    <xf numFmtId="14" fontId="0" fillId="5" borderId="0" xfId="0" applyNumberFormat="1" applyFill="1">
      <alignment vertical="center"/>
    </xf>
    <xf numFmtId="197" fontId="0" fillId="0" borderId="0" xfId="0" applyNumberFormat="1">
      <alignment vertical="center"/>
    </xf>
    <xf numFmtId="198" fontId="0" fillId="0" borderId="0" xfId="0" applyNumberFormat="1">
      <alignment vertical="center"/>
    </xf>
    <xf numFmtId="57" fontId="0" fillId="0" borderId="0" xfId="0" applyNumberFormat="1">
      <alignment vertical="center"/>
    </xf>
    <xf numFmtId="57" fontId="271" fillId="0" borderId="0" xfId="0" applyNumberFormat="1" applyFont="1">
      <alignment vertical="center"/>
    </xf>
    <xf numFmtId="0" fontId="271" fillId="0" borderId="0" xfId="0" applyFont="1">
      <alignment vertical="center"/>
    </xf>
    <xf numFmtId="57" fontId="272" fillId="0" borderId="0" xfId="0" applyNumberFormat="1" applyFont="1">
      <alignment vertical="center"/>
    </xf>
    <xf numFmtId="0" fontId="272" fillId="0" borderId="0" xfId="0" applyFont="1">
      <alignment vertical="center"/>
    </xf>
    <xf numFmtId="57" fontId="0" fillId="5" borderId="0" xfId="0" applyNumberFormat="1" applyFill="1">
      <alignment vertical="center"/>
    </xf>
    <xf numFmtId="0" fontId="271" fillId="5" borderId="0" xfId="0" applyFont="1" applyFill="1">
      <alignment vertical="center"/>
    </xf>
    <xf numFmtId="0" fontId="19" fillId="22" borderId="1" xfId="0" applyFont="1" applyFill="1" applyBorder="1" applyAlignment="1">
      <alignment horizontal="center" vertical="center" wrapText="1"/>
    </xf>
    <xf numFmtId="0" fontId="19" fillId="0" borderId="1" xfId="0" applyFont="1" applyBorder="1" applyAlignment="1">
      <alignment horizontal="center" vertical="center" wrapText="1"/>
    </xf>
    <xf numFmtId="0" fontId="274" fillId="12" borderId="176" xfId="0" applyFont="1" applyFill="1" applyBorder="1" applyAlignment="1">
      <alignment horizontal="center" vertical="center" wrapText="1"/>
    </xf>
    <xf numFmtId="31" fontId="274" fillId="12" borderId="176" xfId="0" applyNumberFormat="1" applyFont="1" applyFill="1" applyBorder="1" applyAlignment="1">
      <alignment horizontal="center" vertical="center" wrapText="1"/>
    </xf>
    <xf numFmtId="0" fontId="274" fillId="23" borderId="176" xfId="0" applyFont="1" applyFill="1" applyBorder="1" applyAlignment="1">
      <alignment horizontal="center" vertical="center" wrapText="1"/>
    </xf>
    <xf numFmtId="31" fontId="274" fillId="23" borderId="176" xfId="0" applyNumberFormat="1" applyFont="1" applyFill="1" applyBorder="1" applyAlignment="1">
      <alignment horizontal="center" vertical="center" wrapText="1"/>
    </xf>
    <xf numFmtId="0" fontId="275" fillId="23" borderId="176" xfId="0" applyFont="1" applyFill="1" applyBorder="1" applyAlignment="1">
      <alignment horizontal="center" vertical="center" wrapText="1"/>
    </xf>
    <xf numFmtId="31" fontId="275" fillId="23" borderId="176" xfId="0" applyNumberFormat="1" applyFont="1" applyFill="1" applyBorder="1" applyAlignment="1">
      <alignment horizontal="center" vertical="center" wrapText="1"/>
    </xf>
    <xf numFmtId="0" fontId="273" fillId="23" borderId="177" xfId="0" applyFont="1" applyFill="1" applyBorder="1" applyAlignment="1">
      <alignment horizontal="center" vertical="center" wrapText="1"/>
    </xf>
    <xf numFmtId="0" fontId="274" fillId="24" borderId="176" xfId="0" applyFont="1" applyFill="1" applyBorder="1" applyAlignment="1">
      <alignment horizontal="center" vertical="center" wrapText="1"/>
    </xf>
    <xf numFmtId="31" fontId="274" fillId="24" borderId="176" xfId="0" applyNumberFormat="1" applyFont="1" applyFill="1" applyBorder="1" applyAlignment="1">
      <alignment horizontal="center" vertical="center" wrapText="1"/>
    </xf>
    <xf numFmtId="0" fontId="275" fillId="12" borderId="176" xfId="0" applyFont="1" applyFill="1" applyBorder="1" applyAlignment="1">
      <alignment horizontal="center" vertical="center" wrapText="1"/>
    </xf>
    <xf numFmtId="31" fontId="275" fillId="12" borderId="176" xfId="0" applyNumberFormat="1" applyFont="1" applyFill="1" applyBorder="1" applyAlignment="1">
      <alignment horizontal="center" vertical="center" wrapText="1"/>
    </xf>
    <xf numFmtId="58" fontId="274" fillId="23" borderId="176" xfId="0" applyNumberFormat="1" applyFont="1" applyFill="1" applyBorder="1" applyAlignment="1">
      <alignment horizontal="center" vertical="center" wrapText="1"/>
    </xf>
    <xf numFmtId="0" fontId="274" fillId="25" borderId="176" xfId="0" applyFont="1" applyFill="1" applyBorder="1" applyAlignment="1">
      <alignment horizontal="center" vertical="center" wrapText="1"/>
    </xf>
    <xf numFmtId="31" fontId="274" fillId="25" borderId="176" xfId="0" applyNumberFormat="1" applyFont="1" applyFill="1" applyBorder="1" applyAlignment="1">
      <alignment horizontal="center" vertical="center" wrapText="1"/>
    </xf>
    <xf numFmtId="0" fontId="273" fillId="25" borderId="177" xfId="0" applyFont="1" applyFill="1" applyBorder="1" applyAlignment="1">
      <alignment horizontal="center" vertical="center" wrapText="1"/>
    </xf>
    <xf numFmtId="0" fontId="274" fillId="12" borderId="178" xfId="0" applyFont="1" applyFill="1" applyBorder="1" applyAlignment="1">
      <alignment horizontal="center" vertical="center" wrapText="1"/>
    </xf>
    <xf numFmtId="31" fontId="274" fillId="12" borderId="178" xfId="0" applyNumberFormat="1" applyFont="1" applyFill="1" applyBorder="1" applyAlignment="1">
      <alignment horizontal="center" vertical="center" wrapText="1"/>
    </xf>
    <xf numFmtId="0" fontId="273" fillId="24" borderId="177" xfId="0" applyFont="1" applyFill="1" applyBorder="1" applyAlignment="1">
      <alignment horizontal="center" vertical="center" wrapText="1"/>
    </xf>
    <xf numFmtId="0" fontId="274" fillId="26" borderId="176" xfId="0" applyFont="1" applyFill="1" applyBorder="1" applyAlignment="1">
      <alignment horizontal="center" vertical="center" wrapText="1"/>
    </xf>
    <xf numFmtId="31" fontId="274" fillId="26" borderId="176" xfId="0" applyNumberFormat="1" applyFont="1" applyFill="1" applyBorder="1" applyAlignment="1">
      <alignment horizontal="center" vertical="center" wrapText="1"/>
    </xf>
    <xf numFmtId="0" fontId="274" fillId="14" borderId="176" xfId="0" applyFont="1" applyFill="1" applyBorder="1" applyAlignment="1">
      <alignment horizontal="center" vertical="center" wrapText="1"/>
    </xf>
    <xf numFmtId="31" fontId="274" fillId="14" borderId="176" xfId="0" applyNumberFormat="1" applyFont="1" applyFill="1" applyBorder="1" applyAlignment="1">
      <alignment horizontal="center" vertical="center" wrapText="1"/>
    </xf>
    <xf numFmtId="0" fontId="19" fillId="27" borderId="1" xfId="0" applyFont="1" applyFill="1" applyBorder="1" applyAlignment="1">
      <alignment horizontal="center" vertical="center" wrapText="1"/>
    </xf>
    <xf numFmtId="0" fontId="0" fillId="14" borderId="0" xfId="0" applyFill="1">
      <alignment vertical="center"/>
    </xf>
    <xf numFmtId="0" fontId="275" fillId="14" borderId="176" xfId="0" applyFont="1" applyFill="1" applyBorder="1" applyAlignment="1">
      <alignment horizontal="center" vertical="center" wrapText="1"/>
    </xf>
    <xf numFmtId="31" fontId="275" fillId="14" borderId="176" xfId="0" applyNumberFormat="1" applyFont="1" applyFill="1" applyBorder="1" applyAlignment="1">
      <alignment horizontal="center" vertical="center" wrapText="1"/>
    </xf>
    <xf numFmtId="0" fontId="274" fillId="28" borderId="176" xfId="0" applyFont="1" applyFill="1" applyBorder="1" applyAlignment="1">
      <alignment horizontal="center" vertical="center" wrapText="1"/>
    </xf>
    <xf numFmtId="31" fontId="274" fillId="28" borderId="176" xfId="0" applyNumberFormat="1" applyFont="1" applyFill="1" applyBorder="1" applyAlignment="1">
      <alignment horizontal="center" vertical="center" wrapText="1"/>
    </xf>
    <xf numFmtId="0" fontId="274" fillId="28" borderId="178" xfId="0" applyFont="1" applyFill="1" applyBorder="1" applyAlignment="1">
      <alignment horizontal="center" vertical="center" wrapText="1"/>
    </xf>
    <xf numFmtId="31" fontId="274" fillId="28" borderId="178" xfId="0" applyNumberFormat="1" applyFont="1" applyFill="1" applyBorder="1" applyAlignment="1">
      <alignment horizontal="center" vertical="center" wrapText="1"/>
    </xf>
    <xf numFmtId="0" fontId="0" fillId="28" borderId="0" xfId="0"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9" fillId="27" borderId="13" xfId="0" applyFont="1" applyFill="1" applyBorder="1" applyAlignment="1">
      <alignment horizontal="center" vertical="center" wrapText="1"/>
    </xf>
    <xf numFmtId="0" fontId="19" fillId="27" borderId="2" xfId="0" applyFont="1" applyFill="1" applyBorder="1" applyAlignment="1">
      <alignment horizontal="center" vertical="center" wrapText="1"/>
    </xf>
    <xf numFmtId="0" fontId="19" fillId="27" borderId="5" xfId="0" applyFont="1" applyFill="1" applyBorder="1" applyAlignment="1">
      <alignment horizontal="center" vertical="center" wrapText="1"/>
    </xf>
    <xf numFmtId="0" fontId="19" fillId="27" borderId="54" xfId="0" applyFont="1" applyFill="1" applyBorder="1" applyAlignment="1">
      <alignment horizontal="center" vertical="center" wrapText="1"/>
    </xf>
    <xf numFmtId="0" fontId="19" fillId="27" borderId="3" xfId="0" applyFont="1" applyFill="1" applyBorder="1" applyAlignment="1">
      <alignment horizontal="center" vertical="center" wrapText="1"/>
    </xf>
    <xf numFmtId="0" fontId="19" fillId="22" borderId="13" xfId="0" applyFont="1" applyFill="1" applyBorder="1" applyAlignment="1">
      <alignment horizontal="center" vertical="center" wrapText="1"/>
    </xf>
    <xf numFmtId="0" fontId="19" fillId="22" borderId="2" xfId="0" applyFont="1" applyFill="1" applyBorder="1" applyAlignment="1">
      <alignment horizontal="center" vertical="center" wrapText="1"/>
    </xf>
    <xf numFmtId="0" fontId="19" fillId="22" borderId="5" xfId="0" applyFont="1" applyFill="1" applyBorder="1" applyAlignment="1">
      <alignment horizontal="center" vertical="center" wrapText="1"/>
    </xf>
    <xf numFmtId="0" fontId="19" fillId="22" borderId="3" xfId="0" applyFont="1" applyFill="1" applyBorder="1" applyAlignment="1">
      <alignment horizontal="center" vertical="center" wrapText="1"/>
    </xf>
    <xf numFmtId="0" fontId="19" fillId="22" borderId="54"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19" fillId="5" borderId="1" xfId="0" applyFont="1" applyFill="1" applyBorder="1" applyAlignment="1">
      <alignment horizontal="center" vertical="center" wrapText="1"/>
    </xf>
    <xf numFmtId="0" fontId="274" fillId="5" borderId="176" xfId="0" applyFont="1" applyFill="1" applyBorder="1" applyAlignment="1">
      <alignment horizontal="center" vertical="center" wrapText="1"/>
    </xf>
    <xf numFmtId="31" fontId="274" fillId="5" borderId="176" xfId="0" applyNumberFormat="1" applyFont="1" applyFill="1" applyBorder="1" applyAlignment="1">
      <alignment horizontal="center" vertical="center" wrapText="1"/>
    </xf>
    <xf numFmtId="0" fontId="19" fillId="5" borderId="1" xfId="2" applyFont="1" applyFill="1" applyBorder="1" applyAlignment="1">
      <alignment horizontal="center" vertical="center" wrapText="1"/>
    </xf>
    <xf numFmtId="0" fontId="274" fillId="25" borderId="178" xfId="0" applyFont="1" applyFill="1" applyBorder="1" applyAlignment="1">
      <alignment horizontal="center" vertical="center" wrapText="1"/>
    </xf>
    <xf numFmtId="31" fontId="274" fillId="25" borderId="178" xfId="0" applyNumberFormat="1" applyFont="1" applyFill="1" applyBorder="1" applyAlignment="1">
      <alignment horizontal="center" vertical="center" wrapText="1"/>
    </xf>
    <xf numFmtId="0" fontId="274" fillId="0" borderId="176" xfId="0" applyFont="1" applyFill="1" applyBorder="1" applyAlignment="1">
      <alignment horizontal="center" vertical="center" wrapText="1"/>
    </xf>
    <xf numFmtId="31" fontId="274" fillId="0" borderId="176" xfId="0" applyNumberFormat="1" applyFont="1" applyFill="1" applyBorder="1" applyAlignment="1">
      <alignment horizontal="center" vertical="center" wrapText="1"/>
    </xf>
    <xf numFmtId="0" fontId="0" fillId="26" borderId="0" xfId="0" applyFill="1">
      <alignment vertical="center"/>
    </xf>
    <xf numFmtId="0" fontId="274" fillId="26" borderId="178" xfId="0" applyFont="1" applyFill="1" applyBorder="1" applyAlignment="1">
      <alignment horizontal="center" vertical="center" wrapText="1"/>
    </xf>
    <xf numFmtId="31" fontId="274" fillId="26" borderId="178" xfId="0" applyNumberFormat="1" applyFont="1" applyFill="1" applyBorder="1" applyAlignment="1">
      <alignment horizontal="center" vertical="center" wrapText="1"/>
    </xf>
    <xf numFmtId="0" fontId="275" fillId="26" borderId="176" xfId="0" applyFont="1" applyFill="1" applyBorder="1" applyAlignment="1">
      <alignment horizontal="center" vertical="center" wrapText="1"/>
    </xf>
    <xf numFmtId="31" fontId="275" fillId="26" borderId="176" xfId="0" applyNumberFormat="1" applyFont="1" applyFill="1" applyBorder="1" applyAlignment="1">
      <alignment horizontal="center" vertical="center" wrapText="1"/>
    </xf>
    <xf numFmtId="0" fontId="274" fillId="5" borderId="178" xfId="0" applyFont="1" applyFill="1" applyBorder="1" applyAlignment="1">
      <alignment horizontal="center" vertical="center" wrapText="1"/>
    </xf>
    <xf numFmtId="31" fontId="274" fillId="5" borderId="178" xfId="0" applyNumberFormat="1" applyFont="1" applyFill="1" applyBorder="1" applyAlignment="1">
      <alignment horizontal="center" vertical="center" wrapText="1"/>
    </xf>
    <xf numFmtId="0" fontId="19" fillId="14" borderId="1" xfId="0" applyFont="1" applyFill="1" applyBorder="1" applyAlignment="1">
      <alignment horizontal="center" vertical="center" wrapText="1"/>
    </xf>
    <xf numFmtId="0" fontId="19" fillId="14" borderId="1" xfId="2" applyFont="1" applyFill="1" applyBorder="1" applyAlignment="1">
      <alignment horizontal="center" vertical="center" wrapText="1"/>
    </xf>
    <xf numFmtId="0" fontId="128" fillId="0" borderId="44" xfId="0" applyFont="1" applyBorder="1" applyAlignment="1" applyProtection="1">
      <alignment horizontal="center" vertical="center" wrapText="1"/>
      <protection locked="0"/>
    </xf>
    <xf numFmtId="0" fontId="51" fillId="2" borderId="3"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49" fontId="128" fillId="0" borderId="7" xfId="0" applyNumberFormat="1" applyFont="1" applyBorder="1" applyAlignment="1" applyProtection="1">
      <alignment horizontal="center" vertical="center" wrapText="1"/>
      <protection locked="0"/>
    </xf>
    <xf numFmtId="9" fontId="0" fillId="0" borderId="0" xfId="0" applyNumberFormat="1">
      <alignment vertical="center"/>
    </xf>
    <xf numFmtId="14" fontId="0" fillId="0" borderId="0" xfId="0" applyNumberFormat="1" applyAlignment="1">
      <alignment horizontal="center" vertical="center"/>
    </xf>
    <xf numFmtId="0" fontId="0" fillId="0" borderId="0" xfId="0" applyAlignment="1">
      <alignment horizontal="center" vertical="center"/>
    </xf>
    <xf numFmtId="9" fontId="0" fillId="0" borderId="0" xfId="0" applyNumberFormat="1" applyAlignment="1">
      <alignment horizontal="center" vertical="center"/>
    </xf>
    <xf numFmtId="49" fontId="19" fillId="5" borderId="1" xfId="0" applyNumberFormat="1" applyFont="1" applyFill="1" applyBorder="1" applyAlignment="1">
      <alignment horizontal="center" vertical="center" wrapText="1"/>
    </xf>
    <xf numFmtId="0" fontId="19" fillId="29" borderId="1" xfId="0" applyFont="1" applyFill="1" applyBorder="1" applyAlignment="1">
      <alignment horizontal="center" vertical="center" wrapText="1"/>
    </xf>
    <xf numFmtId="0" fontId="274" fillId="29" borderId="176" xfId="0" applyFont="1" applyFill="1" applyBorder="1" applyAlignment="1">
      <alignment horizontal="center" vertical="center" wrapText="1"/>
    </xf>
    <xf numFmtId="49" fontId="19" fillId="29" borderId="1" xfId="0" applyNumberFormat="1" applyFont="1" applyFill="1" applyBorder="1" applyAlignment="1">
      <alignment horizontal="center" vertical="center" wrapText="1"/>
    </xf>
    <xf numFmtId="0" fontId="19" fillId="29" borderId="1" xfId="2" applyFont="1" applyFill="1" applyBorder="1" applyAlignment="1">
      <alignment horizontal="center" vertical="center" wrapText="1"/>
    </xf>
    <xf numFmtId="31" fontId="274" fillId="29" borderId="176" xfId="0" applyNumberFormat="1" applyFont="1" applyFill="1" applyBorder="1" applyAlignment="1">
      <alignment horizontal="center" vertical="center" wrapText="1"/>
    </xf>
    <xf numFmtId="0" fontId="275" fillId="29" borderId="176" xfId="0" applyFont="1" applyFill="1" applyBorder="1" applyAlignment="1">
      <alignment horizontal="center" vertical="center" wrapText="1"/>
    </xf>
    <xf numFmtId="31" fontId="275" fillId="29" borderId="176" xfId="0" applyNumberFormat="1" applyFont="1" applyFill="1" applyBorder="1" applyAlignment="1">
      <alignment horizontal="center" vertical="center" wrapText="1"/>
    </xf>
    <xf numFmtId="0" fontId="271" fillId="0" borderId="0" xfId="0" applyFont="1" applyAlignment="1">
      <alignment horizontal="center"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07">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21</xdr:col>
      <xdr:colOff>476250</xdr:colOff>
      <xdr:row>0</xdr:row>
      <xdr:rowOff>114300</xdr:rowOff>
    </xdr:from>
    <xdr:to>
      <xdr:col>31</xdr:col>
      <xdr:colOff>484917</xdr:colOff>
      <xdr:row>47</xdr:row>
      <xdr:rowOff>46562</xdr:rowOff>
    </xdr:to>
    <xdr:pic>
      <xdr:nvPicPr>
        <xdr:cNvPr id="2" name="图片 1">
          <a:extLst>
            <a:ext uri="{FF2B5EF4-FFF2-40B4-BE49-F238E27FC236}">
              <a16:creationId xmlns:a16="http://schemas.microsoft.com/office/drawing/2014/main" id="{5399FD31-B93F-948B-714B-7D158B23AA7F}"/>
            </a:ext>
          </a:extLst>
        </xdr:cNvPr>
        <xdr:cNvPicPr>
          <a:picLocks noChangeAspect="1"/>
        </xdr:cNvPicPr>
      </xdr:nvPicPr>
      <xdr:blipFill>
        <a:blip xmlns:r="http://schemas.openxmlformats.org/officeDocument/2006/relationships" r:embed="rId1"/>
        <a:stretch>
          <a:fillRect/>
        </a:stretch>
      </xdr:blipFill>
      <xdr:spPr>
        <a:xfrm>
          <a:off x="19850100" y="114300"/>
          <a:ext cx="6866667" cy="8504762"/>
        </a:xfrm>
        <a:prstGeom prst="rect">
          <a:avLst/>
        </a:prstGeom>
      </xdr:spPr>
    </xdr:pic>
    <xdr:clientData/>
  </xdr:twoCellAnchor>
  <xdr:twoCellAnchor editAs="oneCell">
    <xdr:from>
      <xdr:col>21</xdr:col>
      <xdr:colOff>95250</xdr:colOff>
      <xdr:row>7</xdr:row>
      <xdr:rowOff>171450</xdr:rowOff>
    </xdr:from>
    <xdr:to>
      <xdr:col>30</xdr:col>
      <xdr:colOff>494479</xdr:colOff>
      <xdr:row>42</xdr:row>
      <xdr:rowOff>151631</xdr:rowOff>
    </xdr:to>
    <xdr:pic>
      <xdr:nvPicPr>
        <xdr:cNvPr id="3" name="图片 2">
          <a:extLst>
            <a:ext uri="{FF2B5EF4-FFF2-40B4-BE49-F238E27FC236}">
              <a16:creationId xmlns:a16="http://schemas.microsoft.com/office/drawing/2014/main" id="{55B58ED9-A116-C381-6836-623B8605A10A}"/>
            </a:ext>
          </a:extLst>
        </xdr:cNvPr>
        <xdr:cNvPicPr>
          <a:picLocks noChangeAspect="1"/>
        </xdr:cNvPicPr>
      </xdr:nvPicPr>
      <xdr:blipFill>
        <a:blip xmlns:r="http://schemas.openxmlformats.org/officeDocument/2006/relationships" r:embed="rId2"/>
        <a:stretch>
          <a:fillRect/>
        </a:stretch>
      </xdr:blipFill>
      <xdr:spPr>
        <a:xfrm>
          <a:off x="19469100" y="1714500"/>
          <a:ext cx="6571429" cy="6152381"/>
        </a:xfrm>
        <a:prstGeom prst="rect">
          <a:avLst/>
        </a:prstGeom>
      </xdr:spPr>
    </xdr:pic>
    <xdr:clientData/>
  </xdr:twoCellAnchor>
  <xdr:twoCellAnchor editAs="oneCell">
    <xdr:from>
      <xdr:col>21</xdr:col>
      <xdr:colOff>333375</xdr:colOff>
      <xdr:row>7</xdr:row>
      <xdr:rowOff>95250</xdr:rowOff>
    </xdr:from>
    <xdr:to>
      <xdr:col>30</xdr:col>
      <xdr:colOff>246889</xdr:colOff>
      <xdr:row>44</xdr:row>
      <xdr:rowOff>75388</xdr:rowOff>
    </xdr:to>
    <xdr:pic>
      <xdr:nvPicPr>
        <xdr:cNvPr id="4" name="图片 3">
          <a:extLst>
            <a:ext uri="{FF2B5EF4-FFF2-40B4-BE49-F238E27FC236}">
              <a16:creationId xmlns:a16="http://schemas.microsoft.com/office/drawing/2014/main" id="{D7DD5726-C9D0-31A9-0B5E-F8E400959352}"/>
            </a:ext>
          </a:extLst>
        </xdr:cNvPr>
        <xdr:cNvPicPr>
          <a:picLocks noChangeAspect="1"/>
        </xdr:cNvPicPr>
      </xdr:nvPicPr>
      <xdr:blipFill>
        <a:blip xmlns:r="http://schemas.openxmlformats.org/officeDocument/2006/relationships" r:embed="rId3"/>
        <a:stretch>
          <a:fillRect/>
        </a:stretch>
      </xdr:blipFill>
      <xdr:spPr>
        <a:xfrm>
          <a:off x="19707225" y="1638300"/>
          <a:ext cx="6085714" cy="6495238"/>
        </a:xfrm>
        <a:prstGeom prst="rect">
          <a:avLst/>
        </a:prstGeom>
      </xdr:spPr>
    </xdr:pic>
    <xdr:clientData/>
  </xdr:twoCellAnchor>
  <xdr:twoCellAnchor editAs="oneCell">
    <xdr:from>
      <xdr:col>27</xdr:col>
      <xdr:colOff>409575</xdr:colOff>
      <xdr:row>0</xdr:row>
      <xdr:rowOff>0</xdr:rowOff>
    </xdr:from>
    <xdr:to>
      <xdr:col>36</xdr:col>
      <xdr:colOff>656423</xdr:colOff>
      <xdr:row>53</xdr:row>
      <xdr:rowOff>17848</xdr:rowOff>
    </xdr:to>
    <xdr:pic>
      <xdr:nvPicPr>
        <xdr:cNvPr id="5" name="图片 4">
          <a:extLst>
            <a:ext uri="{FF2B5EF4-FFF2-40B4-BE49-F238E27FC236}">
              <a16:creationId xmlns:a16="http://schemas.microsoft.com/office/drawing/2014/main" id="{5D818C6A-B5C1-7314-BF98-59F38B934204}"/>
            </a:ext>
          </a:extLst>
        </xdr:cNvPr>
        <xdr:cNvPicPr>
          <a:picLocks noChangeAspect="1"/>
        </xdr:cNvPicPr>
      </xdr:nvPicPr>
      <xdr:blipFill>
        <a:blip xmlns:r="http://schemas.openxmlformats.org/officeDocument/2006/relationships" r:embed="rId4"/>
        <a:stretch>
          <a:fillRect/>
        </a:stretch>
      </xdr:blipFill>
      <xdr:spPr>
        <a:xfrm>
          <a:off x="21326475" y="0"/>
          <a:ext cx="6419048" cy="9619048"/>
        </a:xfrm>
        <a:prstGeom prst="rect">
          <a:avLst/>
        </a:prstGeom>
      </xdr:spPr>
    </xdr:pic>
    <xdr:clientData/>
  </xdr:twoCellAnchor>
  <xdr:twoCellAnchor editAs="oneCell">
    <xdr:from>
      <xdr:col>20</xdr:col>
      <xdr:colOff>590550</xdr:colOff>
      <xdr:row>18</xdr:row>
      <xdr:rowOff>95250</xdr:rowOff>
    </xdr:from>
    <xdr:to>
      <xdr:col>30</xdr:col>
      <xdr:colOff>94455</xdr:colOff>
      <xdr:row>59</xdr:row>
      <xdr:rowOff>46752</xdr:rowOff>
    </xdr:to>
    <xdr:pic>
      <xdr:nvPicPr>
        <xdr:cNvPr id="6" name="图片 5">
          <a:extLst>
            <a:ext uri="{FF2B5EF4-FFF2-40B4-BE49-F238E27FC236}">
              <a16:creationId xmlns:a16="http://schemas.microsoft.com/office/drawing/2014/main" id="{14E2B385-BE12-F208-72A3-E38517A45DB4}"/>
            </a:ext>
          </a:extLst>
        </xdr:cNvPr>
        <xdr:cNvPicPr>
          <a:picLocks noChangeAspect="1"/>
        </xdr:cNvPicPr>
      </xdr:nvPicPr>
      <xdr:blipFill>
        <a:blip xmlns:r="http://schemas.openxmlformats.org/officeDocument/2006/relationships" r:embed="rId5"/>
        <a:stretch>
          <a:fillRect/>
        </a:stretch>
      </xdr:blipFill>
      <xdr:spPr>
        <a:xfrm>
          <a:off x="19278600" y="3695700"/>
          <a:ext cx="6361905" cy="6980952"/>
        </a:xfrm>
        <a:prstGeom prst="rect">
          <a:avLst/>
        </a:prstGeom>
      </xdr:spPr>
    </xdr:pic>
    <xdr:clientData/>
  </xdr:twoCellAnchor>
  <xdr:twoCellAnchor editAs="oneCell">
    <xdr:from>
      <xdr:col>21</xdr:col>
      <xdr:colOff>466725</xdr:colOff>
      <xdr:row>26</xdr:row>
      <xdr:rowOff>9525</xdr:rowOff>
    </xdr:from>
    <xdr:to>
      <xdr:col>30</xdr:col>
      <xdr:colOff>618334</xdr:colOff>
      <xdr:row>61</xdr:row>
      <xdr:rowOff>170680</xdr:rowOff>
    </xdr:to>
    <xdr:pic>
      <xdr:nvPicPr>
        <xdr:cNvPr id="7" name="图片 6">
          <a:extLst>
            <a:ext uri="{FF2B5EF4-FFF2-40B4-BE49-F238E27FC236}">
              <a16:creationId xmlns:a16="http://schemas.microsoft.com/office/drawing/2014/main" id="{8279B77A-5634-E20A-CF2A-3CA2CFE74449}"/>
            </a:ext>
          </a:extLst>
        </xdr:cNvPr>
        <xdr:cNvPicPr>
          <a:picLocks noChangeAspect="1"/>
        </xdr:cNvPicPr>
      </xdr:nvPicPr>
      <xdr:blipFill>
        <a:blip xmlns:r="http://schemas.openxmlformats.org/officeDocument/2006/relationships" r:embed="rId6"/>
        <a:stretch>
          <a:fillRect/>
        </a:stretch>
      </xdr:blipFill>
      <xdr:spPr>
        <a:xfrm>
          <a:off x="19840575" y="4981575"/>
          <a:ext cx="6323809" cy="6161905"/>
        </a:xfrm>
        <a:prstGeom prst="rect">
          <a:avLst/>
        </a:prstGeom>
      </xdr:spPr>
    </xdr:pic>
    <xdr:clientData/>
  </xdr:twoCellAnchor>
  <xdr:twoCellAnchor editAs="oneCell">
    <xdr:from>
      <xdr:col>28</xdr:col>
      <xdr:colOff>39348</xdr:colOff>
      <xdr:row>20</xdr:row>
      <xdr:rowOff>85725</xdr:rowOff>
    </xdr:from>
    <xdr:to>
      <xdr:col>36</xdr:col>
      <xdr:colOff>294504</xdr:colOff>
      <xdr:row>70</xdr:row>
      <xdr:rowOff>36955</xdr:rowOff>
    </xdr:to>
    <xdr:pic>
      <xdr:nvPicPr>
        <xdr:cNvPr id="8" name="图片 7">
          <a:extLst>
            <a:ext uri="{FF2B5EF4-FFF2-40B4-BE49-F238E27FC236}">
              <a16:creationId xmlns:a16="http://schemas.microsoft.com/office/drawing/2014/main" id="{120AE2D2-92F6-84B8-216C-75C4D7A59A1C}"/>
            </a:ext>
          </a:extLst>
        </xdr:cNvPr>
        <xdr:cNvPicPr>
          <a:picLocks noChangeAspect="1"/>
        </xdr:cNvPicPr>
      </xdr:nvPicPr>
      <xdr:blipFill>
        <a:blip xmlns:r="http://schemas.openxmlformats.org/officeDocument/2006/relationships" r:embed="rId7"/>
        <a:stretch>
          <a:fillRect/>
        </a:stretch>
      </xdr:blipFill>
      <xdr:spPr>
        <a:xfrm>
          <a:off x="21842073" y="3857625"/>
          <a:ext cx="5741556" cy="8523730"/>
        </a:xfrm>
        <a:prstGeom prst="rect">
          <a:avLst/>
        </a:prstGeom>
      </xdr:spPr>
    </xdr:pic>
    <xdr:clientData/>
  </xdr:twoCellAnchor>
  <xdr:twoCellAnchor editAs="oneCell">
    <xdr:from>
      <xdr:col>21</xdr:col>
      <xdr:colOff>257175</xdr:colOff>
      <xdr:row>60</xdr:row>
      <xdr:rowOff>104775</xdr:rowOff>
    </xdr:from>
    <xdr:to>
      <xdr:col>30</xdr:col>
      <xdr:colOff>494499</xdr:colOff>
      <xdr:row>120</xdr:row>
      <xdr:rowOff>8251</xdr:rowOff>
    </xdr:to>
    <xdr:pic>
      <xdr:nvPicPr>
        <xdr:cNvPr id="9" name="图片 8">
          <a:extLst>
            <a:ext uri="{FF2B5EF4-FFF2-40B4-BE49-F238E27FC236}">
              <a16:creationId xmlns:a16="http://schemas.microsoft.com/office/drawing/2014/main" id="{4FBE123C-46B4-54F6-9779-BA170A44FCF7}"/>
            </a:ext>
          </a:extLst>
        </xdr:cNvPr>
        <xdr:cNvPicPr>
          <a:picLocks noChangeAspect="1"/>
        </xdr:cNvPicPr>
      </xdr:nvPicPr>
      <xdr:blipFill>
        <a:blip xmlns:r="http://schemas.openxmlformats.org/officeDocument/2006/relationships" r:embed="rId8"/>
        <a:stretch>
          <a:fillRect/>
        </a:stretch>
      </xdr:blipFill>
      <xdr:spPr>
        <a:xfrm>
          <a:off x="17259300" y="10906125"/>
          <a:ext cx="6409524" cy="10190476"/>
        </a:xfrm>
        <a:prstGeom prst="rect">
          <a:avLst/>
        </a:prstGeom>
      </xdr:spPr>
    </xdr:pic>
    <xdr:clientData/>
  </xdr:twoCellAnchor>
  <xdr:twoCellAnchor editAs="oneCell">
    <xdr:from>
      <xdr:col>29</xdr:col>
      <xdr:colOff>657225</xdr:colOff>
      <xdr:row>69</xdr:row>
      <xdr:rowOff>104775</xdr:rowOff>
    </xdr:from>
    <xdr:to>
      <xdr:col>40</xdr:col>
      <xdr:colOff>494377</xdr:colOff>
      <xdr:row>90</xdr:row>
      <xdr:rowOff>142420</xdr:rowOff>
    </xdr:to>
    <xdr:pic>
      <xdr:nvPicPr>
        <xdr:cNvPr id="10" name="图片 9">
          <a:extLst>
            <a:ext uri="{FF2B5EF4-FFF2-40B4-BE49-F238E27FC236}">
              <a16:creationId xmlns:a16="http://schemas.microsoft.com/office/drawing/2014/main" id="{CE091295-8CF6-7E02-AC9A-B0FEDED9C6AE}"/>
            </a:ext>
          </a:extLst>
        </xdr:cNvPr>
        <xdr:cNvPicPr>
          <a:picLocks noChangeAspect="1"/>
        </xdr:cNvPicPr>
      </xdr:nvPicPr>
      <xdr:blipFill>
        <a:blip xmlns:r="http://schemas.openxmlformats.org/officeDocument/2006/relationships" r:embed="rId9"/>
        <a:stretch>
          <a:fillRect/>
        </a:stretch>
      </xdr:blipFill>
      <xdr:spPr>
        <a:xfrm>
          <a:off x="23145750" y="12449175"/>
          <a:ext cx="7380952" cy="3638095"/>
        </a:xfrm>
        <a:prstGeom prst="rect">
          <a:avLst/>
        </a:prstGeom>
      </xdr:spPr>
    </xdr:pic>
    <xdr:clientData/>
  </xdr:twoCellAnchor>
  <xdr:twoCellAnchor editAs="oneCell">
    <xdr:from>
      <xdr:col>30</xdr:col>
      <xdr:colOff>123825</xdr:colOff>
      <xdr:row>89</xdr:row>
      <xdr:rowOff>38100</xdr:rowOff>
    </xdr:from>
    <xdr:to>
      <xdr:col>39</xdr:col>
      <xdr:colOff>180196</xdr:colOff>
      <xdr:row>117</xdr:row>
      <xdr:rowOff>170833</xdr:rowOff>
    </xdr:to>
    <xdr:pic>
      <xdr:nvPicPr>
        <xdr:cNvPr id="11" name="图片 10">
          <a:extLst>
            <a:ext uri="{FF2B5EF4-FFF2-40B4-BE49-F238E27FC236}">
              <a16:creationId xmlns:a16="http://schemas.microsoft.com/office/drawing/2014/main" id="{411A2BD4-5F1A-CBCC-4F7E-1F0E2C0E2D53}"/>
            </a:ext>
          </a:extLst>
        </xdr:cNvPr>
        <xdr:cNvPicPr>
          <a:picLocks noChangeAspect="1"/>
        </xdr:cNvPicPr>
      </xdr:nvPicPr>
      <xdr:blipFill>
        <a:blip xmlns:r="http://schemas.openxmlformats.org/officeDocument/2006/relationships" r:embed="rId10"/>
        <a:stretch>
          <a:fillRect/>
        </a:stretch>
      </xdr:blipFill>
      <xdr:spPr>
        <a:xfrm>
          <a:off x="23298150" y="15811500"/>
          <a:ext cx="6228571" cy="4933333"/>
        </a:xfrm>
        <a:prstGeom prst="rect">
          <a:avLst/>
        </a:prstGeom>
      </xdr:spPr>
    </xdr:pic>
    <xdr:clientData/>
  </xdr:twoCellAnchor>
  <xdr:twoCellAnchor editAs="oneCell">
    <xdr:from>
      <xdr:col>11</xdr:col>
      <xdr:colOff>85725</xdr:colOff>
      <xdr:row>23</xdr:row>
      <xdr:rowOff>142875</xdr:rowOff>
    </xdr:from>
    <xdr:to>
      <xdr:col>19</xdr:col>
      <xdr:colOff>532483</xdr:colOff>
      <xdr:row>56</xdr:row>
      <xdr:rowOff>56454</xdr:rowOff>
    </xdr:to>
    <xdr:pic>
      <xdr:nvPicPr>
        <xdr:cNvPr id="12" name="图片 11">
          <a:extLst>
            <a:ext uri="{FF2B5EF4-FFF2-40B4-BE49-F238E27FC236}">
              <a16:creationId xmlns:a16="http://schemas.microsoft.com/office/drawing/2014/main" id="{CC2C6764-05B6-412C-38A0-1CE87C73D97E}"/>
            </a:ext>
          </a:extLst>
        </xdr:cNvPr>
        <xdr:cNvPicPr>
          <a:picLocks noChangeAspect="1"/>
        </xdr:cNvPicPr>
      </xdr:nvPicPr>
      <xdr:blipFill>
        <a:blip xmlns:r="http://schemas.openxmlformats.org/officeDocument/2006/relationships" r:embed="rId11"/>
        <a:stretch>
          <a:fillRect/>
        </a:stretch>
      </xdr:blipFill>
      <xdr:spPr>
        <a:xfrm>
          <a:off x="11201400" y="4600575"/>
          <a:ext cx="7333333" cy="5571429"/>
        </a:xfrm>
        <a:prstGeom prst="rect">
          <a:avLst/>
        </a:prstGeom>
      </xdr:spPr>
    </xdr:pic>
    <xdr:clientData/>
  </xdr:twoCellAnchor>
  <xdr:twoCellAnchor editAs="oneCell">
    <xdr:from>
      <xdr:col>0</xdr:col>
      <xdr:colOff>542546</xdr:colOff>
      <xdr:row>82</xdr:row>
      <xdr:rowOff>38100</xdr:rowOff>
    </xdr:from>
    <xdr:to>
      <xdr:col>7</xdr:col>
      <xdr:colOff>904875</xdr:colOff>
      <xdr:row>117</xdr:row>
      <xdr:rowOff>162734</xdr:rowOff>
    </xdr:to>
    <xdr:pic>
      <xdr:nvPicPr>
        <xdr:cNvPr id="14" name="图片 13">
          <a:extLst>
            <a:ext uri="{FF2B5EF4-FFF2-40B4-BE49-F238E27FC236}">
              <a16:creationId xmlns:a16="http://schemas.microsoft.com/office/drawing/2014/main" id="{5D764B9A-2A83-D16F-E369-8D26032BA89C}"/>
            </a:ext>
          </a:extLst>
        </xdr:cNvPr>
        <xdr:cNvPicPr>
          <a:picLocks noChangeAspect="1"/>
        </xdr:cNvPicPr>
      </xdr:nvPicPr>
      <xdr:blipFill>
        <a:blip xmlns:r="http://schemas.openxmlformats.org/officeDocument/2006/relationships" r:embed="rId12"/>
        <a:stretch>
          <a:fillRect/>
        </a:stretch>
      </xdr:blipFill>
      <xdr:spPr>
        <a:xfrm>
          <a:off x="542546" y="14611350"/>
          <a:ext cx="5763004" cy="6125384"/>
        </a:xfrm>
        <a:prstGeom prst="rect">
          <a:avLst/>
        </a:prstGeom>
      </xdr:spPr>
    </xdr:pic>
    <xdr:clientData/>
  </xdr:twoCellAnchor>
  <xdr:twoCellAnchor editAs="oneCell">
    <xdr:from>
      <xdr:col>0</xdr:col>
      <xdr:colOff>0</xdr:colOff>
      <xdr:row>59</xdr:row>
      <xdr:rowOff>38247</xdr:rowOff>
    </xdr:from>
    <xdr:to>
      <xdr:col>6</xdr:col>
      <xdr:colOff>475092</xdr:colOff>
      <xdr:row>85</xdr:row>
      <xdr:rowOff>103765</xdr:rowOff>
    </xdr:to>
    <xdr:pic>
      <xdr:nvPicPr>
        <xdr:cNvPr id="15" name="图片 14">
          <a:extLst>
            <a:ext uri="{FF2B5EF4-FFF2-40B4-BE49-F238E27FC236}">
              <a16:creationId xmlns:a16="http://schemas.microsoft.com/office/drawing/2014/main" id="{8D746711-6A89-D748-258C-965A3CF43C63}"/>
            </a:ext>
          </a:extLst>
        </xdr:cNvPr>
        <xdr:cNvPicPr>
          <a:picLocks noChangeAspect="1"/>
        </xdr:cNvPicPr>
      </xdr:nvPicPr>
      <xdr:blipFill>
        <a:blip xmlns:r="http://schemas.openxmlformats.org/officeDocument/2006/relationships" r:embed="rId13"/>
        <a:stretch>
          <a:fillRect/>
        </a:stretch>
      </xdr:blipFill>
      <xdr:spPr>
        <a:xfrm>
          <a:off x="0" y="10668147"/>
          <a:ext cx="5189967" cy="4523218"/>
        </a:xfrm>
        <a:prstGeom prst="rect">
          <a:avLst/>
        </a:prstGeom>
      </xdr:spPr>
    </xdr:pic>
    <xdr:clientData/>
  </xdr:twoCellAnchor>
  <xdr:twoCellAnchor editAs="oneCell">
    <xdr:from>
      <xdr:col>0</xdr:col>
      <xdr:colOff>28575</xdr:colOff>
      <xdr:row>81</xdr:row>
      <xdr:rowOff>123825</xdr:rowOff>
    </xdr:from>
    <xdr:to>
      <xdr:col>7</xdr:col>
      <xdr:colOff>1013425</xdr:colOff>
      <xdr:row>114</xdr:row>
      <xdr:rowOff>65589</xdr:rowOff>
    </xdr:to>
    <xdr:pic>
      <xdr:nvPicPr>
        <xdr:cNvPr id="16" name="图片 15">
          <a:extLst>
            <a:ext uri="{FF2B5EF4-FFF2-40B4-BE49-F238E27FC236}">
              <a16:creationId xmlns:a16="http://schemas.microsoft.com/office/drawing/2014/main" id="{026A46AA-A8CD-409C-3572-B28C6C42CC8C}"/>
            </a:ext>
          </a:extLst>
        </xdr:cNvPr>
        <xdr:cNvPicPr>
          <a:picLocks noChangeAspect="1"/>
        </xdr:cNvPicPr>
      </xdr:nvPicPr>
      <xdr:blipFill>
        <a:blip xmlns:r="http://schemas.openxmlformats.org/officeDocument/2006/relationships" r:embed="rId14"/>
        <a:stretch>
          <a:fillRect/>
        </a:stretch>
      </xdr:blipFill>
      <xdr:spPr>
        <a:xfrm>
          <a:off x="28575" y="14525625"/>
          <a:ext cx="6385525" cy="5599614"/>
        </a:xfrm>
        <a:prstGeom prst="rect">
          <a:avLst/>
        </a:prstGeom>
      </xdr:spPr>
    </xdr:pic>
    <xdr:clientData/>
  </xdr:twoCellAnchor>
  <xdr:twoCellAnchor editAs="oneCell">
    <xdr:from>
      <xdr:col>0</xdr:col>
      <xdr:colOff>609461</xdr:colOff>
      <xdr:row>66</xdr:row>
      <xdr:rowOff>161924</xdr:rowOff>
    </xdr:from>
    <xdr:to>
      <xdr:col>7</xdr:col>
      <xdr:colOff>142000</xdr:colOff>
      <xdr:row>104</xdr:row>
      <xdr:rowOff>103629</xdr:rowOff>
    </xdr:to>
    <xdr:pic>
      <xdr:nvPicPr>
        <xdr:cNvPr id="17" name="图片 16">
          <a:extLst>
            <a:ext uri="{FF2B5EF4-FFF2-40B4-BE49-F238E27FC236}">
              <a16:creationId xmlns:a16="http://schemas.microsoft.com/office/drawing/2014/main" id="{3B7C4FC4-5E87-33BB-1193-7F50F38E70C9}"/>
            </a:ext>
          </a:extLst>
        </xdr:cNvPr>
        <xdr:cNvPicPr>
          <a:picLocks noChangeAspect="1"/>
        </xdr:cNvPicPr>
      </xdr:nvPicPr>
      <xdr:blipFill>
        <a:blip xmlns:r="http://schemas.openxmlformats.org/officeDocument/2006/relationships" r:embed="rId15"/>
        <a:stretch>
          <a:fillRect/>
        </a:stretch>
      </xdr:blipFill>
      <xdr:spPr>
        <a:xfrm>
          <a:off x="609461" y="11991974"/>
          <a:ext cx="4933214" cy="6456805"/>
        </a:xfrm>
        <a:prstGeom prst="rect">
          <a:avLst/>
        </a:prstGeom>
      </xdr:spPr>
    </xdr:pic>
    <xdr:clientData/>
  </xdr:twoCellAnchor>
  <xdr:twoCellAnchor editAs="oneCell">
    <xdr:from>
      <xdr:col>12</xdr:col>
      <xdr:colOff>171450</xdr:colOff>
      <xdr:row>24</xdr:row>
      <xdr:rowOff>142875</xdr:rowOff>
    </xdr:from>
    <xdr:to>
      <xdr:col>20</xdr:col>
      <xdr:colOff>418233</xdr:colOff>
      <xdr:row>34</xdr:row>
      <xdr:rowOff>104565</xdr:rowOff>
    </xdr:to>
    <xdr:pic>
      <xdr:nvPicPr>
        <xdr:cNvPr id="18" name="图片 17">
          <a:extLst>
            <a:ext uri="{FF2B5EF4-FFF2-40B4-BE49-F238E27FC236}">
              <a16:creationId xmlns:a16="http://schemas.microsoft.com/office/drawing/2014/main" id="{850BA367-F23E-B2D5-9A68-8E54E87C13A5}"/>
            </a:ext>
          </a:extLst>
        </xdr:cNvPr>
        <xdr:cNvPicPr>
          <a:picLocks noChangeAspect="1"/>
        </xdr:cNvPicPr>
      </xdr:nvPicPr>
      <xdr:blipFill>
        <a:blip xmlns:r="http://schemas.openxmlformats.org/officeDocument/2006/relationships" r:embed="rId16"/>
        <a:stretch>
          <a:fillRect/>
        </a:stretch>
      </xdr:blipFill>
      <xdr:spPr>
        <a:xfrm>
          <a:off x="12172950" y="4772025"/>
          <a:ext cx="6933333" cy="1676190"/>
        </a:xfrm>
        <a:prstGeom prst="rect">
          <a:avLst/>
        </a:prstGeom>
      </xdr:spPr>
    </xdr:pic>
    <xdr:clientData/>
  </xdr:twoCellAnchor>
  <xdr:twoCellAnchor editAs="oneCell">
    <xdr:from>
      <xdr:col>16</xdr:col>
      <xdr:colOff>485775</xdr:colOff>
      <xdr:row>75</xdr:row>
      <xdr:rowOff>57150</xdr:rowOff>
    </xdr:from>
    <xdr:to>
      <xdr:col>25</xdr:col>
      <xdr:colOff>408763</xdr:colOff>
      <xdr:row>119</xdr:row>
      <xdr:rowOff>141921</xdr:rowOff>
    </xdr:to>
    <xdr:pic>
      <xdr:nvPicPr>
        <xdr:cNvPr id="19" name="图片 18">
          <a:extLst>
            <a:ext uri="{FF2B5EF4-FFF2-40B4-BE49-F238E27FC236}">
              <a16:creationId xmlns:a16="http://schemas.microsoft.com/office/drawing/2014/main" id="{4379B79B-723B-0037-8B73-FEE45A87532F}"/>
            </a:ext>
          </a:extLst>
        </xdr:cNvPr>
        <xdr:cNvPicPr>
          <a:picLocks noChangeAspect="1"/>
        </xdr:cNvPicPr>
      </xdr:nvPicPr>
      <xdr:blipFill>
        <a:blip xmlns:r="http://schemas.openxmlformats.org/officeDocument/2006/relationships" r:embed="rId17"/>
        <a:stretch>
          <a:fillRect/>
        </a:stretch>
      </xdr:blipFill>
      <xdr:spPr>
        <a:xfrm>
          <a:off x="14173200" y="13430250"/>
          <a:ext cx="6495238" cy="7628571"/>
        </a:xfrm>
        <a:prstGeom prst="rect">
          <a:avLst/>
        </a:prstGeom>
      </xdr:spPr>
    </xdr:pic>
    <xdr:clientData/>
  </xdr:twoCellAnchor>
  <xdr:twoCellAnchor editAs="oneCell">
    <xdr:from>
      <xdr:col>7</xdr:col>
      <xdr:colOff>1295400</xdr:colOff>
      <xdr:row>22</xdr:row>
      <xdr:rowOff>152400</xdr:rowOff>
    </xdr:from>
    <xdr:to>
      <xdr:col>13</xdr:col>
      <xdr:colOff>132484</xdr:colOff>
      <xdr:row>37</xdr:row>
      <xdr:rowOff>66364</xdr:rowOff>
    </xdr:to>
    <xdr:pic>
      <xdr:nvPicPr>
        <xdr:cNvPr id="13" name="图片 12">
          <a:extLst>
            <a:ext uri="{FF2B5EF4-FFF2-40B4-BE49-F238E27FC236}">
              <a16:creationId xmlns:a16="http://schemas.microsoft.com/office/drawing/2014/main" id="{8CDA1903-3821-97E2-2573-4767E7B1F18B}"/>
            </a:ext>
          </a:extLst>
        </xdr:cNvPr>
        <xdr:cNvPicPr>
          <a:picLocks noChangeAspect="1"/>
        </xdr:cNvPicPr>
      </xdr:nvPicPr>
      <xdr:blipFill>
        <a:blip xmlns:r="http://schemas.openxmlformats.org/officeDocument/2006/relationships" r:embed="rId18"/>
        <a:stretch>
          <a:fillRect/>
        </a:stretch>
      </xdr:blipFill>
      <xdr:spPr>
        <a:xfrm>
          <a:off x="6696075" y="4438650"/>
          <a:ext cx="6923809" cy="2485714"/>
        </a:xfrm>
        <a:prstGeom prst="rect">
          <a:avLst/>
        </a:prstGeom>
      </xdr:spPr>
    </xdr:pic>
    <xdr:clientData/>
  </xdr:twoCellAnchor>
  <xdr:twoCellAnchor editAs="oneCell">
    <xdr:from>
      <xdr:col>7</xdr:col>
      <xdr:colOff>1238250</xdr:colOff>
      <xdr:row>35</xdr:row>
      <xdr:rowOff>123825</xdr:rowOff>
    </xdr:from>
    <xdr:to>
      <xdr:col>13</xdr:col>
      <xdr:colOff>294382</xdr:colOff>
      <xdr:row>73</xdr:row>
      <xdr:rowOff>142058</xdr:rowOff>
    </xdr:to>
    <xdr:pic>
      <xdr:nvPicPr>
        <xdr:cNvPr id="20" name="图片 19">
          <a:extLst>
            <a:ext uri="{FF2B5EF4-FFF2-40B4-BE49-F238E27FC236}">
              <a16:creationId xmlns:a16="http://schemas.microsoft.com/office/drawing/2014/main" id="{AA41EDB8-6F75-F881-923B-D4E195034E62}"/>
            </a:ext>
          </a:extLst>
        </xdr:cNvPr>
        <xdr:cNvPicPr>
          <a:picLocks noChangeAspect="1"/>
        </xdr:cNvPicPr>
      </xdr:nvPicPr>
      <xdr:blipFill>
        <a:blip xmlns:r="http://schemas.openxmlformats.org/officeDocument/2006/relationships" r:embed="rId19"/>
        <a:stretch>
          <a:fillRect/>
        </a:stretch>
      </xdr:blipFill>
      <xdr:spPr>
        <a:xfrm>
          <a:off x="6638925" y="6638925"/>
          <a:ext cx="7142857" cy="65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381000</xdr:colOff>
      <xdr:row>34</xdr:row>
      <xdr:rowOff>183763</xdr:rowOff>
    </xdr:from>
    <xdr:to>
      <xdr:col>25</xdr:col>
      <xdr:colOff>485775</xdr:colOff>
      <xdr:row>42</xdr:row>
      <xdr:rowOff>703922</xdr:rowOff>
    </xdr:to>
    <xdr:pic>
      <xdr:nvPicPr>
        <xdr:cNvPr id="2" name="图片 1">
          <a:extLst>
            <a:ext uri="{FF2B5EF4-FFF2-40B4-BE49-F238E27FC236}">
              <a16:creationId xmlns:a16="http://schemas.microsoft.com/office/drawing/2014/main" id="{3D1EE911-32EA-C0F9-E8FA-FDCD9D86CF0A}"/>
            </a:ext>
          </a:extLst>
        </xdr:cNvPr>
        <xdr:cNvPicPr>
          <a:picLocks noChangeAspect="1"/>
        </xdr:cNvPicPr>
      </xdr:nvPicPr>
      <xdr:blipFill>
        <a:blip xmlns:r="http://schemas.openxmlformats.org/officeDocument/2006/relationships" r:embed="rId1"/>
        <a:stretch>
          <a:fillRect/>
        </a:stretch>
      </xdr:blipFill>
      <xdr:spPr>
        <a:xfrm>
          <a:off x="6553200" y="14909413"/>
          <a:ext cx="10048875" cy="59303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23425;\2.&#32508;&#21512;\4.&#20854;&#20182;\2021\2021-1-0560&#38376;&#22836;&#27807;&#35199;&#23665;&#21360;&#20849;&#26377;&#20135;&#26435;\F02&#19987;&#23478;&#24847;&#35265;&#20462;&#25913;\&#27979;&#31639;-&#20849;&#26377;&#20135;&#26435;-10.19.xls" TargetMode="External"/><Relationship Id="rId1" Type="http://schemas.openxmlformats.org/officeDocument/2006/relationships/externalLinkPath" Target="/&#23425;/2.&#32508;&#21512;/4.&#20854;&#20182;/2021/2021-1-0560&#38376;&#22836;&#27807;&#35199;&#23665;&#21360;&#20849;&#26377;&#20135;&#26435;/F02&#19987;&#23478;&#24847;&#35265;&#20462;&#25913;/&#27979;&#31639;-&#20849;&#26377;&#20135;&#26435;-10.1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Administrator\AppData\Local\Temp\MicrosoftEdgeDownloads\27205851-14ce-4c6c-9414-96ee82492fac\F04&#21271;&#20140;&#24066;&#38376;&#22836;&#27807;&#21306;&#27704;&#23450;&#38215;&#26361;&#21508;&#24196;&#26725;&#20849;&#26377;&#20135;&#26435;-&#26472;&#32418;&#33521;20190917-141959.xls" TargetMode="External"/><Relationship Id="rId1" Type="http://schemas.openxmlformats.org/officeDocument/2006/relationships/externalLinkPath" Target="file:///C:\Users\Administrator\AppData\Local\Temp\MicrosoftEdgeDownloads\27205851-14ce-4c6c-9414-96ee82492fac\F04&#21271;&#20140;&#24066;&#38376;&#22836;&#27807;&#21306;&#27704;&#23450;&#38215;&#26361;&#21508;&#24196;&#26725;&#20849;&#26377;&#20135;&#26435;-&#26472;&#32418;&#33521;20190917-14195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楼层测算"/>
      <sheetName val="项目基本情况"/>
      <sheetName val="案例整理"/>
      <sheetName val="比较法 (住宅) 估价对象"/>
      <sheetName val="可比案例1比较法-丽湾"/>
      <sheetName val="可比案例2比较法-惠民家园"/>
      <sheetName val="可比案例3比较法-皓月园"/>
      <sheetName val="系统读取表"/>
      <sheetName val="可比案例4"/>
      <sheetName val="建委网站及中指水平"/>
      <sheetName val="剩余年限"/>
      <sheetName val="低价格案例"/>
      <sheetName val="面积统计"/>
    </sheetNames>
    <sheetDataSet>
      <sheetData sheetId="0">
        <row r="2">
          <cell r="K2" t="str">
            <v>精装修</v>
          </cell>
          <cell r="L2" t="str">
            <v>底层</v>
          </cell>
          <cell r="M2" t="str">
            <v>有</v>
          </cell>
          <cell r="N2" t="str">
            <v>商品房</v>
          </cell>
        </row>
        <row r="3">
          <cell r="K3" t="str">
            <v>普通装修</v>
          </cell>
          <cell r="L3" t="str">
            <v>低楼层</v>
          </cell>
          <cell r="M3" t="str">
            <v>无</v>
          </cell>
          <cell r="N3" t="str">
            <v>已购公房</v>
          </cell>
        </row>
        <row r="4">
          <cell r="K4" t="str">
            <v>简单装修</v>
          </cell>
          <cell r="L4" t="str">
            <v>中楼层</v>
          </cell>
          <cell r="N4" t="str">
            <v>经济适用房</v>
          </cell>
        </row>
        <row r="5">
          <cell r="K5" t="str">
            <v>毛坯</v>
          </cell>
          <cell r="L5" t="str">
            <v>高楼层</v>
          </cell>
          <cell r="N5" t="str">
            <v>限价房</v>
          </cell>
        </row>
        <row r="6">
          <cell r="L6" t="str">
            <v>顶层</v>
          </cell>
          <cell r="N6" t="str">
            <v>自住房</v>
          </cell>
        </row>
        <row r="7">
          <cell r="N7" t="str">
            <v>回迁房</v>
          </cell>
        </row>
        <row r="117">
          <cell r="A117" t="str">
            <v>东</v>
          </cell>
        </row>
        <row r="118">
          <cell r="A118" t="str">
            <v>南</v>
          </cell>
        </row>
        <row r="119">
          <cell r="A119" t="str">
            <v>西</v>
          </cell>
        </row>
        <row r="120">
          <cell r="A120" t="str">
            <v>北</v>
          </cell>
        </row>
        <row r="121">
          <cell r="A121" t="str">
            <v>东南</v>
          </cell>
        </row>
        <row r="122">
          <cell r="A122" t="str">
            <v>西南</v>
          </cell>
        </row>
        <row r="123">
          <cell r="A123" t="str">
            <v>东北</v>
          </cell>
        </row>
        <row r="124">
          <cell r="A124" t="str">
            <v>西北</v>
          </cell>
        </row>
        <row r="125">
          <cell r="A125" t="str">
            <v>东西</v>
          </cell>
        </row>
        <row r="126">
          <cell r="A126" t="str">
            <v>南北</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楼层测算"/>
      <sheetName val="项目基本情况"/>
      <sheetName val="案例整理"/>
      <sheetName val="比较法 (住宅) 估价对象"/>
      <sheetName val="可比案例1比较法"/>
      <sheetName val="可比案例2比较法"/>
      <sheetName val="可比案例3比较法"/>
      <sheetName val="系统读取表"/>
      <sheetName val="可比案例4"/>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受贵公司委托，我公司对进行了预评估。</v>
      </c>
    </row>
    <row r="7" spans="1:2">
      <c r="A7" s="1119" t="s">
        <v>566</v>
      </c>
      <c r="B7" s="1120" t="e">
        <f>'预评函-1'!A7</f>
        <v>#DIV/0!</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e">
        <f>'预评函-1'!A10</f>
        <v>#DIV/0!</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（评估专业人员实地查勘之日）</v>
      </c>
    </row>
    <row r="13" spans="1:2">
      <c r="A13" s="1119" t="s">
        <v>529</v>
      </c>
      <c r="B13" s="1120" t="str">
        <f>'预评函-1'!A18</f>
        <v>本次估价的“房地产价值”是指在正常市场情况下，在价值时点，估价对象规划用途为，土地取得方式为出让，出让国有建设用地使用权剩余土地使用年限为，假定未设立法定优先受偿款下的房地产市场价值。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0</v>
      </c>
    </row>
    <row r="44" spans="1:2">
      <c r="A44" s="1119" t="s">
        <v>575</v>
      </c>
      <c r="B44" s="1120" t="str">
        <f>'预评函-3'!C2</f>
        <v>(分摊)土地面积</v>
      </c>
    </row>
    <row r="45" spans="1:2">
      <c r="A45" s="1119" t="s">
        <v>547</v>
      </c>
      <c r="B45" s="1120" t="e">
        <f>'预评函-3'!C4</f>
        <v>#DIV/0!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5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7"/>
      <c r="B54" s="1447" t="s">
        <v>385</v>
      </c>
      <c r="C54" s="1445" t="s">
        <v>583</v>
      </c>
    </row>
    <row r="55" spans="1:4">
      <c r="A55" s="3257"/>
      <c r="B55" s="1447" t="s">
        <v>386</v>
      </c>
      <c r="C55" s="1445" t="s">
        <v>584</v>
      </c>
    </row>
    <row r="56" spans="1:4">
      <c r="A56" s="3257"/>
      <c r="B56" s="1447" t="s">
        <v>387</v>
      </c>
      <c r="C56" s="1445" t="s">
        <v>588</v>
      </c>
    </row>
    <row r="57" spans="1:4">
      <c r="A57" s="325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58" t="s">
        <v>2580</v>
      </c>
      <c r="J2" s="3258"/>
      <c r="K2" s="3258"/>
      <c r="L2" s="3258"/>
      <c r="M2" s="3258"/>
      <c r="N2" s="3258"/>
      <c r="O2" s="3258"/>
      <c r="P2" s="3258"/>
      <c r="Q2" s="3258"/>
      <c r="R2" s="3258"/>
    </row>
    <row r="3" spans="1:18">
      <c r="A3" s="2763" t="s">
        <v>2501</v>
      </c>
      <c r="B3" s="2764">
        <f>项目基本情况!D3</f>
        <v>0</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40</v>
      </c>
      <c r="D5" s="2768">
        <f>IF(ISERROR(ROUND(POWER(1+E5,A5-C5)*(POWER(1+E5,C5)-1)/(POWER(1+E5,A5)-1),3)),0,ROUND(POWER(1+E5,A5-C5)*(POWER(1+E5,C5)-1)/(POWER(1+E5,A5)-1),4))</f>
        <v>1</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50</v>
      </c>
      <c r="D6" s="2768">
        <f>IF(ISERROR(ROUND(POWER(1+E6,A6-C6)*(POWER(1+E6,C6)-1)/(POWER(1+E6,A6)-1),3)),0,ROUND(POWER(1+E6,A6-C6)*(POWER(1+E6,C6)-1)/(POWER(1+E6,A6)-1),4))</f>
        <v>1</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70</v>
      </c>
      <c r="D7" s="2768">
        <f>IF(ISERROR(ROUND(POWER(1+E7,A7-C7)*(POWER(1+E7,C7)-1)/(POWER(1+E7,A7)-1),3)),0,ROUND(POWER(1+E7,A7-C7)*(POWER(1+E7,C7)-1)/(POWER(1+E7,A7)-1),4))</f>
        <v>1</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Q33" sqref="Q3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66" t="str">
        <f>IF(B10="北京市","北京市",C10)&amp;F10&amp;IF(结果表!G1="在建","出让国有建设用地使用权及在建建筑物",IF(结果表!G1="土地","出让国有建设用地使用权",))&amp;B9&amp;"预评估"</f>
        <v>预评估</v>
      </c>
      <c r="C1" s="3267"/>
      <c r="D1" s="3267"/>
      <c r="E1" s="3267"/>
      <c r="F1" s="3267"/>
      <c r="G1" s="3267"/>
      <c r="H1" s="3267"/>
      <c r="I1" s="3268"/>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2170</v>
      </c>
      <c r="B3" s="2185"/>
      <c r="C3" s="2186" t="s">
        <v>2171</v>
      </c>
      <c r="D3" s="2185"/>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c r="C8" s="2201"/>
      <c r="D8" s="3269" t="s">
        <v>2177</v>
      </c>
      <c r="E8" s="2202"/>
      <c r="F8" s="2203"/>
      <c r="G8" s="2442"/>
      <c r="H8" s="2442"/>
      <c r="I8" s="2442"/>
      <c r="J8" s="2245"/>
      <c r="K8" s="2400"/>
      <c r="L8" s="2399"/>
      <c r="M8" s="2399"/>
      <c r="N8" s="2245"/>
      <c r="O8" s="1670"/>
      <c r="P8" s="2245"/>
      <c r="Q8" s="2245"/>
      <c r="R8" s="2245"/>
    </row>
    <row r="9" spans="1:30" ht="13.5" thickBot="1">
      <c r="A9" s="2204" t="s">
        <v>2178</v>
      </c>
      <c r="B9" s="2205"/>
      <c r="C9" s="2206"/>
      <c r="D9" s="3270"/>
      <c r="E9" s="2205"/>
      <c r="F9" s="2207"/>
      <c r="G9" s="2443"/>
      <c r="H9" s="2443"/>
      <c r="I9" s="2443"/>
      <c r="J9" s="2245"/>
      <c r="K9" s="2402"/>
      <c r="L9" s="2399"/>
      <c r="M9" s="2399"/>
      <c r="N9" s="2245"/>
      <c r="O9" s="1670"/>
      <c r="P9" s="2245"/>
      <c r="Q9" s="2245"/>
      <c r="R9" s="2245"/>
    </row>
    <row r="10" spans="1:30" ht="13.5" thickTop="1">
      <c r="A10" s="2208" t="s">
        <v>2179</v>
      </c>
      <c r="B10" s="2209"/>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3330</v>
      </c>
      <c r="B13" s="2218" t="s">
        <v>2190</v>
      </c>
      <c r="C13" s="803"/>
      <c r="D13" s="803"/>
      <c r="E13" s="803"/>
      <c r="F13" s="803"/>
      <c r="G13" s="803"/>
      <c r="H13" s="803"/>
      <c r="I13" s="803"/>
      <c r="J13" s="2803"/>
      <c r="K13" s="2399"/>
      <c r="L13" s="2399"/>
      <c r="M13" s="2245"/>
      <c r="N13" s="1670"/>
      <c r="O13" s="2245"/>
      <c r="P13" s="2245"/>
      <c r="Q13" s="2245"/>
      <c r="AD13" s="1618"/>
    </row>
    <row r="14" spans="1:30">
      <c r="A14" s="1018"/>
      <c r="B14" s="2218" t="s">
        <v>2191</v>
      </c>
      <c r="C14" s="2219"/>
      <c r="D14" s="2219"/>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76"/>
      <c r="C16" s="3277"/>
      <c r="D16" s="3278"/>
      <c r="E16" s="2222" t="s">
        <v>2194</v>
      </c>
      <c r="F16" s="3279"/>
      <c r="G16" s="3280"/>
      <c r="H16" s="3280"/>
      <c r="I16" s="3281"/>
      <c r="J16" s="2245"/>
      <c r="K16" s="2403"/>
      <c r="L16" s="1670"/>
      <c r="M16" s="1670"/>
      <c r="N16" s="2245"/>
      <c r="O16" s="1670"/>
      <c r="P16" s="2245"/>
      <c r="Q16" s="2245"/>
      <c r="R16" s="2245"/>
    </row>
    <row r="17" spans="1:28">
      <c r="A17" s="305" t="s">
        <v>2195</v>
      </c>
      <c r="B17" s="294" t="s">
        <v>2196</v>
      </c>
      <c r="C17" s="8">
        <f>'数据-汇总表'!E3</f>
        <v>0</v>
      </c>
      <c r="D17" s="1256" t="s">
        <v>2197</v>
      </c>
      <c r="E17" s="3282" t="s">
        <v>2198</v>
      </c>
      <c r="F17" s="3283"/>
      <c r="G17" s="3283"/>
      <c r="H17" s="3283"/>
      <c r="I17" s="3284"/>
      <c r="J17" s="2245"/>
      <c r="K17" s="2404"/>
      <c r="L17" s="1670"/>
      <c r="M17" s="1670"/>
      <c r="N17" s="2245"/>
      <c r="O17" s="1670"/>
      <c r="P17" s="2245"/>
      <c r="Q17" s="2245"/>
      <c r="R17" s="2245"/>
      <c r="S17" s="2245"/>
      <c r="T17" s="2245"/>
      <c r="U17" s="2245"/>
      <c r="V17" s="2245"/>
    </row>
    <row r="18" spans="1:28" ht="24.75" thickBot="1">
      <c r="A18" s="2223" t="s">
        <v>2199</v>
      </c>
      <c r="B18" s="1027" t="s">
        <v>2200</v>
      </c>
      <c r="C18" s="2224" t="e">
        <f>'数据-汇总表'!D3</f>
        <v>#DIV/0!</v>
      </c>
      <c r="D18" s="1029" t="s">
        <v>2201</v>
      </c>
      <c r="E18" s="3285" t="s">
        <v>2202</v>
      </c>
      <c r="F18" s="3286"/>
      <c r="G18" s="3286"/>
      <c r="H18" s="3286"/>
      <c r="I18" s="3287"/>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72" t="s">
        <v>2206</v>
      </c>
      <c r="C20" s="3273"/>
      <c r="D20" s="3274" t="s">
        <v>2207</v>
      </c>
      <c r="E20" s="3275"/>
      <c r="F20" s="2430" t="s">
        <v>1056</v>
      </c>
      <c r="G20" s="2442"/>
      <c r="H20" s="2442"/>
      <c r="I20" s="2442"/>
      <c r="J20" s="2245"/>
      <c r="K20" s="327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7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7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60"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60"/>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60"/>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61"/>
      <c r="B30" s="294" t="s">
        <v>2218</v>
      </c>
      <c r="C30" s="3262"/>
      <c r="D30" s="3263"/>
      <c r="E30" s="2442"/>
      <c r="F30" s="2442"/>
      <c r="G30" s="2442"/>
      <c r="H30" s="2442"/>
      <c r="I30" s="2442"/>
      <c r="J30" s="2245"/>
      <c r="K30" s="2402"/>
      <c r="L30" s="2399"/>
      <c r="M30" s="2399"/>
      <c r="N30" s="2245"/>
      <c r="O30" s="1670"/>
      <c r="P30" s="2245"/>
      <c r="Q30" s="2245"/>
      <c r="R30" s="2245"/>
      <c r="S30" s="2245"/>
      <c r="T30" s="2245"/>
      <c r="U30" s="2245"/>
      <c r="V30" s="2245"/>
    </row>
    <row r="31" spans="1:28">
      <c r="A31" s="3264"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65"/>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65"/>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59" t="s">
        <v>2228</v>
      </c>
      <c r="T34" s="315" t="str">
        <f>NUMBERSTRING(7-K34,1)&amp;"通"</f>
        <v>七通</v>
      </c>
      <c r="U34" s="2245"/>
      <c r="V34" s="2245"/>
    </row>
    <row r="35" spans="1:30">
      <c r="A35" s="2236"/>
      <c r="B35" s="3259" t="s">
        <v>2229</v>
      </c>
      <c r="C35" s="3259"/>
      <c r="D35" s="3259"/>
      <c r="E35" s="3259"/>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59"/>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476"/>
      <c r="AV6" s="12" t="s">
        <v>1072</v>
      </c>
      <c r="AW6" s="1474"/>
      <c r="AX6" s="1474"/>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f>I9</f>
        <v>0</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c r="E13" s="13" t="e">
        <f>IF($C$3="是",ROUND($A$3*G13/$B$3,2),ROUND($A$3*(G13-AT13)/$B$3,2))</f>
        <v>#DIV/0!</v>
      </c>
      <c r="F13" s="29"/>
      <c r="G13" s="30">
        <f>H13+AC13+AT13</f>
        <v>0</v>
      </c>
      <c r="H13" s="17">
        <f>SUMIF(I$12:AB$12,"总值",I13:AB13)</f>
        <v>0</v>
      </c>
      <c r="I13" s="1514"/>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t="e">
        <f>IF($C$3="是",ROUND($A$3*G14/$B$3,2),ROUND($A$3*(G14-AT14)/$B$3,2))</f>
        <v>#DIV/0!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t="e">
        <f>IF($C$3="是",ROUND($A$3*G15/$B$3,2),ROUND($A$3*(G15-AT15)/$B$3,2))</f>
        <v>#DIV/0!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t="e">
        <f>IF($C$3="是",ROUND($A$3*G16/$B$3,2),ROUND($A$3*(G16-AT16)/$B$3,2))</f>
        <v>#DIV/0!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t="e">
        <f>IF($C$3="是",ROUND($A$3*G17/$B$3,2),ROUND($A$3*(G17-AT17)/$B$3,2))</f>
        <v>#DIV/0!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t="e">
        <f t="shared" si="7"/>
        <v>#DIV/0!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t="e">
        <f t="shared" si="7"/>
        <v>#DIV/0!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t="e">
        <f t="shared" si="7"/>
        <v>#DIV/0!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t="e">
        <f t="shared" si="119"/>
        <v>#DIV/0!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t="e">
        <f t="shared" si="119"/>
        <v>#DIV/0!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t="e">
        <f t="shared" si="119"/>
        <v>#DIV/0!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t="e">
        <f t="shared" si="123"/>
        <v>#DIV/0!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t="e">
        <f t="shared" si="123"/>
        <v>#DIV/0!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t="e">
        <f t="shared" si="123"/>
        <v>#DIV/0!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t="e">
        <f t="shared" si="235"/>
        <v>#DIV/0!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t="e">
        <f t="shared" si="235"/>
        <v>#DIV/0!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t="e">
        <f t="shared" si="235"/>
        <v>#DIV/0!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t="e">
        <f t="shared" si="239"/>
        <v>#DIV/0!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t="e">
        <f t="shared" si="239"/>
        <v>#DIV/0!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t="e">
        <f t="shared" si="239"/>
        <v>#DIV/0!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t="e">
        <f t="shared" si="326"/>
        <v>#DIV/0!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t="e">
        <f t="shared" si="326"/>
        <v>#DIV/0!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t="e">
        <f t="shared" si="326"/>
        <v>#DIV/0!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97" t="s">
        <v>1131</v>
      </c>
      <c r="B2" s="3297"/>
      <c r="C2" s="3297"/>
      <c r="D2" s="748" t="s">
        <v>1107</v>
      </c>
      <c r="E2" s="1523" t="s">
        <v>1108</v>
      </c>
      <c r="F2" s="2439"/>
      <c r="G2" s="2432"/>
      <c r="H2" s="2433"/>
      <c r="I2" s="2146" t="s">
        <v>1132</v>
      </c>
      <c r="J2" s="2439"/>
      <c r="K2" s="2439"/>
      <c r="L2" s="2439"/>
      <c r="M2" s="2439"/>
      <c r="N2" s="2440"/>
      <c r="O2" s="2439"/>
      <c r="P2" s="2439"/>
    </row>
    <row r="3" spans="1:16" ht="15.75" thickBot="1">
      <c r="A3" s="3298" t="s">
        <v>1105</v>
      </c>
      <c r="B3" s="3298"/>
      <c r="C3" s="3298"/>
      <c r="D3" s="41" t="e">
        <f>'数据-基础表'!AY6</f>
        <v>#DIV/0!</v>
      </c>
      <c r="E3" s="41">
        <f>'数据-基础表'!AZ5</f>
        <v>0</v>
      </c>
      <c r="F3" s="2439"/>
      <c r="G3" s="42"/>
      <c r="H3" s="43" t="s">
        <v>1106</v>
      </c>
      <c r="I3" s="802" t="e">
        <f>ROUND('数据-基础表'!B3/'数据-基础表'!A3,2)</f>
        <v>#DIV/0!</v>
      </c>
      <c r="J3" s="2439"/>
      <c r="K3" s="2439"/>
      <c r="L3" s="2439"/>
      <c r="M3" s="2439"/>
      <c r="N3" s="2440"/>
      <c r="O3" s="2439"/>
      <c r="P3" s="2439"/>
    </row>
    <row r="4" spans="1:16" ht="15">
      <c r="A4" s="3299"/>
      <c r="B4" s="3300"/>
      <c r="C4" s="3301"/>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302" t="s">
        <v>1110</v>
      </c>
      <c r="C5" s="3302"/>
      <c r="D5" s="43" t="e">
        <f>ROUND($D$3*E5/$E$3,2)</f>
        <v>#DIV/0!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302" t="s">
        <v>1111</v>
      </c>
      <c r="C6" s="3302"/>
      <c r="D6" s="43" t="e">
        <f>ROUND($D$3*E6/$E$3,2)</f>
        <v>#DIV/0!</v>
      </c>
      <c r="E6" s="44">
        <f>E3-E5</f>
        <v>0</v>
      </c>
      <c r="F6" s="2439"/>
      <c r="G6" s="1529" t="s">
        <v>1112</v>
      </c>
      <c r="H6" s="45" t="s">
        <v>1113</v>
      </c>
      <c r="I6" s="2435" t="e">
        <f>ROUND(F31/D31,2)</f>
        <v>#DIV/0!</v>
      </c>
      <c r="J6" s="2439"/>
      <c r="K6" s="2439"/>
      <c r="L6" s="2439"/>
      <c r="M6" s="2439"/>
      <c r="N6" s="2439"/>
      <c r="O6" s="2439"/>
      <c r="P6" s="2439"/>
    </row>
    <row r="7" spans="1:16" ht="15.75" thickBot="1">
      <c r="A7" s="3294"/>
      <c r="B7" s="3295"/>
      <c r="C7" s="3296"/>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t="e">
        <f t="shared" ref="D8:D15" si="0">ROUND($D$3*E8/$E$3,2)</f>
        <v>#DIV/0!</v>
      </c>
      <c r="E8" s="46">
        <f>SUMIF('数据-基础表'!BB10:BK10,"地上",'数据-基础表'!BB5:BK5)</f>
        <v>0</v>
      </c>
      <c r="F8" s="2439"/>
      <c r="G8" s="2439"/>
      <c r="H8" s="2439"/>
      <c r="I8" s="2439"/>
      <c r="J8" s="2439"/>
      <c r="K8" s="2439"/>
      <c r="L8" s="2439"/>
      <c r="M8" s="2439"/>
      <c r="N8" s="2439"/>
      <c r="O8" s="2439"/>
      <c r="P8" s="2439"/>
    </row>
    <row r="9" spans="1:16">
      <c r="A9" s="1529"/>
      <c r="B9" s="1530"/>
      <c r="C9" s="43" t="s">
        <v>1119</v>
      </c>
      <c r="D9" s="43" t="e">
        <f t="shared" si="0"/>
        <v>#DIV/0!</v>
      </c>
      <c r="E9" s="47">
        <v>0</v>
      </c>
      <c r="F9" s="2439"/>
      <c r="G9" s="2439"/>
      <c r="H9" s="2439"/>
      <c r="I9" s="2439"/>
      <c r="J9" s="2439"/>
      <c r="K9" s="2439"/>
      <c r="L9" s="2439"/>
      <c r="M9" s="2439"/>
      <c r="N9" s="2439"/>
      <c r="O9" s="2439"/>
      <c r="P9" s="2439"/>
    </row>
    <row r="10" spans="1:16">
      <c r="A10" s="1529"/>
      <c r="B10" s="1530"/>
      <c r="C10" s="43" t="s">
        <v>1128</v>
      </c>
      <c r="D10" s="43" t="e">
        <f t="shared" si="0"/>
        <v>#DIV/0!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t="e">
        <f t="shared" si="0"/>
        <v>#DIV/0!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t="e">
        <f t="shared" si="0"/>
        <v>#DIV/0!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t="e">
        <f t="shared" si="0"/>
        <v>#DIV/0!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t="e">
        <f t="shared" si="0"/>
        <v>#DIV/0!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t="e">
        <f t="shared" si="0"/>
        <v>#DIV/0!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t="e">
        <f>SUM(D8:D15)</f>
        <v>#DIV/0!</v>
      </c>
      <c r="E16" s="48">
        <f>SUM(E8:E15)</f>
        <v>0</v>
      </c>
      <c r="F16" s="2439"/>
      <c r="G16" s="2439"/>
      <c r="H16" s="1531" t="s">
        <v>1135</v>
      </c>
      <c r="I16" s="1532"/>
      <c r="J16" s="1071"/>
      <c r="K16" s="3291" t="s">
        <v>1135</v>
      </c>
      <c r="L16" s="3292"/>
      <c r="M16" s="3292"/>
      <c r="N16" s="3292"/>
      <c r="O16" s="3292"/>
      <c r="P16" s="3293"/>
    </row>
    <row r="17" spans="1:19" ht="15">
      <c r="A17" s="1533" t="s">
        <v>1136</v>
      </c>
      <c r="B17" s="1534" t="s">
        <v>1137</v>
      </c>
      <c r="C17" s="1535" t="s">
        <v>1138</v>
      </c>
      <c r="D17" s="1536" t="s">
        <v>1126</v>
      </c>
      <c r="E17" s="1537" t="s">
        <v>1127</v>
      </c>
      <c r="F17" s="1538"/>
      <c r="G17" s="1539"/>
      <c r="H17" s="1540" t="s">
        <v>1139</v>
      </c>
      <c r="I17" s="1541" t="s">
        <v>1124</v>
      </c>
      <c r="J17" s="1071"/>
      <c r="K17" s="3288" t="s">
        <v>1140</v>
      </c>
      <c r="L17" s="3289"/>
      <c r="M17" s="3290"/>
      <c r="N17" s="3288" t="s">
        <v>1141</v>
      </c>
      <c r="O17" s="3289"/>
      <c r="P17" s="3290"/>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c r="D19" s="43" t="e">
        <f>ROUND($D$3*E19/$E$3,2)</f>
        <v>#DIV/0!</v>
      </c>
      <c r="E19" s="51">
        <f t="shared" ref="E19:E26" si="1">SUM(F19:G19)</f>
        <v>0</v>
      </c>
      <c r="F19" s="2558"/>
      <c r="G19" s="1243"/>
      <c r="H19" s="637" t="e">
        <f>ROUND($D$3*I19/$E$3,2)</f>
        <v>#DIV/0!</v>
      </c>
      <c r="I19" s="46" t="e">
        <f t="shared" ref="I19:I26" si="2">IF($I$17="自定义",P19,M19)</f>
        <v>#DIV/0!</v>
      </c>
      <c r="J19" s="1071"/>
      <c r="K19" s="637" t="e">
        <f t="shared" ref="K19:K26" si="3">ROUND(E$28*E19/E$27,2)</f>
        <v>#DIV/0!</v>
      </c>
      <c r="L19" s="43">
        <f t="shared" ref="L19:L26" si="4">ROUND(IF(COUNTIF(C19,"*住宅*")&gt;0,E$29*E19/E$32,0),2)</f>
        <v>0</v>
      </c>
      <c r="M19" s="46" t="e">
        <f>K19+L19</f>
        <v>#DIV/0!</v>
      </c>
      <c r="N19" s="1550"/>
      <c r="O19" s="1551"/>
      <c r="P19" s="46">
        <f>N19+O19</f>
        <v>0</v>
      </c>
      <c r="R19" s="43" t="e">
        <f t="shared" ref="R19:S26" si="5">D19+H19</f>
        <v>#DIV/0!</v>
      </c>
      <c r="S19" s="51" t="e">
        <f t="shared" si="5"/>
        <v>#DIV/0!</v>
      </c>
    </row>
    <row r="20" spans="1:19">
      <c r="A20" s="1549"/>
      <c r="B20" s="45" t="s">
        <v>1153</v>
      </c>
      <c r="C20" s="3116"/>
      <c r="D20" s="43" t="e">
        <f t="shared" ref="D20:D26" si="6">ROUND($D$3*E20/$E$3,2)</f>
        <v>#DIV/0!</v>
      </c>
      <c r="E20" s="51">
        <f t="shared" si="1"/>
        <v>0</v>
      </c>
      <c r="F20" s="2558"/>
      <c r="G20" s="1243"/>
      <c r="H20" s="637" t="e">
        <f t="shared" ref="H20:H26" si="7">ROUND($D$3*I20/$E$3,2)</f>
        <v>#DIV/0!</v>
      </c>
      <c r="I20" s="46" t="e">
        <f t="shared" si="2"/>
        <v>#DIV/0!</v>
      </c>
      <c r="J20" s="1071"/>
      <c r="K20" s="637" t="e">
        <f t="shared" si="3"/>
        <v>#DIV/0!</v>
      </c>
      <c r="L20" s="43">
        <f t="shared" si="4"/>
        <v>0</v>
      </c>
      <c r="M20" s="46" t="e">
        <f t="shared" ref="M20:M26" si="8">K20+L20</f>
        <v>#DIV/0!</v>
      </c>
      <c r="N20" s="1550"/>
      <c r="O20" s="1551"/>
      <c r="P20" s="46">
        <f t="shared" ref="P20:P26" si="9">N20+O20</f>
        <v>0</v>
      </c>
      <c r="R20" s="43" t="e">
        <f t="shared" si="5"/>
        <v>#DIV/0!</v>
      </c>
      <c r="S20" s="51" t="e">
        <f t="shared" si="5"/>
        <v>#DIV/0!</v>
      </c>
    </row>
    <row r="21" spans="1:19">
      <c r="A21" s="1549"/>
      <c r="B21" s="45" t="s">
        <v>1153</v>
      </c>
      <c r="C21" s="3116"/>
      <c r="D21" s="43" t="e">
        <f t="shared" si="6"/>
        <v>#DIV/0!</v>
      </c>
      <c r="E21" s="51">
        <f t="shared" si="1"/>
        <v>0</v>
      </c>
      <c r="F21" s="2558"/>
      <c r="G21" s="1243"/>
      <c r="H21" s="637" t="e">
        <f t="shared" si="7"/>
        <v>#DIV/0!</v>
      </c>
      <c r="I21" s="46" t="e">
        <f t="shared" si="2"/>
        <v>#DIV/0!</v>
      </c>
      <c r="J21" s="1071"/>
      <c r="K21" s="637" t="e">
        <f t="shared" si="3"/>
        <v>#DIV/0!</v>
      </c>
      <c r="L21" s="43">
        <f t="shared" si="4"/>
        <v>0</v>
      </c>
      <c r="M21" s="46" t="e">
        <f t="shared" si="8"/>
        <v>#DIV/0!</v>
      </c>
      <c r="N21" s="1550"/>
      <c r="O21" s="1551"/>
      <c r="P21" s="46">
        <f t="shared" si="9"/>
        <v>0</v>
      </c>
      <c r="R21" s="43" t="e">
        <f t="shared" si="5"/>
        <v>#DIV/0!</v>
      </c>
      <c r="S21" s="51" t="e">
        <f t="shared" si="5"/>
        <v>#DIV/0!</v>
      </c>
    </row>
    <row r="22" spans="1:19">
      <c r="A22" s="1549"/>
      <c r="B22" s="45" t="s">
        <v>1153</v>
      </c>
      <c r="C22" s="3117"/>
      <c r="D22" s="43" t="e">
        <f t="shared" si="6"/>
        <v>#DIV/0!</v>
      </c>
      <c r="E22" s="51">
        <f t="shared" si="1"/>
        <v>0</v>
      </c>
      <c r="F22" s="2559"/>
      <c r="G22" s="2560"/>
      <c r="H22" s="637" t="e">
        <f t="shared" si="7"/>
        <v>#DIV/0!</v>
      </c>
      <c r="I22" s="46" t="e">
        <f t="shared" si="2"/>
        <v>#DIV/0!</v>
      </c>
      <c r="J22" s="1071"/>
      <c r="K22" s="637" t="e">
        <f t="shared" si="3"/>
        <v>#DIV/0!</v>
      </c>
      <c r="L22" s="43">
        <f t="shared" si="4"/>
        <v>0</v>
      </c>
      <c r="M22" s="46" t="e">
        <f t="shared" si="8"/>
        <v>#DIV/0!</v>
      </c>
      <c r="N22" s="1550"/>
      <c r="O22" s="1551"/>
      <c r="P22" s="46">
        <f t="shared" si="9"/>
        <v>0</v>
      </c>
      <c r="R22" s="43" t="e">
        <f t="shared" si="5"/>
        <v>#DIV/0!</v>
      </c>
      <c r="S22" s="51" t="e">
        <f t="shared" si="5"/>
        <v>#DIV/0!</v>
      </c>
    </row>
    <row r="23" spans="1:19">
      <c r="A23" s="1549"/>
      <c r="B23" s="45" t="s">
        <v>1153</v>
      </c>
      <c r="C23" s="3117"/>
      <c r="D23" s="43" t="e">
        <f>ROUND($D$3*E23/$E$3,2)</f>
        <v>#DIV/0!</v>
      </c>
      <c r="E23" s="51">
        <f>SUM(F23:G23)</f>
        <v>0</v>
      </c>
      <c r="F23" s="2559"/>
      <c r="G23" s="2560"/>
      <c r="H23" s="637" t="e">
        <f>ROUND($D$3*I23/$E$3,2)</f>
        <v>#DIV/0!</v>
      </c>
      <c r="I23" s="46" t="e">
        <f t="shared" si="2"/>
        <v>#DIV/0!</v>
      </c>
      <c r="J23" s="1071"/>
      <c r="K23" s="637" t="e">
        <f t="shared" si="3"/>
        <v>#DIV/0!</v>
      </c>
      <c r="L23" s="43">
        <f t="shared" si="4"/>
        <v>0</v>
      </c>
      <c r="M23" s="46" t="e">
        <f t="shared" si="8"/>
        <v>#DIV/0!</v>
      </c>
      <c r="N23" s="1550"/>
      <c r="O23" s="1551"/>
      <c r="P23" s="46">
        <f t="shared" si="9"/>
        <v>0</v>
      </c>
      <c r="R23" s="43" t="e">
        <f t="shared" si="5"/>
        <v>#DIV/0!</v>
      </c>
      <c r="S23" s="51" t="e">
        <f t="shared" si="5"/>
        <v>#DIV/0!</v>
      </c>
    </row>
    <row r="24" spans="1:19">
      <c r="A24" s="1549"/>
      <c r="B24" s="45" t="s">
        <v>1153</v>
      </c>
      <c r="C24" s="3117"/>
      <c r="D24" s="43" t="e">
        <f>ROUND($D$3*E24/$E$3,2)</f>
        <v>#DIV/0!</v>
      </c>
      <c r="E24" s="51">
        <f>SUM(F24:G24)</f>
        <v>0</v>
      </c>
      <c r="F24" s="2559"/>
      <c r="G24" s="2560"/>
      <c r="H24" s="637" t="e">
        <f>ROUND($D$3*I24/$E$3,2)</f>
        <v>#DIV/0!</v>
      </c>
      <c r="I24" s="46" t="e">
        <f t="shared" si="2"/>
        <v>#DIV/0!</v>
      </c>
      <c r="J24" s="1071"/>
      <c r="K24" s="637" t="e">
        <f t="shared" si="3"/>
        <v>#DIV/0!</v>
      </c>
      <c r="L24" s="43">
        <f t="shared" si="4"/>
        <v>0</v>
      </c>
      <c r="M24" s="46" t="e">
        <f t="shared" si="8"/>
        <v>#DIV/0!</v>
      </c>
      <c r="N24" s="1550"/>
      <c r="O24" s="1551"/>
      <c r="P24" s="46">
        <f t="shared" si="9"/>
        <v>0</v>
      </c>
      <c r="R24" s="43" t="e">
        <f t="shared" si="5"/>
        <v>#DIV/0!</v>
      </c>
      <c r="S24" s="51" t="e">
        <f t="shared" si="5"/>
        <v>#DIV/0!</v>
      </c>
    </row>
    <row r="25" spans="1:19">
      <c r="A25" s="1549"/>
      <c r="B25" s="45" t="s">
        <v>1153</v>
      </c>
      <c r="C25" s="3117"/>
      <c r="D25" s="43" t="e">
        <f t="shared" si="6"/>
        <v>#DIV/0!</v>
      </c>
      <c r="E25" s="51">
        <f t="shared" si="1"/>
        <v>0</v>
      </c>
      <c r="F25" s="2559"/>
      <c r="G25" s="2560"/>
      <c r="H25" s="42" t="e">
        <f t="shared" si="7"/>
        <v>#DIV/0!</v>
      </c>
      <c r="I25" s="46" t="e">
        <f t="shared" si="2"/>
        <v>#DIV/0!</v>
      </c>
      <c r="J25" s="1071"/>
      <c r="K25" s="637" t="e">
        <f t="shared" si="3"/>
        <v>#DIV/0!</v>
      </c>
      <c r="L25" s="43">
        <f t="shared" si="4"/>
        <v>0</v>
      </c>
      <c r="M25" s="46" t="e">
        <f t="shared" si="8"/>
        <v>#DIV/0!</v>
      </c>
      <c r="N25" s="1550"/>
      <c r="O25" s="1551"/>
      <c r="P25" s="46">
        <f t="shared" si="9"/>
        <v>0</v>
      </c>
      <c r="R25" s="43" t="e">
        <f t="shared" si="5"/>
        <v>#DIV/0!</v>
      </c>
      <c r="S25" s="51" t="e">
        <f t="shared" si="5"/>
        <v>#DIV/0!</v>
      </c>
    </row>
    <row r="26" spans="1:19">
      <c r="A26" s="1549"/>
      <c r="B26" s="45" t="s">
        <v>1153</v>
      </c>
      <c r="C26" s="53"/>
      <c r="D26" s="43" t="e">
        <f t="shared" si="6"/>
        <v>#DIV/0!</v>
      </c>
      <c r="E26" s="51">
        <f t="shared" si="1"/>
        <v>0</v>
      </c>
      <c r="F26" s="2559"/>
      <c r="G26" s="2560"/>
      <c r="H26" s="42" t="e">
        <f t="shared" si="7"/>
        <v>#DIV/0!</v>
      </c>
      <c r="I26" s="46" t="e">
        <f t="shared" si="2"/>
        <v>#DIV/0!</v>
      </c>
      <c r="J26" s="1071"/>
      <c r="K26" s="42" t="e">
        <f t="shared" si="3"/>
        <v>#DIV/0!</v>
      </c>
      <c r="L26" s="45">
        <f t="shared" si="4"/>
        <v>0</v>
      </c>
      <c r="M26" s="48" t="e">
        <f t="shared" si="8"/>
        <v>#DIV/0!</v>
      </c>
      <c r="N26" s="1552"/>
      <c r="O26" s="1553"/>
      <c r="P26" s="48">
        <f t="shared" si="9"/>
        <v>0</v>
      </c>
      <c r="R26" s="43" t="e">
        <f t="shared" si="5"/>
        <v>#DIV/0!</v>
      </c>
      <c r="S26" s="51" t="e">
        <f t="shared" si="5"/>
        <v>#DIV/0!</v>
      </c>
    </row>
    <row r="27" spans="1:19" ht="15.75" thickBot="1">
      <c r="A27" s="1549"/>
      <c r="B27" s="43"/>
      <c r="C27" s="1554" t="s">
        <v>1154</v>
      </c>
      <c r="D27" s="1072" t="e">
        <f>SUM(D19:D26)</f>
        <v>#DIV/0!</v>
      </c>
      <c r="E27" s="1073">
        <f>IF(SUM(E19:E26)='数据-基础表'!BA5,SUM(E19:E26),IF(F27="地上面积有误","面积有误","地下面积有误"))</f>
        <v>0</v>
      </c>
      <c r="F27" s="1072">
        <f>IF(SUM(F19:F26)=E8,SUM(F19:F26),"地上面积有误")</f>
        <v>0</v>
      </c>
      <c r="G27" s="1074">
        <f>SUM(G19:G26)</f>
        <v>0</v>
      </c>
      <c r="H27" s="1075" t="e">
        <f>SUM(H19:H26)</f>
        <v>#DIV/0!</v>
      </c>
      <c r="I27" s="1076" t="e">
        <f>SUM(I19:I26)</f>
        <v>#DIV/0!</v>
      </c>
      <c r="J27" s="1071"/>
      <c r="K27" s="1077" t="e">
        <f>SUM(K19:K26)</f>
        <v>#DIV/0!</v>
      </c>
      <c r="L27" s="785">
        <f>SUM(L19:L26)</f>
        <v>0</v>
      </c>
      <c r="M27" s="1078" t="e">
        <f>SUM(M19:M26)</f>
        <v>#DIV/0!</v>
      </c>
      <c r="N27" s="1077">
        <f t="shared" ref="N27:O27" si="10">SUM(N19:N26)</f>
        <v>0</v>
      </c>
      <c r="O27" s="785">
        <f t="shared" si="10"/>
        <v>0</v>
      </c>
      <c r="P27" s="94">
        <f>SUM(P19:P26)</f>
        <v>0</v>
      </c>
      <c r="R27" s="968" t="e">
        <f>IF(SUM(R19:R26)=$D$3,SUM(R19:R26),SUM(R19:R26)&amp;"误差"&amp;ROUND(SUM(R19:R26)-$D$3,2))</f>
        <v>#DIV/0!</v>
      </c>
      <c r="S27" s="43" t="e">
        <f>IF(SUM(S19:S26)=$E$3,SUM(S19:S26),SUM(S19:S26)&amp;"误差"&amp;ROUND(SUM(S19:S26)-E3,2))</f>
        <v>#DIV/0!</v>
      </c>
    </row>
    <row r="28" spans="1:19">
      <c r="A28" s="1549"/>
      <c r="B28" s="45" t="s">
        <v>1155</v>
      </c>
      <c r="C28" s="54" t="s">
        <v>1156</v>
      </c>
      <c r="D28" s="43" t="e">
        <f>ROUND($D$3*E28/$E$3,2)</f>
        <v>#DIV/0!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t="e">
        <f>ROUND($D$3*E29/$E$3,2)</f>
        <v>#DIV/0!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t="e">
        <f>SUM(D28:D29)</f>
        <v>#DIV/0!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t="e">
        <f>D27+D30</f>
        <v>#DIV/0!</v>
      </c>
      <c r="E31" s="643">
        <f>E27+E30</f>
        <v>0</v>
      </c>
      <c r="F31" s="644">
        <f>F27+F30</f>
        <v>0</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2" priority="1" stopIfTrue="1" operator="containsText" text="面积有误">
      <formula>NOT(ISERROR(SEARCH("面积有误",E27)))</formula>
    </cfRule>
    <cfRule type="cellIs" dxfId="181" priority="3" stopIfTrue="1" operator="equal">
      <formula>"地下面积有误"</formula>
    </cfRule>
  </conditionalFormatting>
  <conditionalFormatting sqref="F27">
    <cfRule type="cellIs" dxfId="180"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18" activePane="bottomRight" state="frozen"/>
      <selection activeCell="C50" sqref="C50"/>
      <selection pane="topRight" activeCell="C50" sqref="C50"/>
      <selection pane="bottomLeft" activeCell="C50" sqref="C50"/>
      <selection pane="bottomRight" activeCell="C42" sqref="C42"/>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2302</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c r="C20" s="2562" t="s">
        <v>2300</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0</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0</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0</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f ca="1">IF(A40="利息：取LPR",存贷款利率!G1,存贷款利率!G1+C40)</f>
        <v>0</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0</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c r="C42" s="2459">
        <f>IF(B2&lt;DATE(2016,5,1),0,B42)</f>
        <v>0</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0</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303" t="s">
        <v>2286</v>
      </c>
      <c r="B1" s="3304"/>
      <c r="C1" s="3304"/>
      <c r="D1" s="3304"/>
      <c r="E1" s="3304"/>
      <c r="F1" s="3304"/>
      <c r="G1" s="3304"/>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5" sqref="E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0</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0</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0</v>
      </c>
      <c r="C5" s="2300">
        <f ca="1">IF(B5=D14,结果表!H102,ROUND(B5*10000/$B$1,0))</f>
        <v>0</v>
      </c>
      <c r="D5" s="2300" t="e">
        <f>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c r="F10" s="3141" t="s">
        <v>3356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c r="C14" s="2306"/>
      <c r="D14" s="2306"/>
      <c r="E14" s="2306">
        <f>测算结果!S5</f>
        <v>29465</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0" zoomScaleNormal="100" zoomScaleSheetLayoutView="100" zoomScalePageLayoutView="80" workbookViewId="0">
      <selection activeCell="D59" sqref="D59"/>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39" t="str">
        <f>项目基本情况!S2</f>
        <v>房地产</v>
      </c>
      <c r="B2" s="3340"/>
      <c r="C2" s="3340"/>
      <c r="D2" s="3340"/>
      <c r="E2" s="3340"/>
      <c r="F2" s="3340"/>
      <c r="G2" s="3340"/>
      <c r="H2" s="3340"/>
      <c r="I2" s="3341"/>
    </row>
    <row r="3" spans="1:12" ht="12.75">
      <c r="A3" s="3343" t="s">
        <v>1264</v>
      </c>
      <c r="B3" s="3344"/>
      <c r="C3" s="3344"/>
      <c r="D3" s="3344"/>
      <c r="E3" s="3344"/>
      <c r="F3" s="3344"/>
      <c r="G3" s="3344"/>
      <c r="H3" s="3344"/>
      <c r="I3" s="3344"/>
    </row>
    <row r="4" spans="1:12" ht="14.25">
      <c r="A4" s="1624" t="s">
        <v>1265</v>
      </c>
      <c r="B4" s="1625" t="s">
        <v>1266</v>
      </c>
      <c r="C4" s="1626"/>
      <c r="D4" s="1626"/>
      <c r="E4" s="3345" t="s">
        <v>1267</v>
      </c>
      <c r="F4" s="3346"/>
      <c r="G4" s="3346"/>
      <c r="H4" s="3346"/>
      <c r="I4" s="3347"/>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19" t="s">
        <v>1268</v>
      </c>
      <c r="B5" s="3306">
        <v>25</v>
      </c>
      <c r="C5" s="3322"/>
      <c r="D5" s="3342"/>
      <c r="E5" s="123" t="s">
        <v>1269</v>
      </c>
      <c r="F5" s="1627"/>
      <c r="G5" s="1627"/>
      <c r="H5" s="1627"/>
      <c r="I5" s="1281"/>
    </row>
    <row r="6" spans="1:12" ht="12.75">
      <c r="A6" s="3319"/>
      <c r="B6" s="3306"/>
      <c r="C6" s="3323"/>
      <c r="D6" s="3342"/>
      <c r="E6" s="123" t="s">
        <v>1270</v>
      </c>
      <c r="F6" s="1627"/>
      <c r="G6" s="1627"/>
      <c r="H6" s="1627"/>
      <c r="I6" s="1281"/>
    </row>
    <row r="7" spans="1:12" ht="12.75">
      <c r="A7" s="3319"/>
      <c r="B7" s="3306"/>
      <c r="C7" s="3324"/>
      <c r="D7" s="3342"/>
      <c r="E7" s="123" t="s">
        <v>1271</v>
      </c>
      <c r="F7" s="1627"/>
      <c r="G7" s="1627"/>
      <c r="H7" s="1627"/>
      <c r="I7" s="1281"/>
    </row>
    <row r="8" spans="1:12" ht="12.75">
      <c r="A8" s="3319" t="s">
        <v>1272</v>
      </c>
      <c r="B8" s="3306">
        <v>15</v>
      </c>
      <c r="C8" s="3322"/>
      <c r="D8" s="3342"/>
      <c r="E8" s="123" t="s">
        <v>1273</v>
      </c>
      <c r="F8" s="1627"/>
      <c r="G8" s="1627"/>
      <c r="H8" s="1627"/>
      <c r="I8" s="1281"/>
    </row>
    <row r="9" spans="1:12" ht="12.75">
      <c r="A9" s="3319"/>
      <c r="B9" s="3306"/>
      <c r="C9" s="3324"/>
      <c r="D9" s="3342"/>
      <c r="E9" s="123" t="s">
        <v>1274</v>
      </c>
      <c r="F9" s="1627"/>
      <c r="G9" s="1627"/>
      <c r="H9" s="1627"/>
      <c r="I9" s="1281"/>
    </row>
    <row r="10" spans="1:12" ht="12.75">
      <c r="A10" s="3319" t="s">
        <v>1275</v>
      </c>
      <c r="B10" s="3306">
        <v>15</v>
      </c>
      <c r="C10" s="3322"/>
      <c r="D10" s="3342"/>
      <c r="E10" s="123" t="s">
        <v>1276</v>
      </c>
      <c r="F10" s="1627"/>
      <c r="G10" s="1627"/>
      <c r="H10" s="1627"/>
      <c r="I10" s="1281"/>
    </row>
    <row r="11" spans="1:12" ht="12.75">
      <c r="A11" s="3319"/>
      <c r="B11" s="3306"/>
      <c r="C11" s="3324"/>
      <c r="D11" s="3342"/>
      <c r="E11" s="123" t="s">
        <v>1277</v>
      </c>
      <c r="F11" s="1627"/>
      <c r="G11" s="1627"/>
      <c r="H11" s="1627"/>
      <c r="I11" s="1281"/>
    </row>
    <row r="12" spans="1:12" ht="12.75">
      <c r="A12" s="3319" t="s">
        <v>1278</v>
      </c>
      <c r="B12" s="3306">
        <v>15</v>
      </c>
      <c r="C12" s="3322"/>
      <c r="D12" s="3342"/>
      <c r="E12" s="123" t="s">
        <v>1279</v>
      </c>
      <c r="F12" s="1627"/>
      <c r="G12" s="1627"/>
      <c r="H12" s="1627"/>
      <c r="I12" s="1281"/>
    </row>
    <row r="13" spans="1:12" ht="12.75">
      <c r="A13" s="3319"/>
      <c r="B13" s="3306"/>
      <c r="C13" s="3324"/>
      <c r="D13" s="3342"/>
      <c r="E13" s="123" t="s">
        <v>1280</v>
      </c>
      <c r="F13" s="1627"/>
      <c r="G13" s="1627"/>
      <c r="H13" s="1627"/>
      <c r="I13" s="1281"/>
    </row>
    <row r="14" spans="1:12" ht="12.75">
      <c r="A14" s="3319" t="s">
        <v>1281</v>
      </c>
      <c r="B14" s="3306">
        <v>30</v>
      </c>
      <c r="C14" s="3322"/>
      <c r="D14" s="3342"/>
      <c r="E14" s="123" t="s">
        <v>1282</v>
      </c>
      <c r="F14" s="1627"/>
      <c r="G14" s="1627"/>
      <c r="H14" s="1627"/>
      <c r="I14" s="1281"/>
    </row>
    <row r="15" spans="1:12" ht="12.75">
      <c r="A15" s="3319"/>
      <c r="B15" s="3306"/>
      <c r="C15" s="3323"/>
      <c r="D15" s="3342"/>
      <c r="E15" s="123" t="s">
        <v>1283</v>
      </c>
      <c r="F15" s="1627"/>
      <c r="G15" s="1627"/>
      <c r="H15" s="1627"/>
      <c r="I15" s="1281"/>
    </row>
    <row r="16" spans="1:12" ht="12.75">
      <c r="A16" s="3319"/>
      <c r="B16" s="3306"/>
      <c r="C16" s="3324"/>
      <c r="D16" s="3342"/>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329" t="s">
        <v>2131</v>
      </c>
      <c r="F18" s="3330"/>
      <c r="G18" s="3330"/>
      <c r="H18" s="3330"/>
      <c r="I18" s="3330"/>
      <c r="K18" s="294" t="s">
        <v>1289</v>
      </c>
      <c r="L18" s="294">
        <f>IF(C1="",'数据-汇总表'!E3,SUMIF(项目类型,C1,'数据-汇总表'!E17:E26)+SUMIF(项目类型,C1,'数据-汇总表'!I17:I26))</f>
        <v>0</v>
      </c>
      <c r="M18" s="294">
        <f>IF(C1="",'数据-汇总表'!E3,SUMIF(项目类型,C1,'数据-汇总表'!E17:E26))</f>
        <v>0</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t="e">
        <f>IF(C1="",'数据-汇总表'!D3,SUMIF(项目类型,C1,'数据-汇总表'!D17:D26)+SUMIF(项目类型,C1,'数据-汇总表'!H17:H27))</f>
        <v>#DIV/0!</v>
      </c>
      <c r="M19" s="294" t="e">
        <f>IF(C1="",'数据-汇总表'!D3,SUMIF(项目类型,C1,'数据-汇总表'!D17:D26))</f>
        <v>#DIV/0!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313" t="s">
        <v>1299</v>
      </c>
      <c r="B24" s="1631" t="s">
        <v>1291</v>
      </c>
      <c r="C24" s="128">
        <f>IF(B30=0,0,D30)</f>
        <v>0</v>
      </c>
      <c r="D24" s="1637"/>
      <c r="E24" s="121"/>
      <c r="F24" s="121"/>
      <c r="G24" s="121"/>
      <c r="H24" s="121"/>
      <c r="I24" s="121"/>
    </row>
    <row r="25" spans="1:36" ht="14.25">
      <c r="A25" s="3314"/>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33" t="s">
        <v>1312</v>
      </c>
      <c r="B36" s="1652" t="s">
        <v>1313</v>
      </c>
      <c r="C36" s="137"/>
      <c r="D36" s="1653"/>
      <c r="E36" s="1567"/>
      <c r="F36" s="1654"/>
      <c r="G36" s="121"/>
      <c r="H36" s="121"/>
      <c r="I36" s="121"/>
    </row>
    <row r="37" spans="1:15" ht="15.75" thickBot="1">
      <c r="A37" s="3334"/>
      <c r="B37" s="1555" t="s">
        <v>1314</v>
      </c>
      <c r="C37" s="139"/>
      <c r="D37" s="1071"/>
      <c r="E37" s="1071"/>
      <c r="F37" s="1654"/>
      <c r="G37" s="121"/>
      <c r="H37" s="121"/>
      <c r="I37" s="121"/>
    </row>
    <row r="38" spans="1:15" ht="15.75" thickBot="1">
      <c r="A38" s="3335"/>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10" t="s">
        <v>1326</v>
      </c>
      <c r="B45" s="3311"/>
      <c r="C45" s="3312"/>
      <c r="D45" s="147" t="e">
        <f ca="1">ROUND(H101*F45,0)</f>
        <v>#REF!</v>
      </c>
      <c r="E45" s="148" t="s">
        <v>1327</v>
      </c>
      <c r="F45" s="149">
        <v>1</v>
      </c>
      <c r="G45" s="150" t="s">
        <v>1328</v>
      </c>
      <c r="H45" s="121"/>
      <c r="I45" s="121"/>
      <c r="J45" s="3388" t="s">
        <v>1329</v>
      </c>
      <c r="K45" s="3388"/>
      <c r="L45" s="3388"/>
      <c r="M45" s="3388"/>
      <c r="N45" s="3388"/>
      <c r="O45" s="3388"/>
    </row>
    <row r="46" spans="1:15" ht="14.25" customHeight="1">
      <c r="A46" s="3307" t="s">
        <v>1330</v>
      </c>
      <c r="B46" s="3308"/>
      <c r="C46" s="3308"/>
      <c r="D46" s="3308"/>
      <c r="E46" s="3308"/>
      <c r="F46" s="3308"/>
      <c r="G46" s="3309"/>
      <c r="H46" s="1668"/>
      <c r="I46" s="151"/>
      <c r="J46" s="2310">
        <v>1</v>
      </c>
      <c r="K46" s="3369" t="s">
        <v>1331</v>
      </c>
      <c r="L46" s="3369"/>
      <c r="M46" s="3389"/>
      <c r="N46" s="3389"/>
      <c r="O46" s="3389"/>
    </row>
    <row r="47" spans="1:15" ht="12" customHeight="1">
      <c r="A47" s="152" t="s">
        <v>1332</v>
      </c>
      <c r="B47" s="153"/>
      <c r="C47" s="154"/>
      <c r="D47" s="1024" t="s">
        <v>1333</v>
      </c>
      <c r="E47" s="294" t="s">
        <v>1334</v>
      </c>
      <c r="F47" s="155" t="s">
        <v>1335</v>
      </c>
      <c r="G47" s="2333" t="s">
        <v>1336</v>
      </c>
      <c r="H47" s="2334"/>
      <c r="I47" s="151"/>
      <c r="J47" s="2310">
        <v>2</v>
      </c>
      <c r="K47" s="3369" t="s">
        <v>1337</v>
      </c>
      <c r="L47" s="3369"/>
      <c r="M47" s="3390">
        <f>'数据-取费表'!B2</f>
        <v>0</v>
      </c>
      <c r="N47" s="3390"/>
      <c r="O47" s="3390"/>
    </row>
    <row r="48" spans="1:15" ht="25.5">
      <c r="A48" s="3338" t="s">
        <v>1338</v>
      </c>
      <c r="B48" s="3321"/>
      <c r="C48" s="3321"/>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369" t="s">
        <v>1340</v>
      </c>
      <c r="L48" s="3369"/>
      <c r="M48" s="3391" t="e">
        <f ca="1">H101</f>
        <v>#REF!</v>
      </c>
      <c r="N48" s="3391"/>
      <c r="O48" s="3391"/>
    </row>
    <row r="49" spans="1:35" ht="25.5" customHeight="1">
      <c r="A49" s="2152" t="s">
        <v>1341</v>
      </c>
      <c r="B49" s="3305" t="s">
        <v>1342</v>
      </c>
      <c r="C49" s="3305"/>
      <c r="D49" s="1478">
        <v>0</v>
      </c>
      <c r="E49" s="316" t="s">
        <v>1343</v>
      </c>
      <c r="F49" s="2233" t="s">
        <v>28</v>
      </c>
      <c r="G49" s="3375"/>
      <c r="H49" s="2134" t="s">
        <v>2134</v>
      </c>
      <c r="I49" s="2135"/>
      <c r="J49" s="2310">
        <v>4</v>
      </c>
      <c r="K49" s="3369" t="str">
        <f>IF(项目基本情况!E8="房地产抵押价值","房地产抵押价值","抵押担保权已注销时的房地产抵押价值")</f>
        <v>抵押担保权已注销时的房地产抵押价值</v>
      </c>
      <c r="L49" s="3369"/>
      <c r="M49" s="3391" t="str">
        <f>IF(项目基本情况!E8="房地产抵押价值",H107,H109)</f>
        <v>——</v>
      </c>
      <c r="N49" s="3391"/>
      <c r="O49" s="3391"/>
    </row>
    <row r="50" spans="1:35" ht="25.5" customHeight="1">
      <c r="A50" s="2338"/>
      <c r="B50" s="3305" t="s">
        <v>1344</v>
      </c>
      <c r="C50" s="3305"/>
      <c r="D50" s="2189"/>
      <c r="E50" s="323"/>
      <c r="F50" s="2233"/>
      <c r="G50" s="3376"/>
      <c r="H50" s="2136" t="s">
        <v>2135</v>
      </c>
      <c r="I50" s="2135"/>
      <c r="J50" s="3388" t="s">
        <v>1345</v>
      </c>
      <c r="K50" s="3388"/>
      <c r="L50" s="3388"/>
      <c r="M50" s="3388"/>
      <c r="N50" s="3388"/>
      <c r="O50" s="3388"/>
    </row>
    <row r="51" spans="1:35" ht="20.45" customHeight="1">
      <c r="A51" s="2339"/>
      <c r="B51" s="3305" t="s">
        <v>1346</v>
      </c>
      <c r="C51" s="3305"/>
      <c r="D51" s="1024"/>
      <c r="E51" s="319"/>
      <c r="F51" s="2233"/>
      <c r="G51" s="3377"/>
      <c r="H51" s="2136" t="s">
        <v>2136</v>
      </c>
      <c r="I51" s="2135"/>
      <c r="J51" s="2311" t="s">
        <v>1347</v>
      </c>
      <c r="K51" s="3369" t="s">
        <v>1348</v>
      </c>
      <c r="L51" s="3369"/>
      <c r="M51" s="2311" t="s">
        <v>1349</v>
      </c>
      <c r="N51" s="2311" t="s">
        <v>1350</v>
      </c>
      <c r="O51" s="2311" t="s">
        <v>1351</v>
      </c>
    </row>
    <row r="52" spans="1:35" ht="24" customHeight="1">
      <c r="A52" s="2153" t="s">
        <v>1352</v>
      </c>
      <c r="B52" s="3305" t="s">
        <v>1353</v>
      </c>
      <c r="C52" s="3305"/>
      <c r="D52" s="1024" t="e">
        <f ca="1">ROUND(D45*'数据-取费表'!B41/(1+'数据-取费表'!C42),0)</f>
        <v>#REF!</v>
      </c>
      <c r="E52" s="1256" t="s">
        <v>1354</v>
      </c>
      <c r="F52" s="2340">
        <f>'数据-取费表'!B41</f>
        <v>0</v>
      </c>
      <c r="G52" s="2341"/>
      <c r="H52" s="2331"/>
      <c r="I52" s="1669"/>
      <c r="J52" s="2310">
        <v>1</v>
      </c>
      <c r="K52" s="3370" t="s">
        <v>1355</v>
      </c>
      <c r="L52" s="3370"/>
      <c r="M52" s="2312" t="b">
        <f>D48</f>
        <v>0</v>
      </c>
      <c r="N52" s="2310" t="str">
        <f>E48</f>
        <v>销售额×税（费）率</v>
      </c>
      <c r="O52" s="2313">
        <f>F48</f>
        <v>0</v>
      </c>
    </row>
    <row r="53" spans="1:35" ht="12" customHeight="1">
      <c r="A53" s="2153" t="s">
        <v>1356</v>
      </c>
      <c r="B53" s="3331" t="s">
        <v>2291</v>
      </c>
      <c r="C53" s="3332"/>
      <c r="D53" s="1024" t="e">
        <f ca="1">ROUND(D45*'数据-取费表'!B41/(1+'数据-取费表'!C42),0)</f>
        <v>#REF!</v>
      </c>
      <c r="E53" s="1256" t="s">
        <v>1354</v>
      </c>
      <c r="F53" s="2340">
        <f>'数据-取费表'!B41</f>
        <v>0</v>
      </c>
      <c r="G53" s="2341"/>
      <c r="H53" s="2331"/>
      <c r="I53" s="1669"/>
      <c r="J53" s="2310">
        <v>2</v>
      </c>
      <c r="K53" s="3370" t="s">
        <v>1357</v>
      </c>
      <c r="L53" s="3370"/>
      <c r="M53" s="2312" t="e">
        <f t="shared" ref="M53:O54" ca="1" si="0">D55</f>
        <v>#REF!</v>
      </c>
      <c r="N53" s="2310" t="str">
        <f t="shared" si="0"/>
        <v>销售额×税（费）率</v>
      </c>
      <c r="O53" s="2313" t="str">
        <f t="shared" si="0"/>
        <v>免征</v>
      </c>
    </row>
    <row r="54" spans="1:35" ht="12" customHeight="1">
      <c r="A54" s="2153" t="s">
        <v>1358</v>
      </c>
      <c r="B54" s="3331" t="s">
        <v>2292</v>
      </c>
      <c r="C54" s="3332"/>
      <c r="D54" s="1024" t="e">
        <f ca="1">C68</f>
        <v>#REF!</v>
      </c>
      <c r="E54" s="319" t="s">
        <v>1359</v>
      </c>
      <c r="F54" s="2340">
        <f>'数据-取费表'!B41</f>
        <v>0</v>
      </c>
      <c r="G54" s="2341"/>
      <c r="H54" s="2342"/>
      <c r="I54" s="1669"/>
      <c r="J54" s="2310">
        <v>3</v>
      </c>
      <c r="K54" s="3370" t="s">
        <v>1360</v>
      </c>
      <c r="L54" s="3370"/>
      <c r="M54" s="2312" t="e">
        <f t="shared" ca="1" si="0"/>
        <v>#REF!</v>
      </c>
      <c r="N54" s="2310" t="str">
        <f t="shared" si="0"/>
        <v>增值额×税（费）率</v>
      </c>
      <c r="O54" s="2314" t="str">
        <f t="shared" si="0"/>
        <v>免征</v>
      </c>
    </row>
    <row r="55" spans="1:35" ht="24" customHeight="1">
      <c r="A55" s="3320" t="s">
        <v>1361</v>
      </c>
      <c r="B55" s="3321"/>
      <c r="C55" s="3321"/>
      <c r="D55" s="12" t="e">
        <f ca="1">IF(H55="个人住宅",0,ROUND(D45*I55,0))</f>
        <v>#REF!</v>
      </c>
      <c r="E55" s="1256" t="s">
        <v>1362</v>
      </c>
      <c r="F55" s="2340" t="str">
        <f>IF(H55="正常",I55,"免征")</f>
        <v>免征</v>
      </c>
      <c r="G55" s="2341"/>
      <c r="H55" s="2337"/>
      <c r="I55" s="157">
        <f>'数据-取费表'!B49</f>
        <v>0</v>
      </c>
      <c r="J55" s="2310">
        <f>IF(H59="非个人房产","",4)</f>
        <v>4</v>
      </c>
      <c r="K55" s="3370" t="str">
        <f>IF(H59="非个人房产","——","个人所得税")</f>
        <v>个人所得税</v>
      </c>
      <c r="L55" s="3370"/>
      <c r="M55" s="2315" t="e">
        <f ca="1">D59</f>
        <v>#REF!</v>
      </c>
      <c r="N55" s="1883" t="str">
        <f>E59</f>
        <v>差额计税</v>
      </c>
      <c r="O55" s="2316">
        <f>F59</f>
        <v>0.01</v>
      </c>
    </row>
    <row r="56" spans="1:35" ht="24.75">
      <c r="A56" s="3320" t="s">
        <v>1363</v>
      </c>
      <c r="B56" s="3321"/>
      <c r="C56" s="3321"/>
      <c r="D56" s="12" t="e">
        <f ca="1">IF(H56="个人住宅",D57,D58)</f>
        <v>#REF!</v>
      </c>
      <c r="E56" s="1256" t="s">
        <v>1364</v>
      </c>
      <c r="F56" s="2340" t="str">
        <f>IF(H56="正常",F58,"免征")</f>
        <v>免征</v>
      </c>
      <c r="G56" s="2343" t="s">
        <v>1365</v>
      </c>
      <c r="H56" s="2344"/>
      <c r="I56" s="1670"/>
      <c r="J56" s="2310" t="str">
        <f>IF(项目基本情况!K6="上海银行",IF(J55="",4,J55+1),"")</f>
        <v/>
      </c>
      <c r="K56" s="3393" t="str">
        <f>IF(项目基本情况!K6="上海银行","其他处置费用","")</f>
        <v/>
      </c>
      <c r="L56" s="3394"/>
      <c r="M56" s="2312" t="str">
        <f>IF(项目基本情况!K6="上海银行",M69,"")</f>
        <v/>
      </c>
      <c r="N56" s="3393" t="str">
        <f>IF(项目基本情况!K6="上海银行","包含处置中涉及的律师、诉讼、拍卖、评估等费用","")</f>
        <v/>
      </c>
      <c r="O56" s="3396"/>
    </row>
    <row r="57" spans="1:35" ht="12.75">
      <c r="A57" s="2153" t="s">
        <v>1341</v>
      </c>
      <c r="B57" s="3331" t="s">
        <v>1366</v>
      </c>
      <c r="C57" s="3332"/>
      <c r="D57" s="1478">
        <v>0</v>
      </c>
      <c r="E57" s="316" t="s">
        <v>1343</v>
      </c>
      <c r="F57" s="294"/>
      <c r="G57" s="2341"/>
      <c r="H57" s="2345"/>
      <c r="I57" s="1670"/>
      <c r="J57" s="3370">
        <f>IF(AND(J55="",J56=""),4,IF(项目基本情况!K6="上海银行",结果表!J56+1,结果表!J55+1))</f>
        <v>5</v>
      </c>
      <c r="K57" s="3370" t="s">
        <v>1367</v>
      </c>
      <c r="L57" s="2317" t="s">
        <v>1368</v>
      </c>
      <c r="M57" s="2318"/>
      <c r="N57" s="2319">
        <f ca="1">SUMIF(M52:M56,"&lt;9e307")</f>
        <v>0</v>
      </c>
      <c r="O57" s="2320"/>
      <c r="P57" s="2465" t="e">
        <f ca="1">N57/M49</f>
        <v>#VALUE!</v>
      </c>
    </row>
    <row r="58" spans="1:35" ht="24.75">
      <c r="A58" s="2153" t="s">
        <v>1352</v>
      </c>
      <c r="B58" s="3331" t="s">
        <v>1369</v>
      </c>
      <c r="C58" s="3305"/>
      <c r="D58" s="12" t="e">
        <f ca="1">IF(H58="转让取得",C81,C97)</f>
        <v>#REF!</v>
      </c>
      <c r="E58" s="1256" t="s">
        <v>1364</v>
      </c>
      <c r="F58" s="294" t="s">
        <v>28</v>
      </c>
      <c r="G58" s="2341"/>
      <c r="H58" s="2344"/>
      <c r="I58" s="1670"/>
      <c r="J58" s="3370"/>
      <c r="K58" s="3370"/>
      <c r="L58" s="2317" t="s">
        <v>1370</v>
      </c>
      <c r="M58" s="2321"/>
      <c r="N58" s="2322" t="str">
        <f ca="1">NUMBERSTRING(INT(N57*10000),2)&amp;"元整"</f>
        <v>零元整</v>
      </c>
      <c r="O58" s="2323"/>
    </row>
    <row r="59" spans="1:35" ht="24.75" thickBot="1">
      <c r="A59" s="3373" t="s">
        <v>1371</v>
      </c>
      <c r="B59" s="3374"/>
      <c r="C59" s="3374"/>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71">
        <f>J57+1</f>
        <v>6</v>
      </c>
      <c r="K59" s="3370" t="s">
        <v>1372</v>
      </c>
      <c r="L59" s="2310" t="s">
        <v>1368</v>
      </c>
      <c r="M59" s="2324"/>
      <c r="N59" s="2325" t="e">
        <f ca="1">M49-N57</f>
        <v>#VALUE!</v>
      </c>
      <c r="O59" s="2326"/>
    </row>
    <row r="60" spans="1:35" ht="12" customHeight="1">
      <c r="A60" s="1671"/>
      <c r="B60" s="646"/>
      <c r="C60" s="646"/>
      <c r="D60" s="646"/>
      <c r="E60" s="1466"/>
      <c r="F60" s="1670"/>
      <c r="G60" s="1670"/>
      <c r="H60" s="151"/>
      <c r="I60" s="121"/>
      <c r="J60" s="3372"/>
      <c r="K60" s="3370"/>
      <c r="L60" s="2317" t="s">
        <v>1370</v>
      </c>
      <c r="M60" s="2321"/>
      <c r="N60" s="2322" t="e">
        <f ca="1">NUMBERSTRING(INT(N59*10000),2)&amp;"元整"</f>
        <v>#VALUE!</v>
      </c>
      <c r="O60" s="2323"/>
    </row>
    <row r="61" spans="1:35" ht="13.5" thickBot="1">
      <c r="A61" s="3318" t="s">
        <v>1373</v>
      </c>
      <c r="B61" s="3318"/>
      <c r="C61" s="3318"/>
      <c r="D61" s="3318"/>
      <c r="E61" s="3318"/>
      <c r="F61" s="1670"/>
      <c r="G61" s="1670"/>
      <c r="H61" s="151"/>
      <c r="I61" s="121"/>
      <c r="J61" s="2310">
        <f>J59+1</f>
        <v>7</v>
      </c>
      <c r="K61" s="3370" t="s">
        <v>1374</v>
      </c>
      <c r="L61" s="3370"/>
      <c r="M61" s="2327"/>
      <c r="N61" s="2328" t="e">
        <f ca="1">ROUND(N59*10000/'数据-汇总表'!E3,0)</f>
        <v>#VALUE!</v>
      </c>
      <c r="O61" s="2329"/>
    </row>
    <row r="62" spans="1:35" ht="12.75">
      <c r="A62" s="3336" t="s">
        <v>1375</v>
      </c>
      <c r="B62" s="3337"/>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395"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395"/>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395"/>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395"/>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95"/>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395"/>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95"/>
      <c r="K69" s="1245" t="s">
        <v>1393</v>
      </c>
      <c r="L69" s="1245"/>
      <c r="M69" s="294" t="e">
        <f>ROUND(SUM(M63:M68),0)</f>
        <v>#VALUE!</v>
      </c>
      <c r="N69" s="2332" t="e">
        <f>M69/M49</f>
        <v>#VALUE!</v>
      </c>
      <c r="Z69" s="1623"/>
      <c r="AI69" s="1561"/>
    </row>
    <row r="70" spans="1:35" s="642" customFormat="1" ht="15" thickBot="1">
      <c r="A70" s="3357" t="s">
        <v>1394</v>
      </c>
      <c r="B70" s="3358"/>
      <c r="C70" s="3358"/>
      <c r="D70" s="3358"/>
      <c r="E70" s="3358"/>
      <c r="F70" s="3358"/>
      <c r="G70" s="3358"/>
      <c r="H70" s="335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36" t="s">
        <v>1375</v>
      </c>
      <c r="B71" s="3337"/>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31" t="s">
        <v>1402</v>
      </c>
      <c r="F76" s="3305"/>
      <c r="G76" s="3305"/>
      <c r="H76" s="335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315" t="s">
        <v>1406</v>
      </c>
      <c r="F78" s="3316"/>
      <c r="G78" s="3316"/>
      <c r="H78" s="332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57" t="s">
        <v>1410</v>
      </c>
      <c r="B83" s="3358"/>
      <c r="C83" s="3358"/>
      <c r="D83" s="3358"/>
      <c r="E83" s="3358"/>
      <c r="F83" s="3358"/>
      <c r="G83" s="3358"/>
      <c r="H83" s="335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36" t="s">
        <v>1375</v>
      </c>
      <c r="B84" s="3337"/>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97" t="s">
        <v>2129</v>
      </c>
      <c r="H90" s="3398"/>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15" t="s">
        <v>1419</v>
      </c>
      <c r="F91" s="3316"/>
      <c r="G91" s="331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15" t="s">
        <v>1422</v>
      </c>
      <c r="F92" s="3316"/>
      <c r="G92" s="3316"/>
      <c r="H92" s="3325"/>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315" t="s">
        <v>1406</v>
      </c>
      <c r="F93" s="3316"/>
      <c r="G93" s="3316"/>
      <c r="H93" s="332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26" t="s">
        <v>1426</v>
      </c>
      <c r="F94" s="3327"/>
      <c r="G94" s="3327"/>
      <c r="H94" s="332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99" t="s">
        <v>1428</v>
      </c>
      <c r="B100" s="3300"/>
      <c r="C100" s="3300"/>
      <c r="D100" s="3317"/>
      <c r="E100" s="3300" t="s">
        <v>1429</v>
      </c>
      <c r="F100" s="3300"/>
      <c r="G100" s="3300"/>
      <c r="H100" s="3317"/>
      <c r="I100" s="121"/>
    </row>
    <row r="101" spans="1:35" ht="18.75" customHeight="1">
      <c r="A101" s="3378" t="s">
        <v>1430</v>
      </c>
      <c r="B101" s="3379"/>
      <c r="C101" s="2371">
        <f>C4</f>
        <v>0</v>
      </c>
      <c r="D101" s="2372">
        <f>D4</f>
        <v>0</v>
      </c>
      <c r="E101" s="3392" t="s">
        <v>1431</v>
      </c>
      <c r="F101" s="3349"/>
      <c r="G101" s="1687" t="s">
        <v>1432</v>
      </c>
      <c r="H101" s="2381" t="e">
        <f ca="1">H118</f>
        <v>#REF!</v>
      </c>
      <c r="I101" s="121"/>
    </row>
    <row r="102" spans="1:35" ht="18.75" customHeight="1">
      <c r="A102" s="3351" t="s">
        <v>1433</v>
      </c>
      <c r="B102" s="2370" t="s">
        <v>1432</v>
      </c>
      <c r="C102" s="2371" t="e">
        <f ca="1">IF(D32="楼面单价",ROUND(C19,0),C19)</f>
        <v>#REF!</v>
      </c>
      <c r="D102" s="2372" t="e">
        <f ca="1">IF(D32="楼面单价",ROUND(D19,0),D19)</f>
        <v>#REF!</v>
      </c>
      <c r="E102" s="3392"/>
      <c r="F102" s="3349"/>
      <c r="G102" s="1687" t="s">
        <v>1434</v>
      </c>
      <c r="H102" s="2341" t="e">
        <f ca="1">I118</f>
        <v>#REF!</v>
      </c>
      <c r="I102" s="121"/>
    </row>
    <row r="103" spans="1:35" ht="42.75" customHeight="1">
      <c r="A103" s="3351"/>
      <c r="B103" s="2370" t="s">
        <v>1434</v>
      </c>
      <c r="C103" s="2373" t="e">
        <f ca="1">C20</f>
        <v>#REF!</v>
      </c>
      <c r="D103" s="2374" t="e">
        <f ca="1">D20</f>
        <v>#REF!</v>
      </c>
      <c r="E103" s="3386" t="s">
        <v>1435</v>
      </c>
      <c r="F103" s="3387"/>
      <c r="G103" s="1688" t="s">
        <v>1436</v>
      </c>
      <c r="H103" s="2381">
        <f>IF(D36="正常操作",H104+H105+H106,H105+H106)</f>
        <v>0</v>
      </c>
      <c r="I103" s="121"/>
    </row>
    <row r="104" spans="1:35" ht="18.75" customHeight="1">
      <c r="A104" s="3351"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52"/>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48" t="str">
        <f>IF(项目基本情况!E8="已注销","——","3.房地产抵押价值")</f>
        <v>3.房地产抵押价值</v>
      </c>
      <c r="F107" s="3349"/>
      <c r="G107" s="1687" t="s">
        <v>1432</v>
      </c>
      <c r="H107" s="2381" t="e">
        <f ca="1">IF(E107="——","——",H101-H103)</f>
        <v>#REF!</v>
      </c>
      <c r="I107" s="121"/>
    </row>
    <row r="108" spans="1:35" ht="18.75" customHeight="1">
      <c r="A108" s="121"/>
      <c r="B108" s="121"/>
      <c r="C108" s="121"/>
      <c r="D108" s="121"/>
      <c r="E108" s="3348"/>
      <c r="F108" s="3349"/>
      <c r="G108" s="1687" t="s">
        <v>1434</v>
      </c>
      <c r="H108" s="2341">
        <f ca="1">IF(H107=H101,H102,ROUND(H107*10000/'数据-汇总表'!E3,0))</f>
        <v>0</v>
      </c>
      <c r="I108" s="121"/>
    </row>
    <row r="109" spans="1:35" ht="18.75" customHeight="1">
      <c r="A109" s="121"/>
      <c r="B109" s="121"/>
      <c r="C109" s="121"/>
      <c r="D109" s="121"/>
      <c r="E109" s="3348" t="str">
        <f>IF(项目基本情况!E8="已注销及未注销","4.抵押担保权已注销时的房地产抵押价值",IF(项目基本情况!E8="已注销","3.抵押担保权已注销时的房地产抵押价值","——"))</f>
        <v>——</v>
      </c>
      <c r="F109" s="3349"/>
      <c r="G109" s="1687" t="s">
        <v>1432</v>
      </c>
      <c r="H109" s="2384" t="str">
        <f>IF(E109="——","——",H101-H105-H106)</f>
        <v>——</v>
      </c>
      <c r="I109" s="121"/>
    </row>
    <row r="110" spans="1:35" ht="18.75" customHeight="1">
      <c r="A110" s="121"/>
      <c r="B110" s="121"/>
      <c r="C110" s="121"/>
      <c r="D110" s="121"/>
      <c r="E110" s="3348"/>
      <c r="F110" s="3349"/>
      <c r="G110" s="1687" t="s">
        <v>1434</v>
      </c>
      <c r="H110" s="2341" t="str">
        <f>IF(H109="——","——",ROUND(H109*10000/'数据-汇总表'!E3,0))</f>
        <v>——</v>
      </c>
      <c r="I110" s="121"/>
    </row>
    <row r="111" spans="1:35" ht="18.75" customHeight="1">
      <c r="A111" s="121"/>
      <c r="B111" s="121"/>
      <c r="C111" s="121"/>
      <c r="D111" s="121"/>
      <c r="E111" s="3380" t="str">
        <f>IF(项目基本情况!E9="抵押净值",IF(OR(项目基本情况!E8="已注销",项目基本情况!E8="房地产抵押价值"),"4.抵押净值","5.抵押净值"),"——")</f>
        <v>——</v>
      </c>
      <c r="F111" s="3350"/>
      <c r="G111" s="1687" t="s">
        <v>1432</v>
      </c>
      <c r="H111" s="2381" t="str">
        <f>IF(E111="——","——",N59)</f>
        <v>——</v>
      </c>
      <c r="I111" s="121"/>
    </row>
    <row r="112" spans="1:35" ht="18.75" customHeight="1" thickBot="1">
      <c r="A112" s="121"/>
      <c r="B112" s="121"/>
      <c r="C112" s="121"/>
      <c r="D112" s="121"/>
      <c r="E112" s="3381"/>
      <c r="F112" s="3382"/>
      <c r="G112" s="1690" t="s">
        <v>1434</v>
      </c>
      <c r="H112" s="2385" t="str">
        <f>IF(E111="——","——",N61)</f>
        <v>——</v>
      </c>
      <c r="I112" s="121"/>
    </row>
    <row r="113" spans="1:27" ht="18.75" customHeight="1">
      <c r="A113" s="121"/>
      <c r="B113" s="121"/>
      <c r="C113" s="121"/>
      <c r="D113" s="121"/>
      <c r="E113" s="3353" t="s">
        <v>1440</v>
      </c>
      <c r="F113" s="3353"/>
      <c r="G113" s="3353"/>
      <c r="H113" s="3353"/>
      <c r="I113" s="121"/>
    </row>
    <row r="114" spans="1:27" ht="3.75" customHeight="1">
      <c r="A114" s="646"/>
      <c r="B114" s="646"/>
      <c r="C114" s="646"/>
      <c r="D114" s="646"/>
      <c r="E114" s="1671"/>
      <c r="F114" s="1671"/>
      <c r="G114" s="1671"/>
      <c r="H114" s="1671"/>
      <c r="I114" s="646"/>
    </row>
    <row r="115" spans="1:27" ht="18.75" customHeight="1">
      <c r="A115" s="3363" t="s">
        <v>1442</v>
      </c>
      <c r="B115" s="3364"/>
      <c r="C115" s="3364"/>
      <c r="D115" s="3364"/>
      <c r="E115" s="3364"/>
      <c r="F115" s="3364"/>
      <c r="G115" s="3364"/>
      <c r="H115" s="3364"/>
      <c r="I115" s="3365"/>
    </row>
    <row r="116" spans="1:27" ht="27" customHeight="1">
      <c r="A116" s="3319" t="s">
        <v>1443</v>
      </c>
      <c r="B116" s="3354" t="s">
        <v>1444</v>
      </c>
      <c r="C116" s="3354" t="s">
        <v>1445</v>
      </c>
      <c r="D116" s="3367" t="s">
        <v>1446</v>
      </c>
      <c r="E116" s="3368"/>
      <c r="F116" s="3362" t="s">
        <v>1447</v>
      </c>
      <c r="G116" s="3362"/>
      <c r="H116" s="3319" t="s">
        <v>1448</v>
      </c>
      <c r="I116" s="3319"/>
    </row>
    <row r="117" spans="1:27" ht="18.75" customHeight="1">
      <c r="A117" s="3319"/>
      <c r="B117" s="3355"/>
      <c r="C117" s="3355"/>
      <c r="D117" s="2150" t="s">
        <v>1449</v>
      </c>
      <c r="E117" s="2150" t="s">
        <v>1450</v>
      </c>
      <c r="F117" s="2150" t="s">
        <v>1449</v>
      </c>
      <c r="G117" s="2150" t="s">
        <v>1451</v>
      </c>
      <c r="H117" s="2150" t="s">
        <v>1449</v>
      </c>
      <c r="I117" s="2150" t="s">
        <v>1451</v>
      </c>
    </row>
    <row r="118" spans="1:27" ht="24.75" customHeight="1">
      <c r="A118" s="2386" t="str">
        <f>项目基本情况!S2</f>
        <v>房地产</v>
      </c>
      <c r="B118" s="2150">
        <f>M18</f>
        <v>0</v>
      </c>
      <c r="C118" s="2150" t="e">
        <f>M19</f>
        <v>#DIV/0!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19" t="s">
        <v>1452</v>
      </c>
      <c r="B119" s="3319"/>
      <c r="C119" s="3319"/>
      <c r="D119" s="3359" t="e">
        <f ca="1">NUMBERSTRING(INT(D118*10000),2)&amp;"元整"</f>
        <v>#REF!</v>
      </c>
      <c r="E119" s="3361"/>
      <c r="F119" s="3359" t="e">
        <f ca="1">NUMBERSTRING(INT(F118*10000),2)&amp;"元整"</f>
        <v>#REF!</v>
      </c>
      <c r="G119" s="3361"/>
      <c r="H119" s="3359" t="e">
        <f ca="1">NUMBERSTRING(INT(H118*10000),2)&amp;"元整"</f>
        <v>#REF!</v>
      </c>
      <c r="I119" s="3361"/>
    </row>
    <row r="120" spans="1:27" ht="18.75" customHeight="1">
      <c r="A120" s="3383" t="str">
        <f>IF(项目基本情况!B9="房地产市场价值","",MID(E103,3,LEN(E103)-2))</f>
        <v>估价师知悉的法定优先受偿款</v>
      </c>
      <c r="B120" s="3384"/>
      <c r="C120" s="3385"/>
      <c r="D120" s="3383">
        <f>H103</f>
        <v>0</v>
      </c>
      <c r="E120" s="3384"/>
      <c r="F120" s="3384"/>
      <c r="G120" s="3384"/>
      <c r="H120" s="3384"/>
      <c r="I120" s="338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59" t="s">
        <v>1452</v>
      </c>
      <c r="B121" s="3360"/>
      <c r="C121" s="3361"/>
      <c r="D121" s="3359" t="str">
        <f>IF(D120=0,"零元整",NUMBERSTRING(INT(D120*10000),2)&amp;"元整")</f>
        <v>零元整</v>
      </c>
      <c r="E121" s="3360"/>
      <c r="F121" s="3360"/>
      <c r="G121" s="3360"/>
      <c r="H121" s="3360"/>
      <c r="I121" s="3361"/>
      <c r="AA121" s="684"/>
    </row>
    <row r="122" spans="1:27" ht="18.75" customHeight="1">
      <c r="A122" s="3350" t="str">
        <f>IF(项目基本情况!B9="房地产市场价值","",MID(E107,3,LEN(E107)-2))</f>
        <v>房地产抵押价值</v>
      </c>
      <c r="B122" s="3350"/>
      <c r="C122" s="3350"/>
      <c r="D122" s="3383" t="e">
        <f ca="1">H107</f>
        <v>#REF!</v>
      </c>
      <c r="E122" s="3384"/>
      <c r="F122" s="3384"/>
      <c r="G122" s="3384"/>
      <c r="H122" s="3384"/>
      <c r="I122" s="3385"/>
      <c r="AA122" s="684"/>
    </row>
    <row r="123" spans="1:27" ht="18.75" customHeight="1">
      <c r="A123" s="3319" t="s">
        <v>1452</v>
      </c>
      <c r="B123" s="3319"/>
      <c r="C123" s="3319"/>
      <c r="D123" s="3359" t="e">
        <f ca="1">NUMBERSTRING(INT(D122*10000),2)&amp;"元整"</f>
        <v>#REF!</v>
      </c>
      <c r="E123" s="3360"/>
      <c r="F123" s="3360"/>
      <c r="G123" s="3360"/>
      <c r="H123" s="3360"/>
      <c r="I123" s="3361"/>
      <c r="AA123" s="684"/>
    </row>
    <row r="124" spans="1:27" ht="18.75" customHeight="1">
      <c r="A124" s="3350" t="str">
        <f>IF(项目基本情况!B9="房地产市场价值","",MID(E109,3,LEN(E109)-2))</f>
        <v/>
      </c>
      <c r="B124" s="3350"/>
      <c r="C124" s="3350"/>
      <c r="D124" s="3383" t="str">
        <f>H109</f>
        <v>——</v>
      </c>
      <c r="E124" s="3384"/>
      <c r="F124" s="3384"/>
      <c r="G124" s="3384"/>
      <c r="H124" s="3384"/>
      <c r="I124" s="3385"/>
      <c r="AA124" s="684"/>
    </row>
    <row r="125" spans="1:27" ht="18.75" customHeight="1">
      <c r="A125" s="3319" t="s">
        <v>1452</v>
      </c>
      <c r="B125" s="3319"/>
      <c r="C125" s="3319"/>
      <c r="D125" s="3359" t="e">
        <f>NUMBERSTRING(INT(D124*10000),2)&amp;"元整"</f>
        <v>#VALUE!</v>
      </c>
      <c r="E125" s="3360"/>
      <c r="F125" s="3360"/>
      <c r="G125" s="3360"/>
      <c r="H125" s="3360"/>
      <c r="I125" s="3361"/>
      <c r="AA125" s="684"/>
    </row>
    <row r="126" spans="1:27" ht="18.75" customHeight="1">
      <c r="A126" s="3350" t="str">
        <f>IF(项目基本情况!B9="房地产市场价值","",MID(E111,3,LEN(E111)-2))</f>
        <v/>
      </c>
      <c r="B126" s="3350"/>
      <c r="C126" s="3350"/>
      <c r="D126" s="3383" t="str">
        <f>H111</f>
        <v>——</v>
      </c>
      <c r="E126" s="3384"/>
      <c r="F126" s="3384"/>
      <c r="G126" s="3384"/>
      <c r="H126" s="3384"/>
      <c r="I126" s="3385"/>
      <c r="AA126" s="684"/>
    </row>
    <row r="127" spans="1:27" ht="18.75" customHeight="1">
      <c r="A127" s="3319" t="s">
        <v>1452</v>
      </c>
      <c r="B127" s="3319"/>
      <c r="C127" s="3319"/>
      <c r="D127" s="3359" t="e">
        <f>NUMBERSTRING(INT(D126*10000),2)&amp;"元整"</f>
        <v>#VALUE!</v>
      </c>
      <c r="E127" s="3360"/>
      <c r="F127" s="3360"/>
      <c r="G127" s="3360"/>
      <c r="H127" s="3360"/>
      <c r="I127" s="3361"/>
      <c r="AA127" s="684"/>
    </row>
    <row r="128" spans="1:27" ht="21.75" customHeight="1">
      <c r="A128" s="3366" t="s">
        <v>1453</v>
      </c>
      <c r="B128" s="3366"/>
      <c r="C128" s="3366"/>
      <c r="D128" s="3366"/>
      <c r="E128" s="3366"/>
      <c r="F128" s="3366"/>
      <c r="G128" s="3366"/>
      <c r="H128" s="3366"/>
      <c r="I128" s="336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C5:D7">
    <cfRule type="cellIs" dxfId="177" priority="10" stopIfTrue="1" operator="equal">
      <formula>25</formula>
    </cfRule>
  </conditionalFormatting>
  <conditionalFormatting sqref="C8:D13">
    <cfRule type="cellIs" dxfId="176" priority="8" stopIfTrue="1" operator="equal">
      <formula>15</formula>
    </cfRule>
  </conditionalFormatting>
  <conditionalFormatting sqref="C14:D16">
    <cfRule type="cellIs" dxfId="175" priority="6" stopIfTrue="1" operator="equal">
      <formula>30</formula>
    </cfRule>
  </conditionalFormatting>
  <conditionalFormatting sqref="E36">
    <cfRule type="expression" dxfId="174"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6</v>
      </c>
    </row>
    <row r="2" spans="1:9" s="192" customFormat="1" ht="18" customHeight="1">
      <c r="A2" s="193" t="s">
        <v>1462</v>
      </c>
      <c r="B2" s="194" t="e">
        <f ca="1">IF(D2="——",C52,C52-E2)</f>
        <v>#DIV/0!</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#DIV/0!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0</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f ca="1">ROUND(SUM(C23:C25),0)</f>
        <v>0</v>
      </c>
      <c r="D22" s="227">
        <f ca="1">C26</f>
        <v>0</v>
      </c>
      <c r="E22" s="228" t="s">
        <v>1498</v>
      </c>
      <c r="F22" s="229">
        <f ca="1">'数据-取费表'!B40</f>
        <v>0</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0</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#DIV/0!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0</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f ca="1">ROUND(SUM(C42:C43),0)</f>
        <v>0</v>
      </c>
      <c r="D41" s="227">
        <f ca="1">C44</f>
        <v>0</v>
      </c>
      <c r="E41" s="228" t="s">
        <v>1539</v>
      </c>
      <c r="F41" s="229">
        <f ca="1">F22</f>
        <v>0</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0</v>
      </c>
      <c r="D42" s="230"/>
      <c r="E42" s="230"/>
      <c r="F42" s="231"/>
      <c r="G42" s="3399" t="s">
        <v>1544</v>
      </c>
    </row>
    <row r="43" spans="1:7" ht="13.5" customHeight="1">
      <c r="A43" s="734" t="s">
        <v>347</v>
      </c>
      <c r="B43" s="207" t="s">
        <v>1545</v>
      </c>
      <c r="C43" s="230">
        <f ca="1">ROUND(IF('数据-取费表'!B22&lt;=1,C39*F22*'数据-取费表'!B21/2,C39*(POWER((1+F22),'数据-取费表'!B21/2)-1)),0)</f>
        <v>0</v>
      </c>
      <c r="D43" s="230"/>
      <c r="E43" s="230"/>
      <c r="F43" s="231"/>
      <c r="G43" s="3400"/>
    </row>
    <row r="44" spans="1:7" ht="13.5" customHeight="1">
      <c r="A44" s="734" t="s">
        <v>348</v>
      </c>
      <c r="B44" s="207" t="s">
        <v>1546</v>
      </c>
      <c r="C44" s="230">
        <f ca="1">ROUND(IF('数据-取费表'!B22&lt;=1,C40*F22*'数据-取费表'!B21/2,C40*(POWER((1+F22),'数据-取费表'!B21/2)-1)),4)</f>
        <v>0</v>
      </c>
      <c r="D44" s="230"/>
      <c r="E44" s="230"/>
      <c r="F44" s="231"/>
      <c r="G44" s="3401"/>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#DIV/0!</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#DIV/0!</v>
      </c>
      <c r="D51" s="224"/>
      <c r="E51" s="224"/>
      <c r="F51" s="256"/>
      <c r="G51" s="226" t="s">
        <v>1560</v>
      </c>
    </row>
    <row r="52" spans="1:7" s="200" customFormat="1" ht="16.5" thickBot="1">
      <c r="A52" s="257" t="s">
        <v>1561</v>
      </c>
      <c r="B52" s="258"/>
      <c r="C52" s="259" t="e">
        <f ca="1">C31+C51</f>
        <v>#DIV/0!</v>
      </c>
      <c r="D52" s="258"/>
      <c r="E52" s="258"/>
      <c r="F52" s="258"/>
      <c r="G52" s="260"/>
    </row>
    <row r="55" spans="1:7" ht="15">
      <c r="B55" s="262" t="s">
        <v>1562</v>
      </c>
      <c r="C55" s="263"/>
    </row>
    <row r="56" spans="1:7">
      <c r="B56" s="265" t="s">
        <v>802</v>
      </c>
      <c r="C56" s="267" t="e">
        <f ca="1">1-C57</f>
        <v>#DIV/0!</v>
      </c>
    </row>
    <row r="57" spans="1:7">
      <c r="B57" s="265" t="s">
        <v>803</v>
      </c>
      <c r="C57" s="266"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17" t="str">
        <f>项目基本情况!B1</f>
        <v>预评估</v>
      </c>
      <c r="C37" s="3217"/>
      <c r="D37" s="3217"/>
      <c r="E37" s="3217"/>
      <c r="F37" s="3217"/>
      <c r="G37" s="3217"/>
      <c r="H37" s="3217"/>
      <c r="I37" s="321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3" t="e">
        <f ca="1">ROUND(IF(D2="——",C52/10000,C52/10000-E2),4)</f>
        <v>#DIV/0!</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#DIV/0!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0</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f ca="1">ROUND(SUM(C23:C25),0)</f>
        <v>0</v>
      </c>
      <c r="D22" s="227">
        <f ca="1">C26</f>
        <v>0</v>
      </c>
      <c r="E22" s="228" t="s">
        <v>1579</v>
      </c>
      <c r="F22" s="229">
        <f ca="1">'数据-取费表'!B40</f>
        <v>0</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0</v>
      </c>
      <c r="D25" s="230"/>
      <c r="E25" s="233"/>
      <c r="F25" s="231"/>
      <c r="G25" s="234" t="s">
        <v>1588</v>
      </c>
    </row>
    <row r="26" spans="1:7" s="206" customFormat="1">
      <c r="A26" s="734" t="s">
        <v>350</v>
      </c>
      <c r="B26" s="207" t="s">
        <v>1511</v>
      </c>
      <c r="C26" s="230">
        <f ca="1">ROUND(IF('数据-取费表'!B22&lt;=1,F21*F22*'数据-取费表'!B22/2,F21*(POWER((1+F22),'数据-取费表'!B22/2)-1)),4)</f>
        <v>0</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#DIV/0!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0</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f ca="1">ROUND(SUM(C42:C43),0)</f>
        <v>0</v>
      </c>
      <c r="D41" s="227">
        <f ca="1">C44</f>
        <v>0</v>
      </c>
      <c r="E41" s="228" t="s">
        <v>1539</v>
      </c>
      <c r="F41" s="229">
        <f ca="1">F22</f>
        <v>0</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0</v>
      </c>
      <c r="D42" s="230"/>
      <c r="E42" s="230"/>
      <c r="F42" s="231"/>
      <c r="G42" s="3399" t="s">
        <v>1591</v>
      </c>
    </row>
    <row r="43" spans="1:7" ht="13.5" customHeight="1">
      <c r="A43" s="734" t="s">
        <v>347</v>
      </c>
      <c r="B43" s="207" t="s">
        <v>1545</v>
      </c>
      <c r="C43" s="230">
        <f ca="1">ROUND(IF('数据-取费表'!B22&lt;=1,C39*F22*'数据-取费表'!B20/2,C39*(POWER((1+F22),'数据-取费表'!B20/2)-1)),0)</f>
        <v>0</v>
      </c>
      <c r="D43" s="230"/>
      <c r="E43" s="230"/>
      <c r="F43" s="231"/>
      <c r="G43" s="3400"/>
    </row>
    <row r="44" spans="1:7" ht="13.5" customHeight="1">
      <c r="A44" s="734" t="s">
        <v>348</v>
      </c>
      <c r="B44" s="207" t="s">
        <v>1546</v>
      </c>
      <c r="C44" s="230">
        <f ca="1">ROUND(IF('数据-取费表'!B22&lt;=1,C40*F22*'数据-取费表'!B20/2,C40*(POWER((1+F22),'数据-取费表'!B20/2)-1)),4)</f>
        <v>0</v>
      </c>
      <c r="D44" s="230"/>
      <c r="E44" s="230"/>
      <c r="F44" s="231"/>
      <c r="G44" s="3401"/>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#DIV/0!</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#DIV/0!</v>
      </c>
      <c r="D51" s="224"/>
      <c r="E51" s="224"/>
      <c r="F51" s="256"/>
      <c r="G51" s="226" t="s">
        <v>1560</v>
      </c>
    </row>
    <row r="52" spans="1:7" s="200" customFormat="1" ht="16.5" thickBot="1">
      <c r="A52" s="257" t="s">
        <v>1561</v>
      </c>
      <c r="B52" s="258"/>
      <c r="C52" s="259" t="e">
        <f ca="1">C31+C51</f>
        <v>#DIV/0!</v>
      </c>
      <c r="D52" s="258"/>
      <c r="E52" s="258"/>
      <c r="F52" s="258"/>
      <c r="G52" s="260"/>
    </row>
    <row r="55" spans="1:7" ht="15">
      <c r="B55" s="262" t="s">
        <v>1562</v>
      </c>
      <c r="C55" s="263"/>
    </row>
    <row r="56" spans="1:7">
      <c r="B56" s="265" t="s">
        <v>802</v>
      </c>
      <c r="C56" s="267" t="e">
        <f ca="1">1-C57</f>
        <v>#DIV/0!</v>
      </c>
    </row>
    <row r="57" spans="1:7">
      <c r="B57" s="265" t="s">
        <v>803</v>
      </c>
      <c r="C57" s="266"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6</v>
      </c>
    </row>
    <row r="2" spans="1:33" ht="18" customHeight="1">
      <c r="A2" s="193" t="s">
        <v>1462</v>
      </c>
      <c r="B2" s="196" t="e">
        <f ca="1">C32</f>
        <v>#DIV/0!</v>
      </c>
      <c r="C2" s="268" t="s">
        <v>1595</v>
      </c>
      <c r="D2" s="268"/>
      <c r="E2" s="2568"/>
      <c r="F2" s="2568"/>
      <c r="G2" s="2568"/>
      <c r="H2" s="2568"/>
      <c r="I2" s="2568"/>
      <c r="J2" s="2568"/>
      <c r="K2" s="2568"/>
    </row>
    <row r="3" spans="1:33" ht="18" customHeight="1" thickBot="1">
      <c r="A3" s="195" t="s">
        <v>1464</v>
      </c>
      <c r="B3" s="196" t="e">
        <f ca="1">ROUND(B2*10000/IF(C1="",'数据-汇总表'!E3,INDIRECT("'数据-取费表'!K"&amp;$K$1)),0)</f>
        <v>#DIV/0!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0</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#DIV/0!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04" t="s">
        <v>694</v>
      </c>
      <c r="C6" s="1011">
        <f ca="1">ROUND(F6*F8*F7*(1-F9)/10000,0)</f>
        <v>0</v>
      </c>
      <c r="D6" s="147" t="s">
        <v>2109</v>
      </c>
      <c r="E6" s="294" t="s">
        <v>696</v>
      </c>
      <c r="F6" s="295">
        <f ca="1">INDIRECT("'数据-取费表'!u"&amp;$G$1)</f>
        <v>0</v>
      </c>
      <c r="G6" s="1292"/>
      <c r="H6" s="1006" t="s">
        <v>398</v>
      </c>
      <c r="I6" s="3404" t="s">
        <v>694</v>
      </c>
      <c r="J6" s="293">
        <f ca="1">ROUND(M6*M8*M7*(1-M9)/10000,0)</f>
        <v>0</v>
      </c>
      <c r="K6" s="147" t="s">
        <v>2108</v>
      </c>
      <c r="L6" s="294" t="s">
        <v>696</v>
      </c>
      <c r="M6" s="295">
        <f ca="1">INDIRECT("'数据-取费表'!z"&amp;$G$1)</f>
        <v>0</v>
      </c>
    </row>
    <row r="7" spans="1:37" ht="18" customHeight="1">
      <c r="A7" s="1010"/>
      <c r="B7" s="3405"/>
      <c r="C7" s="1012"/>
      <c r="D7" s="299"/>
      <c r="E7" s="1013" t="s">
        <v>697</v>
      </c>
      <c r="F7" s="295">
        <f ca="1">IF(INDIRECT("'数据-取费表'!ah"&amp;$G$1)="",INDIRECT("'数据-取费表'!k"&amp;$G$1),INDIRECT("'数据-取费表'!ah"&amp;$G$1))</f>
        <v>0</v>
      </c>
      <c r="G7" s="1292"/>
      <c r="H7" s="296"/>
      <c r="I7" s="3405"/>
      <c r="J7" s="298"/>
      <c r="K7" s="299"/>
      <c r="L7" s="294" t="s">
        <v>697</v>
      </c>
      <c r="M7" s="295">
        <f ca="1">F7</f>
        <v>0</v>
      </c>
    </row>
    <row r="8" spans="1:37" ht="18" customHeight="1">
      <c r="A8" s="296"/>
      <c r="B8" s="3405"/>
      <c r="C8" s="298"/>
      <c r="D8" s="299"/>
      <c r="E8" s="294" t="s">
        <v>698</v>
      </c>
      <c r="F8" s="295">
        <f ca="1">INDIRECT("'数据-取费表'!ai"&amp;$G$1)</f>
        <v>0</v>
      </c>
      <c r="G8" s="1292"/>
      <c r="H8" s="296"/>
      <c r="I8" s="3405"/>
      <c r="J8" s="298"/>
      <c r="K8" s="299"/>
      <c r="L8" s="294" t="s">
        <v>698</v>
      </c>
      <c r="M8" s="295">
        <f ca="1">INDIRECT("'数据-取费表'!ai"&amp;$G$1)</f>
        <v>0</v>
      </c>
    </row>
    <row r="9" spans="1:37" ht="18" customHeight="1">
      <c r="A9" s="296"/>
      <c r="B9" s="3406"/>
      <c r="C9" s="298"/>
      <c r="D9" s="299"/>
      <c r="E9" s="294" t="s">
        <v>699</v>
      </c>
      <c r="F9" s="304">
        <f ca="1">INDIRECT("'数据-取费表'!w"&amp;$G$1)</f>
        <v>0</v>
      </c>
      <c r="G9" s="1292"/>
      <c r="H9" s="296"/>
      <c r="I9" s="340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0</v>
      </c>
      <c r="G11" s="1292"/>
      <c r="H11" s="1014"/>
      <c r="I11" s="1275" t="s">
        <v>679</v>
      </c>
      <c r="J11" s="905"/>
      <c r="K11" s="646"/>
      <c r="L11" s="305" t="s">
        <v>702</v>
      </c>
      <c r="M11" s="809">
        <f ca="1">'数据-取费表'!B39</f>
        <v>0</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0</v>
      </c>
      <c r="D24" s="138" t="str">
        <f>IF(F23&lt;=1,"销售费用×利率×(建设周期÷2)","销售费用×((1+利率)^(建设周期÷2)-1)")</f>
        <v>销售费用×利率×(建设周期÷2)</v>
      </c>
      <c r="E24" s="294" t="s">
        <v>747</v>
      </c>
      <c r="F24" s="322">
        <f ca="1">'数据-取费表'!B40</f>
        <v>0</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402" t="s">
        <v>837</v>
      </c>
      <c r="L53" s="3403"/>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73" priority="3">
      <formula>$F$10="自定义"</formula>
    </cfRule>
  </conditionalFormatting>
  <conditionalFormatting sqref="C54">
    <cfRule type="expression" dxfId="172" priority="1">
      <formula>$F$53="自定义"</formula>
    </cfRule>
  </conditionalFormatting>
  <conditionalFormatting sqref="I55 I60">
    <cfRule type="expression" dxfId="171" priority="57">
      <formula>$J$51&gt;$L$48</formula>
    </cfRule>
  </conditionalFormatting>
  <conditionalFormatting sqref="J11">
    <cfRule type="expression" dxfId="170" priority="2">
      <formula>$M$10="自定义"</formula>
    </cfRule>
  </conditionalFormatting>
  <conditionalFormatting sqref="K55 K60">
    <cfRule type="expression" dxfId="169"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04" t="s">
        <v>694</v>
      </c>
      <c r="C6" s="1011">
        <f ca="1">ROUND(F6*F8*F7*(1-F9),0)</f>
        <v>0</v>
      </c>
      <c r="D6" s="147" t="s">
        <v>2106</v>
      </c>
      <c r="E6" s="294" t="s">
        <v>696</v>
      </c>
      <c r="F6" s="295">
        <f ca="1">INDIRECT("'数据-取费表'!u"&amp;$G$1)</f>
        <v>0</v>
      </c>
      <c r="G6" s="1292"/>
      <c r="H6" s="1006" t="s">
        <v>398</v>
      </c>
      <c r="I6" s="3404" t="s">
        <v>694</v>
      </c>
      <c r="J6" s="293">
        <f ca="1">ROUND(M6*M8*M7*(1-M9),0)</f>
        <v>0</v>
      </c>
      <c r="K6" s="1284" t="s">
        <v>2107</v>
      </c>
      <c r="L6" s="294" t="s">
        <v>696</v>
      </c>
      <c r="M6" s="295">
        <f ca="1">INDIRECT("'数据-取费表'!z"&amp;$G$1)</f>
        <v>0</v>
      </c>
    </row>
    <row r="7" spans="1:37" ht="18" customHeight="1">
      <c r="A7" s="1010"/>
      <c r="B7" s="3405"/>
      <c r="C7" s="1012"/>
      <c r="D7" s="299"/>
      <c r="E7" s="1013" t="s">
        <v>697</v>
      </c>
      <c r="F7" s="295">
        <f ca="1">IF(INDIRECT("'数据-取费表'!ah"&amp;$G$1)="",INDIRECT("'数据-取费表'!k"&amp;$G$1),INDIRECT("'数据-取费表'!ah"&amp;$G$1))</f>
        <v>0</v>
      </c>
      <c r="G7" s="1292"/>
      <c r="H7" s="296"/>
      <c r="I7" s="3405"/>
      <c r="J7" s="298"/>
      <c r="K7" s="299"/>
      <c r="L7" s="294" t="s">
        <v>697</v>
      </c>
      <c r="M7" s="295">
        <f ca="1">F7</f>
        <v>0</v>
      </c>
    </row>
    <row r="8" spans="1:37" ht="18" customHeight="1">
      <c r="A8" s="296"/>
      <c r="B8" s="3405"/>
      <c r="C8" s="298"/>
      <c r="D8" s="299"/>
      <c r="E8" s="294" t="s">
        <v>698</v>
      </c>
      <c r="F8" s="295">
        <f ca="1">INDIRECT("'数据-取费表'!ai"&amp;$G$1)</f>
        <v>0</v>
      </c>
      <c r="G8" s="1292"/>
      <c r="H8" s="296"/>
      <c r="I8" s="3405"/>
      <c r="J8" s="298"/>
      <c r="K8" s="299"/>
      <c r="L8" s="294" t="s">
        <v>698</v>
      </c>
      <c r="M8" s="295">
        <f ca="1">INDIRECT("'数据-取费表'!ai"&amp;$G$1)</f>
        <v>0</v>
      </c>
    </row>
    <row r="9" spans="1:37" ht="18" customHeight="1">
      <c r="A9" s="296"/>
      <c r="B9" s="3406"/>
      <c r="C9" s="298"/>
      <c r="D9" s="299"/>
      <c r="E9" s="294" t="s">
        <v>699</v>
      </c>
      <c r="F9" s="304">
        <f ca="1">INDIRECT("'数据-取费表'!w"&amp;$G$1)</f>
        <v>0</v>
      </c>
      <c r="G9" s="1292"/>
      <c r="H9" s="296"/>
      <c r="I9" s="340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0</v>
      </c>
      <c r="G11" s="1292"/>
      <c r="H11" s="1014"/>
      <c r="I11" s="1275" t="s">
        <v>891</v>
      </c>
      <c r="J11" s="905"/>
      <c r="K11" s="646"/>
      <c r="L11" s="305" t="s">
        <v>702</v>
      </c>
      <c r="M11" s="809">
        <f ca="1">'数据-取费表'!B39</f>
        <v>0</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0</v>
      </c>
      <c r="D24" s="138" t="str">
        <f>IF(F23&lt;=1,"销售费用×利率×(建设周期÷2)","销售费用×((1+利率)^(建设周期÷2)-1)")</f>
        <v>销售费用×利率×(建设周期÷2)</v>
      </c>
      <c r="E24" s="294" t="s">
        <v>747</v>
      </c>
      <c r="F24" s="322">
        <f ca="1">'数据-取费表'!B40</f>
        <v>0</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t="e">
        <f ca="1">ROUND((C68-C40)/10000,4)</f>
        <v>#DIV/0!</v>
      </c>
      <c r="D45" s="3131" t="s">
        <v>3351</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02" t="s">
        <v>837</v>
      </c>
      <c r="L53" s="3403"/>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68" priority="3">
      <formula>$F$10="自定义"</formula>
    </cfRule>
  </conditionalFormatting>
  <conditionalFormatting sqref="C54">
    <cfRule type="expression" dxfId="167" priority="1">
      <formula>$F$53="自定义"</formula>
    </cfRule>
  </conditionalFormatting>
  <conditionalFormatting sqref="I55 I60">
    <cfRule type="expression" dxfId="166" priority="5">
      <formula>$J$51&gt;$L$48</formula>
    </cfRule>
  </conditionalFormatting>
  <conditionalFormatting sqref="J11">
    <cfRule type="expression" dxfId="165" priority="2">
      <formula>$M$10="自定义"</formula>
    </cfRule>
  </conditionalFormatting>
  <conditionalFormatting sqref="K55 K60">
    <cfRule type="expression" dxfId="164"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3357</v>
      </c>
      <c r="E2" s="3140"/>
      <c r="F2" s="2598"/>
      <c r="G2" s="2599"/>
      <c r="H2" s="2600"/>
      <c r="I2" s="2601"/>
      <c r="J2" s="3413" t="s">
        <v>2317</v>
      </c>
      <c r="K2" s="3414"/>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415" t="s">
        <v>2327</v>
      </c>
      <c r="K3" s="3416"/>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415" t="s">
        <v>2329</v>
      </c>
      <c r="K4" s="3416"/>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421" t="s">
        <v>2333</v>
      </c>
      <c r="B6" s="3422"/>
      <c r="C6" s="3423"/>
      <c r="D6" s="2622"/>
      <c r="E6" s="2623"/>
      <c r="F6" s="2624"/>
      <c r="G6" s="2625"/>
      <c r="H6" s="2600"/>
      <c r="I6" s="2601"/>
      <c r="J6" s="3407">
        <v>1</v>
      </c>
      <c r="K6" s="3408"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407"/>
      <c r="K7" s="3409"/>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424" t="s">
        <v>2347</v>
      </c>
      <c r="C8" s="3425"/>
      <c r="D8" s="2641" t="s">
        <v>2348</v>
      </c>
      <c r="E8" s="2642" t="s">
        <v>2349</v>
      </c>
      <c r="F8" s="2643" t="s">
        <v>2350</v>
      </c>
      <c r="G8" s="2644"/>
      <c r="H8" s="2600"/>
      <c r="I8" s="2601"/>
      <c r="J8" s="3407"/>
      <c r="K8" s="3409"/>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424" t="s">
        <v>2353</v>
      </c>
      <c r="C9" s="3425"/>
      <c r="D9" s="2641">
        <f>ROUND(D6*E9,0)</f>
        <v>0</v>
      </c>
      <c r="E9" s="2645"/>
      <c r="F9" s="2646" t="s">
        <v>2354</v>
      </c>
      <c r="G9" s="2625"/>
      <c r="H9" s="2600"/>
      <c r="I9" s="2601"/>
      <c r="J9" s="3407"/>
      <c r="K9" s="3409"/>
      <c r="L9" s="2635" t="s">
        <v>2355</v>
      </c>
      <c r="M9" s="2636"/>
      <c r="N9" s="2612"/>
      <c r="O9" s="2637"/>
      <c r="P9" s="2637"/>
      <c r="Q9" s="2638">
        <v>365</v>
      </c>
      <c r="R9" s="2639">
        <f t="shared" si="0"/>
        <v>0</v>
      </c>
      <c r="S9" s="2593"/>
      <c r="T9" s="2593"/>
      <c r="U9" s="2593"/>
      <c r="V9" s="2601"/>
    </row>
    <row r="10" spans="1:22" s="2605" customFormat="1" ht="13.15" customHeight="1">
      <c r="A10" s="2640">
        <v>2</v>
      </c>
      <c r="B10" s="3424" t="s">
        <v>2356</v>
      </c>
      <c r="C10" s="3425"/>
      <c r="D10" s="2641">
        <f>ROUND(D6*E10,0)</f>
        <v>0</v>
      </c>
      <c r="E10" s="2645"/>
      <c r="F10" s="2646" t="s">
        <v>2357</v>
      </c>
      <c r="G10" s="2625"/>
      <c r="H10" s="2600"/>
      <c r="I10" s="2601"/>
      <c r="J10" s="3407"/>
      <c r="K10" s="3409"/>
      <c r="L10" s="2635" t="s">
        <v>2358</v>
      </c>
      <c r="M10" s="2636"/>
      <c r="N10" s="2612"/>
      <c r="O10" s="2637"/>
      <c r="P10" s="2637"/>
      <c r="Q10" s="2638">
        <v>365</v>
      </c>
      <c r="R10" s="2639">
        <f t="shared" si="0"/>
        <v>0</v>
      </c>
      <c r="S10" s="2593"/>
      <c r="T10" s="2593"/>
      <c r="U10" s="2593"/>
      <c r="V10" s="2601"/>
    </row>
    <row r="11" spans="1:22" s="2605" customFormat="1" ht="13.15" customHeight="1">
      <c r="A11" s="2640">
        <v>3</v>
      </c>
      <c r="B11" s="3424" t="s">
        <v>2359</v>
      </c>
      <c r="C11" s="3425"/>
      <c r="D11" s="2641">
        <f>D12+D14+D15+D16</f>
        <v>0</v>
      </c>
      <c r="E11" s="2647" t="e">
        <f>D11/D6</f>
        <v>#DIV/0!</v>
      </c>
      <c r="F11" s="2643"/>
      <c r="G11" s="2644"/>
      <c r="H11" s="2600"/>
      <c r="I11" s="2601"/>
      <c r="J11" s="3407"/>
      <c r="K11" s="3409"/>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417" t="s">
        <v>2362</v>
      </c>
      <c r="C12" s="3418"/>
      <c r="D12" s="2649">
        <f>ROUND(D13*1.2%*(1-30%),0)</f>
        <v>0</v>
      </c>
      <c r="E12" s="2650">
        <v>1.2E-2</v>
      </c>
      <c r="F12" s="2643" t="s">
        <v>2363</v>
      </c>
      <c r="G12" s="2644"/>
      <c r="H12" s="2600"/>
      <c r="I12" s="2601"/>
      <c r="J12" s="3407"/>
      <c r="K12" s="3409"/>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407"/>
      <c r="K13" s="3409"/>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417" t="s">
        <v>2368</v>
      </c>
      <c r="C14" s="3418"/>
      <c r="D14" s="2649">
        <f>ROUND(E14*B5/10000,0)</f>
        <v>0</v>
      </c>
      <c r="E14" s="2638"/>
      <c r="F14" s="2643" t="s">
        <v>2369</v>
      </c>
      <c r="G14" s="2644"/>
      <c r="H14" s="2600"/>
      <c r="I14" s="2601"/>
      <c r="J14" s="3407"/>
      <c r="K14" s="3410"/>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417" t="s">
        <v>2372</v>
      </c>
      <c r="C15" s="3418"/>
      <c r="D15" s="2649">
        <f>ROUND(D6*E15,0)</f>
        <v>0</v>
      </c>
      <c r="E15" s="2650">
        <v>5.5E-2</v>
      </c>
      <c r="F15" s="2643" t="s">
        <v>2373</v>
      </c>
      <c r="G15" s="2625"/>
      <c r="H15" s="2600"/>
      <c r="I15" s="2601"/>
      <c r="J15" s="3407">
        <v>2</v>
      </c>
      <c r="K15" s="3408"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417" t="s">
        <v>2381</v>
      </c>
      <c r="C16" s="3418"/>
      <c r="D16" s="2660">
        <f>D6*E16</f>
        <v>0</v>
      </c>
      <c r="E16" s="2661"/>
      <c r="F16" s="2646" t="s">
        <v>2382</v>
      </c>
      <c r="G16" s="2625"/>
      <c r="H16" s="2600"/>
      <c r="I16" s="2601"/>
      <c r="J16" s="3407"/>
      <c r="K16" s="3409"/>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419" t="s">
        <v>2384</v>
      </c>
      <c r="C17" s="3420"/>
      <c r="D17" s="2663">
        <f>ROUND(D6*E17,0)</f>
        <v>0</v>
      </c>
      <c r="E17" s="2664"/>
      <c r="F17" s="2665" t="s">
        <v>2385</v>
      </c>
      <c r="G17" s="2625"/>
      <c r="H17" s="2600"/>
      <c r="I17" s="2601"/>
      <c r="J17" s="3407"/>
      <c r="K17" s="3409"/>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407"/>
      <c r="K18" s="3409"/>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407"/>
      <c r="K19" s="3410"/>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07">
        <v>3</v>
      </c>
      <c r="K20" s="3408"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407"/>
      <c r="K21" s="3409"/>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407"/>
      <c r="K22" s="3409"/>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407"/>
      <c r="K23" s="3409"/>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407"/>
      <c r="K24" s="3410"/>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411">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412"/>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413" t="s">
        <v>2317</v>
      </c>
      <c r="K32" s="3414"/>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415" t="s">
        <v>2327</v>
      </c>
      <c r="K33" s="3416"/>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415" t="s">
        <v>2329</v>
      </c>
      <c r="K34" s="3416"/>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407">
        <v>1</v>
      </c>
      <c r="K36" s="3408"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407"/>
      <c r="K37" s="3409"/>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07"/>
      <c r="K38" s="3409"/>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407"/>
      <c r="K39" s="3409"/>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407"/>
      <c r="K40" s="3410"/>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411">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412"/>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26" t="s">
        <v>1654</v>
      </c>
      <c r="C5" s="3427"/>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679BF-4442-4695-8C5E-BEB438A990BD}">
  <dimension ref="A3:T29"/>
  <sheetViews>
    <sheetView workbookViewId="0">
      <selection activeCell="D37" sqref="D37"/>
    </sheetView>
  </sheetViews>
  <sheetFormatPr defaultRowHeight="13.5"/>
  <cols>
    <col min="2" max="2" width="12.75" bestFit="1" customWidth="1"/>
    <col min="3" max="3" width="11.625" bestFit="1" customWidth="1"/>
    <col min="4" max="4" width="10.5" bestFit="1" customWidth="1"/>
    <col min="8" max="8" width="37.75" style="3171" customWidth="1"/>
    <col min="9" max="9" width="15.125" style="3171" bestFit="1" customWidth="1"/>
    <col min="10" max="10" width="21" bestFit="1" customWidth="1"/>
    <col min="12" max="12" width="11.625" bestFit="1" customWidth="1"/>
    <col min="13" max="13" width="11.625" customWidth="1"/>
    <col min="14" max="14" width="11.625" bestFit="1" customWidth="1"/>
    <col min="15" max="15" width="11.625" customWidth="1"/>
    <col min="16" max="18" width="11.625" bestFit="1" customWidth="1"/>
  </cols>
  <sheetData>
    <row r="3" spans="7:20">
      <c r="P3" s="3174">
        <v>46122</v>
      </c>
      <c r="Q3" s="3173"/>
    </row>
    <row r="4" spans="7:20">
      <c r="H4" s="3170" t="s">
        <v>3420</v>
      </c>
      <c r="I4" s="3170" t="s">
        <v>3425</v>
      </c>
      <c r="J4" s="1405" t="s">
        <v>3426</v>
      </c>
      <c r="K4" s="1405" t="s">
        <v>3424</v>
      </c>
      <c r="L4" s="1405" t="s">
        <v>3422</v>
      </c>
      <c r="M4" s="1405"/>
      <c r="N4" s="1405" t="s">
        <v>3423</v>
      </c>
      <c r="O4" s="1405"/>
      <c r="P4" s="1405" t="s">
        <v>3435</v>
      </c>
      <c r="Q4" s="1405" t="s">
        <v>3436</v>
      </c>
      <c r="R4" s="1405" t="s">
        <v>3445</v>
      </c>
      <c r="S4" s="3179" t="s">
        <v>3446</v>
      </c>
    </row>
    <row r="5" spans="7:20" ht="27">
      <c r="G5" s="1405" t="s">
        <v>3417</v>
      </c>
      <c r="H5" s="3170" t="s">
        <v>3418</v>
      </c>
      <c r="I5" s="3170" t="s">
        <v>3421</v>
      </c>
      <c r="J5" s="1405" t="s">
        <v>3419</v>
      </c>
      <c r="K5">
        <v>29500</v>
      </c>
      <c r="L5" s="3172">
        <v>45259</v>
      </c>
      <c r="M5" s="3172">
        <v>45990</v>
      </c>
      <c r="N5" s="3172">
        <v>45648</v>
      </c>
      <c r="O5" s="3172">
        <v>46013</v>
      </c>
      <c r="P5" s="3175">
        <f>ROUND(YEARFRAC(O5,$P$3,3)+1,4)</f>
        <v>1.2986</v>
      </c>
      <c r="Q5">
        <f>ROUND(YEARFRAC(M5,$P$3,3)+2,4)</f>
        <v>2.3616000000000001</v>
      </c>
      <c r="R5" s="3173">
        <v>1.0500000000000001E-2</v>
      </c>
      <c r="S5" s="3179">
        <f>ROUND(K5*(1-2%*P5+$R$5*Q5),0)</f>
        <v>29465</v>
      </c>
      <c r="T5">
        <f>S5-K5</f>
        <v>-35</v>
      </c>
    </row>
    <row r="6" spans="7:20" ht="27">
      <c r="H6" s="3170" t="s">
        <v>3427</v>
      </c>
      <c r="I6" s="3170" t="s">
        <v>3428</v>
      </c>
      <c r="J6" s="1405" t="s">
        <v>3429</v>
      </c>
      <c r="K6">
        <v>29500</v>
      </c>
      <c r="L6" s="3172">
        <v>45259</v>
      </c>
      <c r="M6" s="3172">
        <v>45990</v>
      </c>
      <c r="N6" s="3172">
        <v>45646</v>
      </c>
      <c r="O6" s="3172">
        <v>46011</v>
      </c>
      <c r="P6" s="3175">
        <f>ROUND(YEARFRAC(O6,$P$3,3)+1,4)</f>
        <v>1.3041</v>
      </c>
      <c r="Q6">
        <f>ROUND(YEARFRAC(M6,$P$3,3)+2,4)</f>
        <v>2.3616000000000001</v>
      </c>
      <c r="R6" s="3173">
        <v>1.0500000000000001E-2</v>
      </c>
      <c r="S6" s="3179">
        <f>ROUND(K6*(1-2%*P6+$R$5*Q6),0)</f>
        <v>29462</v>
      </c>
      <c r="T6">
        <f>S6-K6</f>
        <v>-38</v>
      </c>
    </row>
    <row r="7" spans="7:20">
      <c r="S7" s="3179"/>
    </row>
    <row r="8" spans="7:20" ht="27">
      <c r="G8" s="1405" t="s">
        <v>3430</v>
      </c>
      <c r="H8" s="3170" t="s">
        <v>3431</v>
      </c>
      <c r="I8" s="3170" t="s">
        <v>3432</v>
      </c>
      <c r="J8" s="1405" t="s">
        <v>3433</v>
      </c>
      <c r="K8">
        <v>30000</v>
      </c>
      <c r="L8" s="3172">
        <v>44192</v>
      </c>
      <c r="M8" s="3172">
        <v>46018</v>
      </c>
      <c r="N8" s="3172">
        <v>44862</v>
      </c>
      <c r="O8" s="3172">
        <v>45958</v>
      </c>
      <c r="P8" s="3175">
        <f>ROUND(YEARFRAC(O8,$P$3,3)+3,4)</f>
        <v>3.4493</v>
      </c>
      <c r="Q8">
        <f>ROUND(YEARFRAC(M8,$P$3,3)+5,4)</f>
        <v>5.2849000000000004</v>
      </c>
      <c r="R8" s="3173">
        <v>1.2999999999999999E-2</v>
      </c>
      <c r="S8" s="3179">
        <f>ROUND(K8*(1-2%*P8+$R$5*Q8),0)</f>
        <v>29595</v>
      </c>
      <c r="T8">
        <f>S8-K8</f>
        <v>-405</v>
      </c>
    </row>
    <row r="12" spans="7:20">
      <c r="M12">
        <f>K5/60</f>
        <v>491.66666666666669</v>
      </c>
    </row>
    <row r="13" spans="7:20">
      <c r="M13">
        <f>M12/K5</f>
        <v>1.6666666666666666E-2</v>
      </c>
    </row>
    <row r="14" spans="7:20">
      <c r="P14" s="3172">
        <v>45958</v>
      </c>
    </row>
    <row r="15" spans="7:20">
      <c r="P15">
        <f>P3-P14</f>
        <v>164</v>
      </c>
      <c r="Q15" s="3172"/>
    </row>
    <row r="16" spans="7:20">
      <c r="I16" s="1405" t="s">
        <v>3434</v>
      </c>
      <c r="P16">
        <f>P15/365</f>
        <v>0.44931506849315067</v>
      </c>
      <c r="Q16" s="3172"/>
      <c r="R16">
        <f>ROUND(YEARFRAC(P14,$P$3,3),4)</f>
        <v>0.44929999999999998</v>
      </c>
    </row>
    <row r="17" spans="1:18">
      <c r="Q17" s="3172"/>
    </row>
    <row r="18" spans="1:18">
      <c r="J18" s="1405" t="s">
        <v>3441</v>
      </c>
      <c r="K18" s="1405" t="s">
        <v>3442</v>
      </c>
      <c r="L18" s="1405" t="s">
        <v>3443</v>
      </c>
      <c r="M18" s="1405"/>
      <c r="N18" s="1405" t="s">
        <v>3444</v>
      </c>
      <c r="O18" s="1405"/>
      <c r="R18" s="3172"/>
    </row>
    <row r="19" spans="1:18">
      <c r="C19">
        <f>C22*E21</f>
        <v>20033.650000000001</v>
      </c>
      <c r="F19">
        <f>G22/F22</f>
        <v>0.77310000000000001</v>
      </c>
      <c r="I19" s="3170" t="s">
        <v>3437</v>
      </c>
      <c r="J19">
        <v>0.95</v>
      </c>
      <c r="K19">
        <v>0.95</v>
      </c>
      <c r="L19">
        <v>0.95</v>
      </c>
      <c r="N19">
        <v>0.95</v>
      </c>
      <c r="R19" s="3172"/>
    </row>
    <row r="20" spans="1:18">
      <c r="B20">
        <f>F22/B22</f>
        <v>0.72651539001767851</v>
      </c>
      <c r="G20" s="3171"/>
      <c r="I20" s="3170" t="s">
        <v>3438</v>
      </c>
      <c r="J20">
        <v>1.05</v>
      </c>
      <c r="K20">
        <v>1.05</v>
      </c>
      <c r="L20">
        <v>1.05</v>
      </c>
      <c r="N20">
        <v>1.05</v>
      </c>
      <c r="Q20" s="3176"/>
    </row>
    <row r="21" spans="1:18">
      <c r="B21" s="3590">
        <v>44192</v>
      </c>
      <c r="C21" s="3590">
        <v>46122</v>
      </c>
      <c r="D21" s="1448" t="s">
        <v>4114</v>
      </c>
      <c r="E21" s="3592">
        <v>0.65</v>
      </c>
      <c r="F21" s="1448" t="s">
        <v>4113</v>
      </c>
      <c r="G21" s="3601" t="s">
        <v>3446</v>
      </c>
      <c r="I21" s="3170" t="s">
        <v>3439</v>
      </c>
      <c r="J21">
        <v>1.25</v>
      </c>
      <c r="K21">
        <v>1.25</v>
      </c>
      <c r="L21">
        <v>1.25</v>
      </c>
      <c r="N21">
        <v>1.25</v>
      </c>
    </row>
    <row r="22" spans="1:18">
      <c r="A22" s="1405" t="s">
        <v>3430</v>
      </c>
      <c r="B22" s="3591">
        <f>'比较法-诺德彩园2020.12.27'!C48</f>
        <v>41293</v>
      </c>
      <c r="C22" s="3591">
        <f>'比较法-诺德彩园2026.4.10'!C48</f>
        <v>30821</v>
      </c>
      <c r="D22" s="3591">
        <f>B22-C22</f>
        <v>10472</v>
      </c>
      <c r="E22" s="3591">
        <f>ROUND(D22*E21,0)</f>
        <v>6807</v>
      </c>
      <c r="F22" s="3591">
        <v>30000</v>
      </c>
      <c r="G22" s="3601">
        <f>F22-E22</f>
        <v>23193</v>
      </c>
      <c r="I22" s="3170" t="s">
        <v>3440</v>
      </c>
      <c r="J22">
        <v>1.3</v>
      </c>
      <c r="K22">
        <v>1.3</v>
      </c>
      <c r="L22">
        <v>1.3</v>
      </c>
      <c r="N22">
        <v>1.3</v>
      </c>
    </row>
    <row r="23" spans="1:18">
      <c r="G23" s="3179"/>
    </row>
    <row r="24" spans="1:18">
      <c r="G24" s="3179"/>
    </row>
    <row r="25" spans="1:18">
      <c r="B25" s="3172">
        <v>45259</v>
      </c>
      <c r="C25" s="3172">
        <v>46122</v>
      </c>
      <c r="D25" s="1448" t="s">
        <v>4114</v>
      </c>
      <c r="E25" s="3589">
        <v>0.85</v>
      </c>
      <c r="F25" s="1448" t="s">
        <v>4113</v>
      </c>
      <c r="G25" s="3601" t="s">
        <v>3446</v>
      </c>
    </row>
    <row r="26" spans="1:18">
      <c r="A26" s="1405" t="s">
        <v>3417</v>
      </c>
      <c r="B26">
        <f>'比较法-西山印2023.11.29'!C48</f>
        <v>35517</v>
      </c>
      <c r="C26">
        <f>'比较法-西山印2026.4.10'!C48</f>
        <v>24960</v>
      </c>
      <c r="D26">
        <f>B26-C26</f>
        <v>10557</v>
      </c>
      <c r="E26">
        <f>ROUND(E25*D26,0)</f>
        <v>8973</v>
      </c>
      <c r="F26">
        <v>29000</v>
      </c>
      <c r="G26" s="3179">
        <f>F26-E26</f>
        <v>20027</v>
      </c>
    </row>
    <row r="27" spans="1:18">
      <c r="G27" s="3179"/>
    </row>
    <row r="29" spans="1:18">
      <c r="C29">
        <f>C26*E25</f>
        <v>21216</v>
      </c>
      <c r="F29">
        <f>G26/F26</f>
        <v>0.6905862068965517</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B4" zoomScaleNormal="60" zoomScaleSheetLayoutView="100" workbookViewId="0">
      <selection activeCell="I26" sqref="I2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t="s">
        <v>4099</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IF(C2="——",C49,ROUND(B2*10000/D3,0))</f>
        <v>#DIV/0!</v>
      </c>
      <c r="C3" s="344" t="s">
        <v>1665</v>
      </c>
      <c r="D3" s="343">
        <f>IF(D1="",'数据-汇总表'!E3,SUMIF('数据-汇总表'!$C19:$C33,D1,'数据-汇总表'!$E19:$E33))</f>
        <v>0</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46" t="s">
        <v>1667</v>
      </c>
      <c r="D4" s="3447"/>
      <c r="E4" s="3448" t="s">
        <v>1668</v>
      </c>
      <c r="F4" s="3449"/>
      <c r="G4" s="3446" t="s">
        <v>1669</v>
      </c>
      <c r="H4" s="3447"/>
      <c r="I4" s="3446" t="s">
        <v>1670</v>
      </c>
      <c r="J4" s="3447"/>
      <c r="K4" s="1744" t="s">
        <v>1671</v>
      </c>
      <c r="L4" s="2487"/>
      <c r="M4" s="2488"/>
      <c r="N4" s="2488"/>
      <c r="O4" s="2488"/>
      <c r="P4" s="3450" t="s">
        <v>1672</v>
      </c>
      <c r="Q4" s="3451"/>
      <c r="R4" s="3456" t="s">
        <v>1668</v>
      </c>
      <c r="S4" s="3457"/>
      <c r="T4" s="3456" t="s">
        <v>1669</v>
      </c>
      <c r="U4" s="3457"/>
      <c r="V4" s="3432" t="s">
        <v>1670</v>
      </c>
      <c r="W4" s="3432"/>
      <c r="X4" s="1265"/>
      <c r="Y4" s="3456" t="s">
        <v>1672</v>
      </c>
      <c r="Z4" s="3457"/>
      <c r="AA4" s="3443" t="s">
        <v>1668</v>
      </c>
      <c r="AB4" s="3443" t="s">
        <v>1669</v>
      </c>
      <c r="AC4" s="3443" t="s">
        <v>1670</v>
      </c>
    </row>
    <row r="5" spans="1:29" ht="15">
      <c r="A5" s="348"/>
      <c r="B5" s="349"/>
      <c r="C5" s="3564" t="s">
        <v>4091</v>
      </c>
      <c r="D5" s="3465"/>
      <c r="E5" s="3471" t="str">
        <f>诺德彩园案例!Q6</f>
        <v>丽景长安</v>
      </c>
      <c r="F5" s="3472"/>
      <c r="G5" s="3464" t="str">
        <f>诺德彩园案例!Q7</f>
        <v>梧桐苑</v>
      </c>
      <c r="H5" s="3465"/>
      <c r="I5" s="3464" t="str">
        <f>诺德彩园案例!Q11</f>
        <v>润西山苑</v>
      </c>
      <c r="J5" s="3465"/>
      <c r="K5" s="1745"/>
      <c r="L5" s="2487"/>
      <c r="M5" s="2488"/>
      <c r="N5" s="2488"/>
      <c r="O5" s="2488"/>
      <c r="P5" s="3452"/>
      <c r="Q5" s="3453"/>
      <c r="R5" s="3458"/>
      <c r="S5" s="3459"/>
      <c r="T5" s="3458"/>
      <c r="U5" s="3459"/>
      <c r="V5" s="3432"/>
      <c r="W5" s="3432"/>
      <c r="X5" s="1265"/>
      <c r="Y5" s="3458"/>
      <c r="Z5" s="3459"/>
      <c r="AA5" s="3444"/>
      <c r="AB5" s="3444"/>
      <c r="AC5" s="3444"/>
    </row>
    <row r="6" spans="1:29" ht="15.75" thickBot="1">
      <c r="A6" s="350"/>
      <c r="B6" s="351"/>
      <c r="C6" s="3462" t="s">
        <v>1677</v>
      </c>
      <c r="D6" s="3463"/>
      <c r="E6" s="3469" t="s">
        <v>1677</v>
      </c>
      <c r="F6" s="3470"/>
      <c r="G6" s="3462" t="s">
        <v>1677</v>
      </c>
      <c r="H6" s="3463"/>
      <c r="I6" s="3462" t="s">
        <v>1677</v>
      </c>
      <c r="J6" s="3463"/>
      <c r="K6" s="1745" t="s">
        <v>1678</v>
      </c>
      <c r="L6" s="2487"/>
      <c r="M6" s="2488"/>
      <c r="N6" s="2488"/>
      <c r="O6" s="2488"/>
      <c r="P6" s="3454"/>
      <c r="Q6" s="3455"/>
      <c r="R6" s="3458"/>
      <c r="S6" s="3459"/>
      <c r="T6" s="3460"/>
      <c r="U6" s="3461"/>
      <c r="V6" s="3432"/>
      <c r="W6" s="3432"/>
      <c r="X6" s="1265"/>
      <c r="Y6" s="3460"/>
      <c r="Z6" s="3461"/>
      <c r="AA6" s="3445"/>
      <c r="AB6" s="3445"/>
      <c r="AC6" s="3445"/>
    </row>
    <row r="7" spans="1:29" s="102" customFormat="1" ht="15.75" thickBot="1">
      <c r="A7" s="352" t="s">
        <v>1679</v>
      </c>
      <c r="B7" s="353"/>
      <c r="C7" s="354">
        <v>44192</v>
      </c>
      <c r="D7" s="355">
        <v>100</v>
      </c>
      <c r="E7" s="356">
        <f>诺德彩园案例!AI6</f>
        <v>44149</v>
      </c>
      <c r="F7" s="357">
        <f>SUMIF(58:58,YEAR(E7)&amp;"-"&amp;MONTH(E7),59:59)</f>
        <v>100</v>
      </c>
      <c r="G7" s="356">
        <f>诺德彩园案例!AI8</f>
        <v>44140</v>
      </c>
      <c r="H7" s="355">
        <f>SUMIF(58:58,YEAR(G7)&amp;"-"&amp;MONTH(G7),59:59)</f>
        <v>100</v>
      </c>
      <c r="I7" s="356">
        <f>诺德彩园案例!AI11</f>
        <v>44170</v>
      </c>
      <c r="J7" s="355">
        <f>SUMIF(58:58,YEAR(I7)&amp;"-"&amp;MONTH(I7),59:59)</f>
        <v>100</v>
      </c>
      <c r="K7" s="1746"/>
      <c r="L7" s="2489"/>
      <c r="M7" s="2440"/>
      <c r="N7" s="2440"/>
      <c r="O7" s="2440"/>
      <c r="P7" s="3466" t="s">
        <v>1680</v>
      </c>
      <c r="Q7" s="3468"/>
      <c r="R7" s="664" t="s">
        <v>20</v>
      </c>
      <c r="S7" s="665">
        <f t="shared" ref="S7:S15" si="0">F7</f>
        <v>100</v>
      </c>
      <c r="T7" s="664" t="s">
        <v>20</v>
      </c>
      <c r="U7" s="665">
        <f t="shared" ref="U7:U15" si="1">H7</f>
        <v>100</v>
      </c>
      <c r="V7" s="664" t="s">
        <v>20</v>
      </c>
      <c r="W7" s="665">
        <f t="shared" ref="W7:W15" si="2">J7</f>
        <v>100</v>
      </c>
      <c r="X7" s="666"/>
      <c r="Y7" s="3466" t="s">
        <v>1680</v>
      </c>
      <c r="Z7" s="3467"/>
      <c r="AA7" s="50">
        <f>D7/F7</f>
        <v>1</v>
      </c>
      <c r="AB7" s="50">
        <f>D7/H7</f>
        <v>1</v>
      </c>
      <c r="AC7" s="50">
        <f>D7/J7</f>
        <v>1</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66" t="s">
        <v>1683</v>
      </c>
      <c r="Q8" s="3467"/>
      <c r="R8" s="664" t="s">
        <v>20</v>
      </c>
      <c r="S8" s="665">
        <f t="shared" si="0"/>
        <v>100</v>
      </c>
      <c r="T8" s="664" t="s">
        <v>20</v>
      </c>
      <c r="U8" s="665">
        <f t="shared" si="1"/>
        <v>100</v>
      </c>
      <c r="V8" s="664" t="s">
        <v>20</v>
      </c>
      <c r="W8" s="665">
        <f t="shared" si="2"/>
        <v>100</v>
      </c>
      <c r="X8" s="666"/>
      <c r="Y8" s="3466" t="s">
        <v>1683</v>
      </c>
      <c r="Z8" s="346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42" t="s">
        <v>1686</v>
      </c>
      <c r="Q9" s="530" t="str">
        <f t="shared" ref="Q9:Q15" si="6">B9</f>
        <v>用途</v>
      </c>
      <c r="R9" s="664" t="s">
        <v>14</v>
      </c>
      <c r="S9" s="665">
        <f t="shared" si="0"/>
        <v>100</v>
      </c>
      <c r="T9" s="664" t="s">
        <v>14</v>
      </c>
      <c r="U9" s="665">
        <f t="shared" si="1"/>
        <v>100</v>
      </c>
      <c r="V9" s="664" t="s">
        <v>14</v>
      </c>
      <c r="W9" s="665">
        <f t="shared" si="2"/>
        <v>100</v>
      </c>
      <c r="X9" s="666"/>
      <c r="Y9" s="3306"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42"/>
      <c r="Q10" s="530" t="str">
        <f t="shared" si="6"/>
        <v>土地使用年限（年）</v>
      </c>
      <c r="R10" s="664" t="s">
        <v>14</v>
      </c>
      <c r="S10" s="665">
        <f t="shared" si="0"/>
        <v>100</v>
      </c>
      <c r="T10" s="664" t="s">
        <v>14</v>
      </c>
      <c r="U10" s="665">
        <f t="shared" si="1"/>
        <v>100</v>
      </c>
      <c r="V10" s="664" t="s">
        <v>14</v>
      </c>
      <c r="W10" s="665">
        <f t="shared" si="2"/>
        <v>100</v>
      </c>
      <c r="X10" s="666"/>
      <c r="Y10" s="3306"/>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2"/>
      <c r="M11" s="2488"/>
      <c r="N11" s="2488"/>
      <c r="O11" s="2488"/>
      <c r="P11" s="3442"/>
      <c r="Q11" s="530" t="str">
        <f t="shared" si="6"/>
        <v>容积率</v>
      </c>
      <c r="R11" s="664" t="s">
        <v>18</v>
      </c>
      <c r="S11" s="665">
        <f t="shared" si="0"/>
        <v>100</v>
      </c>
      <c r="T11" s="664" t="s">
        <v>18</v>
      </c>
      <c r="U11" s="665">
        <f t="shared" si="1"/>
        <v>100</v>
      </c>
      <c r="V11" s="664" t="s">
        <v>18</v>
      </c>
      <c r="W11" s="665">
        <f t="shared" si="2"/>
        <v>100</v>
      </c>
      <c r="X11" s="666"/>
      <c r="Y11" s="3306"/>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42"/>
      <c r="Q12" s="530">
        <f t="shared" si="6"/>
        <v>111</v>
      </c>
      <c r="R12" s="664" t="s">
        <v>18</v>
      </c>
      <c r="S12" s="665">
        <f t="shared" si="0"/>
        <v>100</v>
      </c>
      <c r="T12" s="664" t="s">
        <v>18</v>
      </c>
      <c r="U12" s="665">
        <f t="shared" si="1"/>
        <v>100</v>
      </c>
      <c r="V12" s="664" t="s">
        <v>18</v>
      </c>
      <c r="W12" s="665">
        <f t="shared" si="2"/>
        <v>100</v>
      </c>
      <c r="X12" s="666"/>
      <c r="Y12" s="330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42"/>
      <c r="Q13" s="530">
        <f t="shared" si="6"/>
        <v>111</v>
      </c>
      <c r="R13" s="664" t="s">
        <v>18</v>
      </c>
      <c r="S13" s="665">
        <f t="shared" si="0"/>
        <v>100</v>
      </c>
      <c r="T13" s="664" t="s">
        <v>18</v>
      </c>
      <c r="U13" s="665">
        <f t="shared" si="1"/>
        <v>100</v>
      </c>
      <c r="V13" s="664" t="s">
        <v>18</v>
      </c>
      <c r="W13" s="665">
        <f t="shared" si="2"/>
        <v>100</v>
      </c>
      <c r="X13" s="666"/>
      <c r="Y13" s="3306"/>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42"/>
      <c r="Q14" s="530">
        <f t="shared" si="6"/>
        <v>111</v>
      </c>
      <c r="R14" s="664" t="s">
        <v>18</v>
      </c>
      <c r="S14" s="665">
        <f t="shared" si="0"/>
        <v>100</v>
      </c>
      <c r="T14" s="664" t="s">
        <v>18</v>
      </c>
      <c r="U14" s="665">
        <f t="shared" si="1"/>
        <v>100</v>
      </c>
      <c r="V14" s="664" t="s">
        <v>18</v>
      </c>
      <c r="W14" s="665">
        <f t="shared" si="2"/>
        <v>100</v>
      </c>
      <c r="X14" s="666"/>
      <c r="Y14" s="3306"/>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40" t="s">
        <v>1691</v>
      </c>
      <c r="Q15" s="1263" t="str">
        <f t="shared" si="6"/>
        <v>居住社区成熟度</v>
      </c>
      <c r="R15" s="667" t="s">
        <v>18</v>
      </c>
      <c r="S15" s="668">
        <f t="shared" si="0"/>
        <v>100</v>
      </c>
      <c r="T15" s="667" t="s">
        <v>18</v>
      </c>
      <c r="U15" s="668">
        <f t="shared" si="1"/>
        <v>100</v>
      </c>
      <c r="V15" s="667" t="s">
        <v>18</v>
      </c>
      <c r="W15" s="668">
        <f t="shared" si="2"/>
        <v>100</v>
      </c>
      <c r="X15" s="1265"/>
      <c r="Y15" s="3433" t="s">
        <v>1691</v>
      </c>
      <c r="Z15" s="1264" t="str">
        <f t="shared" si="7"/>
        <v>居住社区成熟度</v>
      </c>
      <c r="AA15" s="1264">
        <f t="shared" si="3"/>
        <v>1</v>
      </c>
      <c r="AB15" s="1264">
        <f t="shared" si="4"/>
        <v>1</v>
      </c>
      <c r="AC15" s="1264">
        <f t="shared" si="5"/>
        <v>1</v>
      </c>
    </row>
    <row r="16" spans="1:29" ht="15">
      <c r="A16" s="367"/>
      <c r="B16" s="385"/>
      <c r="C16" s="386" t="s">
        <v>4103</v>
      </c>
      <c r="D16" s="387"/>
      <c r="E16" s="386" t="s">
        <v>4103</v>
      </c>
      <c r="F16" s="387"/>
      <c r="G16" s="386" t="s">
        <v>4103</v>
      </c>
      <c r="H16" s="389"/>
      <c r="I16" s="386" t="s">
        <v>4103</v>
      </c>
      <c r="J16" s="387"/>
      <c r="K16" s="1753"/>
      <c r="L16" s="2493"/>
      <c r="M16" s="2488"/>
      <c r="N16" s="2488"/>
      <c r="O16" s="2488"/>
      <c r="P16" s="3441"/>
      <c r="Q16" s="1263"/>
      <c r="R16" s="667"/>
      <c r="S16" s="668"/>
      <c r="T16" s="667"/>
      <c r="U16" s="668"/>
      <c r="V16" s="667"/>
      <c r="W16" s="668"/>
      <c r="X16" s="1265"/>
      <c r="Y16" s="3434"/>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41"/>
      <c r="Q17" s="1263" t="str">
        <f>B17</f>
        <v>交通便捷度</v>
      </c>
      <c r="R17" s="667" t="s">
        <v>18</v>
      </c>
      <c r="S17" s="668">
        <f>F17</f>
        <v>100</v>
      </c>
      <c r="T17" s="667" t="s">
        <v>18</v>
      </c>
      <c r="U17" s="668">
        <f>H17</f>
        <v>100</v>
      </c>
      <c r="V17" s="667" t="s">
        <v>18</v>
      </c>
      <c r="W17" s="668">
        <f>J17</f>
        <v>100</v>
      </c>
      <c r="X17" s="1265"/>
      <c r="Y17" s="3434"/>
      <c r="Z17" s="1264" t="str">
        <f>Q17</f>
        <v>交通便捷度</v>
      </c>
      <c r="AA17" s="1264">
        <f t="shared" si="3"/>
        <v>1</v>
      </c>
      <c r="AB17" s="1264">
        <f t="shared" si="4"/>
        <v>1</v>
      </c>
      <c r="AC17" s="1264">
        <f t="shared" si="5"/>
        <v>1</v>
      </c>
    </row>
    <row r="18" spans="1:29" ht="15">
      <c r="A18" s="367"/>
      <c r="B18" s="395"/>
      <c r="C18" s="386" t="s">
        <v>4103</v>
      </c>
      <c r="D18" s="389"/>
      <c r="E18" s="386" t="s">
        <v>4103</v>
      </c>
      <c r="F18" s="389"/>
      <c r="G18" s="386" t="s">
        <v>4103</v>
      </c>
      <c r="H18" s="387"/>
      <c r="I18" s="386" t="s">
        <v>4103</v>
      </c>
      <c r="J18" s="387"/>
      <c r="K18" s="1753"/>
      <c r="L18" s="2493"/>
      <c r="M18" s="2488"/>
      <c r="N18" s="2488"/>
      <c r="O18" s="2488"/>
      <c r="P18" s="3441"/>
      <c r="Q18" s="1263"/>
      <c r="R18" s="667"/>
      <c r="S18" s="668"/>
      <c r="T18" s="667"/>
      <c r="U18" s="668"/>
      <c r="V18" s="667"/>
      <c r="W18" s="668"/>
      <c r="X18" s="1265"/>
      <c r="Y18" s="3434"/>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41"/>
      <c r="Q19" s="1263" t="str">
        <f>B19</f>
        <v>公共配套设施</v>
      </c>
      <c r="R19" s="667" t="s">
        <v>18</v>
      </c>
      <c r="S19" s="668">
        <f>F19</f>
        <v>100</v>
      </c>
      <c r="T19" s="667" t="s">
        <v>18</v>
      </c>
      <c r="U19" s="668">
        <f>H19</f>
        <v>100</v>
      </c>
      <c r="V19" s="667" t="s">
        <v>18</v>
      </c>
      <c r="W19" s="668">
        <f>J19</f>
        <v>100</v>
      </c>
      <c r="X19" s="1265"/>
      <c r="Y19" s="343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41"/>
      <c r="Q20" s="1263"/>
      <c r="R20" s="667"/>
      <c r="S20" s="668"/>
      <c r="T20" s="667"/>
      <c r="U20" s="668"/>
      <c r="V20" s="667"/>
      <c r="W20" s="668"/>
      <c r="X20" s="1265"/>
      <c r="Y20" s="3434"/>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41"/>
      <c r="Q21" s="1263" t="str">
        <f>B21</f>
        <v>基础设施水平</v>
      </c>
      <c r="R21" s="667" t="s">
        <v>14</v>
      </c>
      <c r="S21" s="668">
        <f>F21</f>
        <v>100</v>
      </c>
      <c r="T21" s="667" t="s">
        <v>14</v>
      </c>
      <c r="U21" s="668">
        <f>H21</f>
        <v>100</v>
      </c>
      <c r="V21" s="667" t="s">
        <v>14</v>
      </c>
      <c r="W21" s="668">
        <f>J21</f>
        <v>100</v>
      </c>
      <c r="X21" s="1265"/>
      <c r="Y21" s="343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41"/>
      <c r="Q22" s="1263"/>
      <c r="R22" s="667"/>
      <c r="S22" s="668"/>
      <c r="T22" s="667"/>
      <c r="U22" s="668"/>
      <c r="V22" s="667"/>
      <c r="W22" s="668"/>
      <c r="X22" s="1265"/>
      <c r="Y22" s="3434"/>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41"/>
      <c r="Q23" s="1263" t="str">
        <f>B23</f>
        <v>自然及人文环境</v>
      </c>
      <c r="R23" s="667" t="s">
        <v>18</v>
      </c>
      <c r="S23" s="668">
        <f>F23</f>
        <v>100</v>
      </c>
      <c r="T23" s="667" t="s">
        <v>18</v>
      </c>
      <c r="U23" s="668">
        <f>H23</f>
        <v>100</v>
      </c>
      <c r="V23" s="667" t="s">
        <v>18</v>
      </c>
      <c r="W23" s="668">
        <f>J23</f>
        <v>100</v>
      </c>
      <c r="X23" s="1265"/>
      <c r="Y23" s="343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41"/>
      <c r="Q24" s="1263"/>
      <c r="R24" s="667"/>
      <c r="S24" s="668"/>
      <c r="T24" s="667"/>
      <c r="U24" s="668"/>
      <c r="V24" s="667"/>
      <c r="W24" s="668"/>
      <c r="X24" s="1265"/>
      <c r="Y24" s="343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4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34"/>
      <c r="Z25" s="1264" t="str">
        <f>Q25</f>
        <v>楼层-1</v>
      </c>
      <c r="AA25" s="1264">
        <f t="shared" ref="AA25:AA46" si="15">D25/F25</f>
        <v>1</v>
      </c>
      <c r="AB25" s="1264">
        <f t="shared" ref="AB25:AB46" si="16">D25/H25</f>
        <v>1</v>
      </c>
      <c r="AC25" s="1264">
        <f t="shared" ref="AC25:AC46" si="17">D25/J25</f>
        <v>1</v>
      </c>
    </row>
    <row r="26" spans="1:29" ht="15">
      <c r="A26" s="367"/>
      <c r="B26" s="364" t="s">
        <v>1693</v>
      </c>
      <c r="C26" s="399" t="s">
        <v>3479</v>
      </c>
      <c r="D26" s="374">
        <v>100</v>
      </c>
      <c r="E26" s="1760" t="s">
        <v>3479</v>
      </c>
      <c r="F26" s="374">
        <f>SUMIF(88:88,E26,89:89)-SUMIF(88:88,C26,89:89)+100</f>
        <v>100</v>
      </c>
      <c r="G26" s="1761" t="s">
        <v>3493</v>
      </c>
      <c r="H26" s="374">
        <f>SUMIF(88:88,G26,89:89)-SUMIF(88:88,C26,89:89)+100</f>
        <v>98</v>
      </c>
      <c r="I26" s="1761" t="s">
        <v>3479</v>
      </c>
      <c r="J26" s="374">
        <f>SUMIF(88:88,I26,89:89)-SUMIF(88:88,C26,89:89)+100</f>
        <v>100</v>
      </c>
      <c r="K26" s="365">
        <v>2</v>
      </c>
      <c r="L26" s="2493"/>
      <c r="M26" s="2488"/>
      <c r="N26" s="2488"/>
      <c r="O26" s="2488"/>
      <c r="P26" s="3441"/>
      <c r="Q26" s="1263" t="str">
        <f t="shared" si="11"/>
        <v>朝向</v>
      </c>
      <c r="R26" s="667" t="s">
        <v>18</v>
      </c>
      <c r="S26" s="668">
        <f t="shared" si="12"/>
        <v>100</v>
      </c>
      <c r="T26" s="667" t="s">
        <v>18</v>
      </c>
      <c r="U26" s="668">
        <f t="shared" si="13"/>
        <v>98</v>
      </c>
      <c r="V26" s="667" t="s">
        <v>18</v>
      </c>
      <c r="W26" s="668">
        <f t="shared" si="14"/>
        <v>100</v>
      </c>
      <c r="X26" s="1265"/>
      <c r="Y26" s="3434"/>
      <c r="Z26" s="1264" t="str">
        <f>Q26</f>
        <v>朝向</v>
      </c>
      <c r="AA26" s="1264">
        <f t="shared" si="15"/>
        <v>1</v>
      </c>
      <c r="AB26" s="1264">
        <f t="shared" si="16"/>
        <v>1.0204081632653061</v>
      </c>
      <c r="AC26" s="1264">
        <f t="shared" si="17"/>
        <v>1</v>
      </c>
    </row>
    <row r="27" spans="1:29" s="102" customFormat="1" ht="15">
      <c r="A27" s="370"/>
      <c r="B27" s="3585" t="s">
        <v>4109</v>
      </c>
      <c r="C27" s="3586" t="s">
        <v>4108</v>
      </c>
      <c r="D27" s="401">
        <v>100</v>
      </c>
      <c r="E27" s="3587" t="s">
        <v>4106</v>
      </c>
      <c r="F27" s="401">
        <f>SUMIF(90:90,E27,91:91)-SUMIF(90:90,C27,91:91)+100</f>
        <v>102</v>
      </c>
      <c r="G27" s="3588" t="s">
        <v>4106</v>
      </c>
      <c r="H27" s="401">
        <f>SUMIF(90:90,G27,91:91)-SUMIF(90:90,C27,91:91)+100</f>
        <v>102</v>
      </c>
      <c r="I27" s="3588" t="s">
        <v>4108</v>
      </c>
      <c r="J27" s="401">
        <f>SUMIF(90:90,I27,91:91)-SUMIF(90:90,C27,91:91)+100</f>
        <v>100</v>
      </c>
      <c r="K27" s="1748"/>
      <c r="L27" s="2489"/>
      <c r="M27" s="2440"/>
      <c r="N27" s="2440"/>
      <c r="O27" s="2440"/>
      <c r="P27" s="3441"/>
      <c r="Q27" s="530" t="str">
        <f t="shared" si="11"/>
        <v>楼层</v>
      </c>
      <c r="R27" s="664" t="s">
        <v>18</v>
      </c>
      <c r="S27" s="665">
        <f t="shared" si="12"/>
        <v>102</v>
      </c>
      <c r="T27" s="664" t="s">
        <v>18</v>
      </c>
      <c r="U27" s="665">
        <f t="shared" si="13"/>
        <v>102</v>
      </c>
      <c r="V27" s="664" t="s">
        <v>18</v>
      </c>
      <c r="W27" s="665">
        <f t="shared" si="14"/>
        <v>100</v>
      </c>
      <c r="X27" s="666"/>
      <c r="Y27" s="3434"/>
      <c r="Z27" s="50" t="str">
        <f>Q27</f>
        <v>楼层</v>
      </c>
      <c r="AA27" s="1264">
        <f t="shared" si="15"/>
        <v>0.98039215686274506</v>
      </c>
      <c r="AB27" s="1264">
        <f t="shared" si="16"/>
        <v>0.98039215686274506</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41"/>
      <c r="Q28" s="1263">
        <f t="shared" si="11"/>
        <v>111</v>
      </c>
      <c r="R28" s="667" t="s">
        <v>18</v>
      </c>
      <c r="S28" s="668">
        <f t="shared" si="12"/>
        <v>100</v>
      </c>
      <c r="T28" s="667" t="s">
        <v>18</v>
      </c>
      <c r="U28" s="668">
        <f t="shared" si="13"/>
        <v>100</v>
      </c>
      <c r="V28" s="667" t="s">
        <v>18</v>
      </c>
      <c r="W28" s="668">
        <f t="shared" si="14"/>
        <v>100</v>
      </c>
      <c r="X28" s="1265"/>
      <c r="Y28" s="343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41"/>
      <c r="Q29" s="1263">
        <f t="shared" si="11"/>
        <v>111</v>
      </c>
      <c r="R29" s="667" t="s">
        <v>18</v>
      </c>
      <c r="S29" s="668">
        <f t="shared" si="12"/>
        <v>100</v>
      </c>
      <c r="T29" s="667" t="s">
        <v>18</v>
      </c>
      <c r="U29" s="668">
        <f t="shared" si="13"/>
        <v>100</v>
      </c>
      <c r="V29" s="667" t="s">
        <v>18</v>
      </c>
      <c r="W29" s="668">
        <f t="shared" si="14"/>
        <v>100</v>
      </c>
      <c r="X29" s="1265"/>
      <c r="Y29" s="343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41"/>
      <c r="Q30" s="1263">
        <f t="shared" si="11"/>
        <v>111</v>
      </c>
      <c r="R30" s="667" t="s">
        <v>18</v>
      </c>
      <c r="S30" s="668">
        <f t="shared" si="12"/>
        <v>100</v>
      </c>
      <c r="T30" s="667" t="s">
        <v>18</v>
      </c>
      <c r="U30" s="668">
        <f t="shared" si="13"/>
        <v>100</v>
      </c>
      <c r="V30" s="667" t="s">
        <v>18</v>
      </c>
      <c r="W30" s="668">
        <f t="shared" si="14"/>
        <v>100</v>
      </c>
      <c r="X30" s="1265"/>
      <c r="Y30" s="3434"/>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41"/>
      <c r="Q31" s="1263">
        <f t="shared" si="11"/>
        <v>111</v>
      </c>
      <c r="R31" s="667" t="s">
        <v>18</v>
      </c>
      <c r="S31" s="668">
        <f t="shared" si="12"/>
        <v>100</v>
      </c>
      <c r="T31" s="667" t="s">
        <v>18</v>
      </c>
      <c r="U31" s="668">
        <f t="shared" si="13"/>
        <v>100</v>
      </c>
      <c r="V31" s="667" t="s">
        <v>18</v>
      </c>
      <c r="W31" s="668">
        <f t="shared" si="14"/>
        <v>100</v>
      </c>
      <c r="X31" s="1265"/>
      <c r="Y31" s="343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35" t="s">
        <v>1696</v>
      </c>
      <c r="Q32" s="1263" t="str">
        <f t="shared" si="11"/>
        <v>建筑类型</v>
      </c>
      <c r="R32" s="667" t="s">
        <v>18</v>
      </c>
      <c r="S32" s="668">
        <f t="shared" si="12"/>
        <v>100</v>
      </c>
      <c r="T32" s="667" t="s">
        <v>18</v>
      </c>
      <c r="U32" s="668">
        <f t="shared" si="13"/>
        <v>100</v>
      </c>
      <c r="V32" s="667" t="s">
        <v>18</v>
      </c>
      <c r="W32" s="668">
        <f t="shared" si="14"/>
        <v>100</v>
      </c>
      <c r="X32" s="1265"/>
      <c r="Y32" s="3438" t="s">
        <v>1696</v>
      </c>
      <c r="Z32" s="1264" t="str">
        <f t="shared" si="18"/>
        <v>建筑类型</v>
      </c>
      <c r="AA32" s="1264">
        <f t="shared" si="15"/>
        <v>1</v>
      </c>
      <c r="AB32" s="1264">
        <f t="shared" si="16"/>
        <v>1</v>
      </c>
      <c r="AC32" s="1264">
        <f t="shared" si="17"/>
        <v>1</v>
      </c>
    </row>
    <row r="33" spans="1:29" s="408" customFormat="1" ht="15">
      <c r="A33" s="406"/>
      <c r="B33" s="364" t="s">
        <v>1697</v>
      </c>
      <c r="C33" s="407">
        <v>89</v>
      </c>
      <c r="D33" s="119">
        <v>100</v>
      </c>
      <c r="E33" s="369">
        <f>诺德彩园案例!R6</f>
        <v>92.11</v>
      </c>
      <c r="F33" s="364">
        <f>LOOKUP(E33,103:103,104:104)-LOOKUP(C33,103:103,104:104)+100</f>
        <v>100</v>
      </c>
      <c r="G33" s="368">
        <f>诺德彩园案例!R8</f>
        <v>83.6</v>
      </c>
      <c r="H33" s="119">
        <f>LOOKUP(G33,103:103,104:104)-LOOKUP(C33,103:103,104:104)+100</f>
        <v>100</v>
      </c>
      <c r="I33" s="369">
        <f>诺德彩园案例!R11</f>
        <v>173.95</v>
      </c>
      <c r="J33" s="119">
        <f>LOOKUP(I33,103:103,104:104)-LOOKUP(C33,103:103,104:104)+100</f>
        <v>98</v>
      </c>
      <c r="K33" s="1748"/>
      <c r="L33" s="2492"/>
      <c r="M33" s="2494"/>
      <c r="N33" s="2494"/>
      <c r="O33" s="2494"/>
      <c r="P33" s="3436"/>
      <c r="Q33" s="531" t="str">
        <f t="shared" si="11"/>
        <v>项目建筑规模</v>
      </c>
      <c r="R33" s="669" t="s">
        <v>18</v>
      </c>
      <c r="S33" s="670">
        <f t="shared" si="12"/>
        <v>100</v>
      </c>
      <c r="T33" s="669" t="s">
        <v>18</v>
      </c>
      <c r="U33" s="670">
        <f t="shared" si="13"/>
        <v>100</v>
      </c>
      <c r="V33" s="669" t="s">
        <v>18</v>
      </c>
      <c r="W33" s="670">
        <f t="shared" si="14"/>
        <v>98</v>
      </c>
      <c r="X33" s="671"/>
      <c r="Y33" s="3438"/>
      <c r="Z33" s="672" t="str">
        <f t="shared" si="18"/>
        <v>项目建筑规模</v>
      </c>
      <c r="AA33" s="1264">
        <f t="shared" si="15"/>
        <v>1</v>
      </c>
      <c r="AB33" s="1264">
        <f t="shared" si="16"/>
        <v>1</v>
      </c>
      <c r="AC33" s="1264">
        <f t="shared" si="17"/>
        <v>1.0204081632653061</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36"/>
      <c r="Q34" s="1263" t="str">
        <f t="shared" si="11"/>
        <v>建筑结构</v>
      </c>
      <c r="R34" s="667" t="s">
        <v>18</v>
      </c>
      <c r="S34" s="668">
        <f t="shared" si="12"/>
        <v>100</v>
      </c>
      <c r="T34" s="667" t="s">
        <v>18</v>
      </c>
      <c r="U34" s="668">
        <f t="shared" si="13"/>
        <v>100</v>
      </c>
      <c r="V34" s="667" t="s">
        <v>18</v>
      </c>
      <c r="W34" s="668">
        <f t="shared" si="14"/>
        <v>100</v>
      </c>
      <c r="X34" s="1265"/>
      <c r="Y34" s="343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f>1-(2020-2012)/60</f>
        <v>0.8666666666666667</v>
      </c>
      <c r="N35" s="2488"/>
      <c r="O35" s="2488"/>
      <c r="P35" s="3436"/>
      <c r="Q35" s="1263" t="str">
        <f t="shared" si="11"/>
        <v>建筑品质</v>
      </c>
      <c r="R35" s="667" t="s">
        <v>18</v>
      </c>
      <c r="S35" s="668">
        <f t="shared" si="12"/>
        <v>100</v>
      </c>
      <c r="T35" s="667" t="s">
        <v>18</v>
      </c>
      <c r="U35" s="668">
        <f t="shared" si="13"/>
        <v>100</v>
      </c>
      <c r="V35" s="667" t="s">
        <v>18</v>
      </c>
      <c r="W35" s="668">
        <f t="shared" si="14"/>
        <v>100</v>
      </c>
      <c r="X35" s="1265"/>
      <c r="Y35" s="343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36"/>
      <c r="Q36" s="1263" t="str">
        <f t="shared" si="11"/>
        <v>公共部分装修</v>
      </c>
      <c r="R36" s="667" t="s">
        <v>18</v>
      </c>
      <c r="S36" s="668">
        <f t="shared" si="12"/>
        <v>100</v>
      </c>
      <c r="T36" s="667" t="s">
        <v>18</v>
      </c>
      <c r="U36" s="668">
        <f t="shared" si="13"/>
        <v>100</v>
      </c>
      <c r="V36" s="667" t="s">
        <v>18</v>
      </c>
      <c r="W36" s="668">
        <f t="shared" si="14"/>
        <v>100</v>
      </c>
      <c r="X36" s="1265"/>
      <c r="Y36" s="3438"/>
      <c r="Z36" s="1264" t="str">
        <f t="shared" si="18"/>
        <v>公共部分装修</v>
      </c>
      <c r="AA36" s="1264">
        <f t="shared" si="15"/>
        <v>1</v>
      </c>
      <c r="AB36" s="1264">
        <f t="shared" si="16"/>
        <v>1</v>
      </c>
      <c r="AC36" s="1264">
        <f t="shared" si="17"/>
        <v>1</v>
      </c>
    </row>
    <row r="37" spans="1:29" s="102" customFormat="1" ht="15">
      <c r="A37" s="410"/>
      <c r="B37" s="364" t="s">
        <v>1701</v>
      </c>
      <c r="C37" s="411">
        <v>1</v>
      </c>
      <c r="D37" s="119">
        <v>100</v>
      </c>
      <c r="E37" s="411">
        <v>0.85</v>
      </c>
      <c r="F37" s="364">
        <f>LOOKUP(E37,112:112,113:113)-LOOKUP(C37,112:112,113:113)+100</f>
        <v>99</v>
      </c>
      <c r="G37" s="413">
        <v>0.85</v>
      </c>
      <c r="H37" s="119">
        <f>LOOKUP(G37,112:112,113:113)-LOOKUP(C37,112:112,113:113)+100</f>
        <v>99</v>
      </c>
      <c r="I37" s="412">
        <v>0.85</v>
      </c>
      <c r="J37" s="119">
        <f>LOOKUP(I37,112:112,113:113)-LOOKUP(C37,112:112,113:113)+100</f>
        <v>99</v>
      </c>
      <c r="K37" s="365">
        <v>1</v>
      </c>
      <c r="L37" s="2489"/>
      <c r="M37" s="2440"/>
      <c r="N37" s="2440"/>
      <c r="O37" s="2440"/>
      <c r="P37" s="3436"/>
      <c r="Q37" s="530" t="str">
        <f t="shared" si="11"/>
        <v>成新度</v>
      </c>
      <c r="R37" s="664" t="s">
        <v>18</v>
      </c>
      <c r="S37" s="665">
        <f t="shared" si="12"/>
        <v>99</v>
      </c>
      <c r="T37" s="664" t="s">
        <v>18</v>
      </c>
      <c r="U37" s="665">
        <f t="shared" si="13"/>
        <v>99</v>
      </c>
      <c r="V37" s="664" t="s">
        <v>18</v>
      </c>
      <c r="W37" s="665">
        <f t="shared" si="14"/>
        <v>99</v>
      </c>
      <c r="X37" s="666"/>
      <c r="Y37" s="3438"/>
      <c r="Z37" s="50" t="str">
        <f t="shared" si="18"/>
        <v>成新度</v>
      </c>
      <c r="AA37" s="50">
        <f t="shared" si="15"/>
        <v>1.0101010101010102</v>
      </c>
      <c r="AB37" s="50">
        <f t="shared" si="16"/>
        <v>1.0101010101010102</v>
      </c>
      <c r="AC37" s="50">
        <f t="shared" si="17"/>
        <v>1.0101010101010102</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36" t="s">
        <v>1696</v>
      </c>
      <c r="Q38" s="1263" t="str">
        <f t="shared" si="11"/>
        <v>物业管理</v>
      </c>
      <c r="R38" s="667" t="s">
        <v>18</v>
      </c>
      <c r="S38" s="668">
        <f t="shared" si="12"/>
        <v>100</v>
      </c>
      <c r="T38" s="667" t="s">
        <v>18</v>
      </c>
      <c r="U38" s="668">
        <f t="shared" si="13"/>
        <v>100</v>
      </c>
      <c r="V38" s="667" t="s">
        <v>18</v>
      </c>
      <c r="W38" s="668">
        <f t="shared" si="14"/>
        <v>100</v>
      </c>
      <c r="X38" s="1265"/>
      <c r="Y38" s="343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36"/>
      <c r="Q39" s="1263" t="str">
        <f t="shared" si="11"/>
        <v>市政基础设施</v>
      </c>
      <c r="R39" s="667" t="s">
        <v>18</v>
      </c>
      <c r="S39" s="668">
        <f t="shared" si="12"/>
        <v>100</v>
      </c>
      <c r="T39" s="667" t="s">
        <v>18</v>
      </c>
      <c r="U39" s="668">
        <f t="shared" si="13"/>
        <v>100</v>
      </c>
      <c r="V39" s="667" t="s">
        <v>18</v>
      </c>
      <c r="W39" s="668">
        <f t="shared" si="14"/>
        <v>100</v>
      </c>
      <c r="X39" s="1265"/>
      <c r="Y39" s="343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36"/>
      <c r="Q40" s="1263" t="str">
        <f t="shared" si="11"/>
        <v>房型</v>
      </c>
      <c r="R40" s="667" t="s">
        <v>18</v>
      </c>
      <c r="S40" s="668">
        <f t="shared" si="12"/>
        <v>100</v>
      </c>
      <c r="T40" s="667" t="s">
        <v>18</v>
      </c>
      <c r="U40" s="668">
        <f t="shared" si="13"/>
        <v>100</v>
      </c>
      <c r="V40" s="667" t="s">
        <v>18</v>
      </c>
      <c r="W40" s="668">
        <f t="shared" si="14"/>
        <v>100</v>
      </c>
      <c r="X40" s="1265"/>
      <c r="Y40" s="3438"/>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36"/>
      <c r="Q41" s="531" t="str">
        <f t="shared" si="11"/>
        <v>单套/主力户型建筑面积</v>
      </c>
      <c r="R41" s="669" t="s">
        <v>18</v>
      </c>
      <c r="S41" s="670">
        <f t="shared" si="12"/>
        <v>100</v>
      </c>
      <c r="T41" s="669" t="s">
        <v>18</v>
      </c>
      <c r="U41" s="670">
        <f t="shared" si="13"/>
        <v>100</v>
      </c>
      <c r="V41" s="669" t="s">
        <v>18</v>
      </c>
      <c r="W41" s="670">
        <f t="shared" si="14"/>
        <v>100</v>
      </c>
      <c r="X41" s="671"/>
      <c r="Y41" s="3438"/>
      <c r="Z41" s="672" t="str">
        <f t="shared" si="18"/>
        <v>单套/主力户型建筑面积</v>
      </c>
      <c r="AA41" s="1264">
        <f t="shared" si="15"/>
        <v>1</v>
      </c>
      <c r="AB41" s="1264">
        <f t="shared" si="16"/>
        <v>1</v>
      </c>
      <c r="AC41" s="1264">
        <f t="shared" si="17"/>
        <v>1</v>
      </c>
    </row>
    <row r="42" spans="1:29" ht="15">
      <c r="A42" s="409"/>
      <c r="B42" s="364" t="s">
        <v>1706</v>
      </c>
      <c r="C42" s="1760" t="s">
        <v>3494</v>
      </c>
      <c r="D42" s="374">
        <v>100</v>
      </c>
      <c r="E42" s="3583" t="str">
        <f>诺德彩园案例!V6</f>
        <v>普通装修</v>
      </c>
      <c r="F42" s="400">
        <f>SUMIF(122:122,E42,123:123)-SUMIF(122:122,C42,123:123)+100</f>
        <v>98</v>
      </c>
      <c r="G42" s="3584" t="str">
        <f>诺德彩园案例!V7</f>
        <v>普通装修</v>
      </c>
      <c r="H42" s="374">
        <f>SUMIF(122:122,G42,123:123)-SUMIF(122:122,C42,123:123)+100</f>
        <v>98</v>
      </c>
      <c r="I42" s="3583" t="str">
        <f>诺德彩园案例!V11</f>
        <v>精装修</v>
      </c>
      <c r="J42" s="374">
        <f>SUMIF(122:122,I42,123:123)-SUMIF(122:122,C42,123:123)+100</f>
        <v>100</v>
      </c>
      <c r="K42" s="365">
        <v>2</v>
      </c>
      <c r="L42" s="2493"/>
      <c r="M42" s="2488"/>
      <c r="N42" s="2488"/>
      <c r="O42" s="2488"/>
      <c r="P42" s="3436"/>
      <c r="Q42" s="1263" t="str">
        <f t="shared" si="11"/>
        <v>内部装修</v>
      </c>
      <c r="R42" s="667" t="s">
        <v>18</v>
      </c>
      <c r="S42" s="668">
        <f t="shared" si="12"/>
        <v>98</v>
      </c>
      <c r="T42" s="667" t="s">
        <v>18</v>
      </c>
      <c r="U42" s="668">
        <f t="shared" si="13"/>
        <v>98</v>
      </c>
      <c r="V42" s="667" t="s">
        <v>18</v>
      </c>
      <c r="W42" s="668">
        <f t="shared" si="14"/>
        <v>100</v>
      </c>
      <c r="X42" s="1265"/>
      <c r="Y42" s="3438"/>
      <c r="Z42" s="1264" t="str">
        <f t="shared" si="18"/>
        <v>内部装修</v>
      </c>
      <c r="AA42" s="1264">
        <f t="shared" si="15"/>
        <v>1.0204081632653061</v>
      </c>
      <c r="AB42" s="1264">
        <f t="shared" si="16"/>
        <v>1.0204081632653061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f>1-(2026-2022)/60</f>
        <v>0.93333333333333335</v>
      </c>
      <c r="N43" s="2488"/>
      <c r="O43" s="2488"/>
      <c r="P43" s="3436"/>
      <c r="Q43" s="1263" t="str">
        <f t="shared" si="11"/>
        <v>内部装修维护情况</v>
      </c>
      <c r="R43" s="667" t="s">
        <v>18</v>
      </c>
      <c r="S43" s="668">
        <f t="shared" si="12"/>
        <v>100</v>
      </c>
      <c r="T43" s="667" t="s">
        <v>18</v>
      </c>
      <c r="U43" s="668">
        <f t="shared" si="13"/>
        <v>100</v>
      </c>
      <c r="V43" s="667" t="s">
        <v>18</v>
      </c>
      <c r="W43" s="668">
        <f t="shared" si="14"/>
        <v>100</v>
      </c>
      <c r="X43" s="1265"/>
      <c r="Y43" s="343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88">
        <f>1-(2026-2012)/60</f>
        <v>0.76666666666666661</v>
      </c>
      <c r="N44" s="2440"/>
      <c r="O44" s="2440"/>
      <c r="P44" s="3436"/>
      <c r="Q44" s="530">
        <f t="shared" si="11"/>
        <v>111</v>
      </c>
      <c r="R44" s="664" t="s">
        <v>18</v>
      </c>
      <c r="S44" s="665">
        <f t="shared" si="12"/>
        <v>100</v>
      </c>
      <c r="T44" s="664" t="s">
        <v>18</v>
      </c>
      <c r="U44" s="665">
        <f t="shared" si="13"/>
        <v>100</v>
      </c>
      <c r="V44" s="664" t="s">
        <v>18</v>
      </c>
      <c r="W44" s="665">
        <f t="shared" si="14"/>
        <v>100</v>
      </c>
      <c r="X44" s="666"/>
      <c r="Y44" s="343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36"/>
      <c r="Q45" s="1263">
        <f t="shared" si="11"/>
        <v>111</v>
      </c>
      <c r="R45" s="667" t="s">
        <v>18</v>
      </c>
      <c r="S45" s="668">
        <f t="shared" si="12"/>
        <v>100</v>
      </c>
      <c r="T45" s="667" t="s">
        <v>18</v>
      </c>
      <c r="U45" s="668">
        <f t="shared" si="13"/>
        <v>100</v>
      </c>
      <c r="V45" s="667" t="s">
        <v>18</v>
      </c>
      <c r="W45" s="668">
        <f t="shared" si="14"/>
        <v>100</v>
      </c>
      <c r="X45" s="1265"/>
      <c r="Y45" s="3438"/>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37"/>
      <c r="Q46" s="1263">
        <f t="shared" si="11"/>
        <v>111</v>
      </c>
      <c r="R46" s="667" t="s">
        <v>17</v>
      </c>
      <c r="S46" s="668">
        <f t="shared" si="12"/>
        <v>100</v>
      </c>
      <c r="T46" s="667" t="s">
        <v>17</v>
      </c>
      <c r="U46" s="668">
        <f t="shared" si="13"/>
        <v>100</v>
      </c>
      <c r="V46" s="667" t="s">
        <v>17</v>
      </c>
      <c r="W46" s="668">
        <f t="shared" si="14"/>
        <v>100</v>
      </c>
      <c r="X46" s="1265"/>
      <c r="Y46" s="3439"/>
      <c r="Z46" s="1264">
        <f t="shared" si="18"/>
        <v>111</v>
      </c>
      <c r="AA46" s="1264">
        <f t="shared" si="15"/>
        <v>1</v>
      </c>
      <c r="AB46" s="1264">
        <f t="shared" si="16"/>
        <v>1</v>
      </c>
      <c r="AC46" s="1264">
        <f t="shared" si="17"/>
        <v>1</v>
      </c>
    </row>
    <row r="47" spans="1:29" ht="15">
      <c r="A47" s="416" t="s">
        <v>1708</v>
      </c>
      <c r="B47" s="417"/>
      <c r="C47" s="1081" t="s">
        <v>16</v>
      </c>
      <c r="D47" s="418"/>
      <c r="E47" s="419">
        <f>诺德彩园案例!AH6</f>
        <v>39627</v>
      </c>
      <c r="F47" s="420"/>
      <c r="G47" s="421">
        <f>诺德彩园案例!AH8</f>
        <v>40909</v>
      </c>
      <c r="H47" s="422"/>
      <c r="I47" s="419">
        <f>诺德彩园案例!AH11</f>
        <v>40414</v>
      </c>
      <c r="J47" s="422"/>
      <c r="K47" s="1767"/>
      <c r="L47" s="2495"/>
      <c r="M47" s="2488"/>
      <c r="N47" s="2488"/>
      <c r="O47" s="2488"/>
      <c r="P47" s="3431" t="str">
        <f>A47</f>
        <v>成交单价（元/平方米）</v>
      </c>
      <c r="Q47" s="3431"/>
      <c r="R47" s="3432">
        <f>E47</f>
        <v>39627</v>
      </c>
      <c r="S47" s="3432"/>
      <c r="T47" s="3432">
        <f>G47</f>
        <v>40909</v>
      </c>
      <c r="U47" s="3432"/>
      <c r="V47" s="3432">
        <f>I47</f>
        <v>40414</v>
      </c>
      <c r="W47" s="3432"/>
      <c r="X47" s="385"/>
      <c r="Y47" s="673"/>
      <c r="Z47" s="385"/>
      <c r="AA47" s="385"/>
      <c r="AB47" s="385"/>
      <c r="AC47" s="385"/>
    </row>
    <row r="48" spans="1:29" ht="15.75" thickBot="1">
      <c r="A48" s="423" t="s">
        <v>1709</v>
      </c>
      <c r="B48" s="424"/>
      <c r="C48" s="1082">
        <f>R49</f>
        <v>41293</v>
      </c>
      <c r="D48" s="2141" t="s">
        <v>2138</v>
      </c>
      <c r="E48" s="1083">
        <f>R48</f>
        <v>40043</v>
      </c>
      <c r="F48" s="2142"/>
      <c r="G48" s="1082">
        <f>T48</f>
        <v>42182</v>
      </c>
      <c r="H48" s="2142"/>
      <c r="I48" s="1083">
        <f>V48</f>
        <v>41655</v>
      </c>
      <c r="J48" s="2142"/>
      <c r="K48" s="2143">
        <f>F48+H48+J48</f>
        <v>0</v>
      </c>
      <c r="L48" s="2495"/>
      <c r="M48" s="2488"/>
      <c r="N48" s="2488"/>
      <c r="O48" s="2488"/>
      <c r="P48" s="3431" t="str">
        <f>A48</f>
        <v>比较价值（元/平方米）</v>
      </c>
      <c r="Q48" s="3431"/>
      <c r="R48" s="3432">
        <f>IF(F1="售价",ROUND(PRODUCT(R47,AA7:AA46),0),ROUND(PRODUCT(R47,AA7:AA46),1))</f>
        <v>40043</v>
      </c>
      <c r="S48" s="3432"/>
      <c r="T48" s="3432">
        <f>IF(F1="售价",ROUND(PRODUCT(T47,AB7:AB46),0),ROUND(PRODUCT(T47,AB7:AB46),1))</f>
        <v>42182</v>
      </c>
      <c r="U48" s="3432"/>
      <c r="V48" s="3432">
        <f>IF(F1="售价",ROUND(PRODUCT(V47,AC7:AC46),0),ROUND(PRODUCT(V47,AC7:AC46),1))</f>
        <v>41655</v>
      </c>
      <c r="W48" s="3432"/>
      <c r="X48" s="385"/>
      <c r="Y48" s="385"/>
      <c r="Z48" s="385"/>
      <c r="AA48" s="385"/>
      <c r="AB48" s="385"/>
      <c r="AC48" s="385"/>
    </row>
    <row r="49" spans="1:29" ht="15.75" thickBot="1">
      <c r="A49" s="427" t="s">
        <v>1710</v>
      </c>
      <c r="B49" s="428"/>
      <c r="C49" s="1084">
        <f>R49</f>
        <v>41293</v>
      </c>
      <c r="D49" s="351"/>
      <c r="E49" s="351"/>
      <c r="F49" s="351"/>
      <c r="G49" s="351"/>
      <c r="H49" s="351"/>
      <c r="I49" s="351"/>
      <c r="J49" s="351"/>
      <c r="K49" s="1768"/>
      <c r="L49" s="2495"/>
      <c r="M49" s="2488"/>
      <c r="N49" s="2488"/>
      <c r="O49" s="2488"/>
      <c r="P49" s="3428" t="str">
        <f>A49</f>
        <v>估价对象XX用房的比较价值（楼面单价，元/平方米）</v>
      </c>
      <c r="Q49" s="3429"/>
      <c r="R49" s="3430">
        <f>IF(F1="售价",ROUND(IF(D48="简单平均",AVERAGE(R48:V48),R48*F48+T48*H48+V48*J48),0),ROUND(IF(D48="简单平均",AVERAGE(R48:V48),R48*F48+T48*H48+V48*J48),1))</f>
        <v>41293</v>
      </c>
      <c r="S49" s="3430"/>
      <c r="T49" s="3430"/>
      <c r="U49" s="3430"/>
      <c r="V49" s="3430"/>
      <c r="W49" s="3430"/>
      <c r="X49" s="385"/>
      <c r="Y49" s="385"/>
      <c r="Z49" s="385"/>
      <c r="AA49" s="385"/>
      <c r="AB49" s="385"/>
      <c r="AC49" s="385"/>
    </row>
    <row r="50" spans="1:29">
      <c r="A50" s="2488"/>
      <c r="B50" s="2488"/>
      <c r="C50" s="2488">
        <v>2022</v>
      </c>
      <c r="D50" s="2488"/>
      <c r="E50" s="2488">
        <v>2012</v>
      </c>
      <c r="F50" s="2488"/>
      <c r="G50" s="2499">
        <v>20.13</v>
      </c>
      <c r="H50" s="2488"/>
      <c r="I50" s="2488">
        <v>2014</v>
      </c>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f>IF(E47&lt;E48,E48/E47-1,E47/E48-1)</f>
        <v>1.0497892850834134E-2</v>
      </c>
      <c r="F52" s="435" t="str">
        <f>IF(OR(E52&gt;=0.3,E52&lt;=-0.3),"超过30%","")</f>
        <v/>
      </c>
      <c r="G52" s="434">
        <f>IF(G47&lt;G48,G48/G47-1,G47/G48-1)</f>
        <v>3.1117846928548687E-2</v>
      </c>
      <c r="H52" s="435" t="str">
        <f>IF(OR(G52&gt;=0.3,G52&lt;=-0.3),"超过30%","")</f>
        <v/>
      </c>
      <c r="I52" s="434">
        <f>IF(I47&lt;I48,I48/I47-1,I47/I48-1)</f>
        <v>3.0707180679962365E-2</v>
      </c>
      <c r="J52" s="435" t="str">
        <f>IF(OR(I52&gt;=0.3,I52&lt;=-0.3),"超过30%","")</f>
        <v/>
      </c>
      <c r="K52" s="2500"/>
      <c r="L52" s="2496"/>
      <c r="M52" s="2488"/>
      <c r="N52" s="2488"/>
      <c r="O52" s="2488"/>
    </row>
    <row r="53" spans="1:29" ht="13.5" customHeight="1">
      <c r="A53" s="2488"/>
      <c r="B53" s="2488"/>
      <c r="C53" s="432" t="s">
        <v>1712</v>
      </c>
      <c r="D53" s="436"/>
      <c r="E53" s="434">
        <f>IF(E48&lt;G48,G48/E48-1,E48/G48-1)</f>
        <v>5.3417576105686315E-2</v>
      </c>
      <c r="F53" s="435" t="str">
        <f>IF(OR(E53&gt;=0.2,E53&lt;=-0.2),"超过20%","")</f>
        <v/>
      </c>
      <c r="G53" s="434">
        <f>IF(G48&lt;I48,I48/G48-1,G48/I48-1)</f>
        <v>1.2651542431880936E-2</v>
      </c>
      <c r="H53" s="435" t="str">
        <f>IF(OR(G53&gt;=0.2,G53&lt;=-0.2),"超过20%","")</f>
        <v/>
      </c>
      <c r="I53" s="434">
        <f>IF(I48&lt;E48,E48/I48-1,I48/E48-1)</f>
        <v>4.0256724021676682E-2</v>
      </c>
      <c r="J53" s="435" t="str">
        <f>IF(OR(I53&gt;=0.2,I53&lt;=-0.2),"超过20%","")</f>
        <v/>
      </c>
      <c r="K53" s="2500"/>
      <c r="L53" s="2496"/>
      <c r="M53" s="2488"/>
      <c r="N53" s="2488"/>
      <c r="O53" s="2488"/>
    </row>
    <row r="54" spans="1:29" s="437" customFormat="1" ht="13.5" customHeight="1">
      <c r="A54" s="2498"/>
      <c r="B54" s="2498"/>
      <c r="C54" s="432" t="s">
        <v>1713</v>
      </c>
      <c r="D54" s="436"/>
      <c r="E54" s="434">
        <f>IF(E47&lt;G47,G47/E47-1,E47/G47-1)</f>
        <v>3.2351679410502987E-2</v>
      </c>
      <c r="F54" s="435" t="str">
        <f>IF(OR(E54&gt;=0.3,E54&lt;=-0.3),"超过30%","")</f>
        <v/>
      </c>
      <c r="G54" s="434">
        <f>IF(G47&lt;I47,I47/G47-1,G47/I47-1)</f>
        <v>1.2248230811105154E-2</v>
      </c>
      <c r="H54" s="435" t="str">
        <f>IF(OR(G54&gt;=0.3,G54&lt;=-0.3),"超过30%","")</f>
        <v/>
      </c>
      <c r="I54" s="434">
        <f>IF(I47&lt;E47,E47/I47-1,I47/E47-1)</f>
        <v>1.9860196330784508E-2</v>
      </c>
      <c r="J54" s="435" t="str">
        <f>IF(OR(I54&gt;=0.3,I54&lt;=-0.3),"超过30%","")</f>
        <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2020-12</v>
      </c>
      <c r="D58" s="1104">
        <f>EDATE(C58,-1)</f>
        <v>44136</v>
      </c>
      <c r="E58" s="1104">
        <f>EDATE(D58,-1)</f>
        <v>44105</v>
      </c>
      <c r="F58" s="1104">
        <f t="shared" ref="F58:O58" si="19">EDATE(E58,-1)</f>
        <v>44075</v>
      </c>
      <c r="G58" s="1104">
        <f t="shared" si="19"/>
        <v>44044</v>
      </c>
      <c r="H58" s="1104">
        <f t="shared" si="19"/>
        <v>44013</v>
      </c>
      <c r="I58" s="1104">
        <f t="shared" si="19"/>
        <v>43983</v>
      </c>
      <c r="J58" s="1104">
        <f t="shared" si="19"/>
        <v>43952</v>
      </c>
      <c r="K58" s="1104">
        <f t="shared" si="19"/>
        <v>43922</v>
      </c>
      <c r="L58" s="1104">
        <f t="shared" si="19"/>
        <v>43891</v>
      </c>
      <c r="M58" s="1104">
        <f t="shared" si="19"/>
        <v>43862</v>
      </c>
      <c r="N58" s="1104">
        <f t="shared" si="19"/>
        <v>43831</v>
      </c>
      <c r="O58" s="1104">
        <f t="shared" si="19"/>
        <v>43800</v>
      </c>
      <c r="P58" s="1100"/>
    </row>
    <row r="59" spans="1:29" s="102" customFormat="1" ht="15">
      <c r="A59" s="443"/>
      <c r="B59" s="1772"/>
      <c r="C59" s="1102">
        <v>100</v>
      </c>
      <c r="D59" s="445">
        <v>100</v>
      </c>
      <c r="E59" s="446">
        <v>100</v>
      </c>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0（含）-1</v>
      </c>
      <c r="D67" s="478" t="str">
        <f t="shared" ref="D67:L67" si="20">D68&amp;"（含）"&amp;"-"&amp;E68</f>
        <v>1（含）-2</v>
      </c>
      <c r="E67" s="478" t="str">
        <f t="shared" si="20"/>
        <v>2（含）-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v>0</v>
      </c>
      <c r="D68" s="480">
        <v>1</v>
      </c>
      <c r="E68" s="480">
        <v>2</v>
      </c>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3582" t="s">
        <v>4104</v>
      </c>
      <c r="D88" s="3582" t="s">
        <v>4105</v>
      </c>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98</v>
      </c>
      <c r="E89" s="475">
        <f t="shared" si="24"/>
        <v>96</v>
      </c>
      <c r="F89" s="475">
        <f t="shared" si="24"/>
        <v>94</v>
      </c>
      <c r="G89" s="475">
        <f t="shared" si="24"/>
        <v>92</v>
      </c>
      <c r="H89" s="475">
        <f t="shared" si="24"/>
        <v>90</v>
      </c>
      <c r="I89" s="475">
        <f t="shared" si="24"/>
        <v>88</v>
      </c>
      <c r="J89" s="475">
        <f t="shared" si="24"/>
        <v>86</v>
      </c>
      <c r="K89" s="475">
        <f t="shared" si="24"/>
        <v>84</v>
      </c>
      <c r="L89" s="475">
        <f t="shared" si="24"/>
        <v>82</v>
      </c>
      <c r="M89" s="475">
        <f t="shared" si="24"/>
        <v>80</v>
      </c>
      <c r="N89" s="880"/>
      <c r="O89" s="880"/>
      <c r="P89" s="1775"/>
      <c r="Q89" s="439"/>
    </row>
    <row r="90" spans="1:17" s="408" customFormat="1" ht="15.75" thickTop="1">
      <c r="A90" s="484"/>
      <c r="B90" s="469" t="str">
        <f>B27</f>
        <v>楼层</v>
      </c>
      <c r="C90" s="3582" t="s">
        <v>4106</v>
      </c>
      <c r="D90" s="3582" t="s">
        <v>4107</v>
      </c>
      <c r="E90" s="3582" t="s">
        <v>4108</v>
      </c>
      <c r="F90" s="485"/>
      <c r="G90" s="485"/>
      <c r="H90" s="486"/>
      <c r="I90" s="486"/>
      <c r="J90" s="486"/>
      <c r="K90" s="486"/>
      <c r="L90" s="487"/>
      <c r="M90" s="488"/>
      <c r="N90" s="881"/>
      <c r="O90" s="881"/>
      <c r="P90" s="1776"/>
      <c r="Q90" s="490"/>
    </row>
    <row r="91" spans="1:17" s="408" customFormat="1" ht="15.75" thickBot="1">
      <c r="A91" s="484"/>
      <c r="B91" s="474"/>
      <c r="C91" s="491">
        <v>100</v>
      </c>
      <c r="D91" s="491">
        <v>99</v>
      </c>
      <c r="E91" s="491">
        <v>98</v>
      </c>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0(含)-100</v>
      </c>
      <c r="D102" s="509" t="str">
        <f t="shared" ref="D102:L102" si="26">D103&amp;"(含)"&amp;"-"&amp;E103</f>
        <v>100(含)-150</v>
      </c>
      <c r="E102" s="509" t="str">
        <f t="shared" si="26"/>
        <v>150(含)-200</v>
      </c>
      <c r="F102" s="509" t="str">
        <f t="shared" si="26"/>
        <v>200(含)-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100</v>
      </c>
      <c r="E103" s="6">
        <v>150</v>
      </c>
      <c r="F103" s="6">
        <v>200</v>
      </c>
      <c r="G103" s="6"/>
      <c r="H103" s="6"/>
      <c r="I103" s="6"/>
      <c r="J103" s="524"/>
      <c r="K103" s="524"/>
      <c r="L103" s="525"/>
      <c r="M103" s="526"/>
      <c r="N103" s="881"/>
      <c r="O103" s="881"/>
      <c r="P103" s="1776"/>
      <c r="Q103" s="490"/>
    </row>
    <row r="104" spans="1:17" s="408" customFormat="1" ht="15.75" thickBot="1">
      <c r="A104" s="484"/>
      <c r="B104" s="474"/>
      <c r="C104" s="491">
        <v>100</v>
      </c>
      <c r="D104" s="467">
        <v>99</v>
      </c>
      <c r="E104" s="467">
        <v>98</v>
      </c>
      <c r="F104" s="467">
        <v>97</v>
      </c>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101</v>
      </c>
      <c r="E113" s="475">
        <f>D113+$K37</f>
        <v>102</v>
      </c>
      <c r="F113" s="475">
        <f>E113+$K37</f>
        <v>103</v>
      </c>
      <c r="G113" s="475">
        <f>F113+$K37</f>
        <v>104</v>
      </c>
      <c r="H113" s="475">
        <f>G113+$K37</f>
        <v>105</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3582" t="s">
        <v>4100</v>
      </c>
      <c r="D122" s="3582" t="s">
        <v>4101</v>
      </c>
      <c r="E122" s="3582" t="s">
        <v>4102</v>
      </c>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63" priority="14" stopIfTrue="1">
      <formula>$F$52="超过30%"</formula>
    </cfRule>
  </conditionalFormatting>
  <conditionalFormatting sqref="E53">
    <cfRule type="expression" dxfId="162" priority="11" stopIfTrue="1">
      <formula>$F$53="超过20%"</formula>
    </cfRule>
  </conditionalFormatting>
  <conditionalFormatting sqref="E54">
    <cfRule type="expression" dxfId="161" priority="10" stopIfTrue="1">
      <formula>$F$54="超过30%"</formula>
    </cfRule>
  </conditionalFormatting>
  <conditionalFormatting sqref="F7:F46 H7:H46 J7:J46">
    <cfRule type="cellIs" dxfId="160" priority="1" operator="notEqual">
      <formula>100</formula>
    </cfRule>
  </conditionalFormatting>
  <conditionalFormatting sqref="F48">
    <cfRule type="expression" dxfId="159" priority="4">
      <formula>$D$48="简单平均"</formula>
    </cfRule>
  </conditionalFormatting>
  <conditionalFormatting sqref="F52:F54 H52:H54 J52:J54">
    <cfRule type="containsText" dxfId="158" priority="15" stopIfTrue="1" operator="containsText" text="超过">
      <formula>NOT(ISERROR(SEARCH("超过",F52)))</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G54">
    <cfRule type="expression" dxfId="155" priority="12" stopIfTrue="1">
      <formula>$H$54="超过30%"</formula>
    </cfRule>
  </conditionalFormatting>
  <conditionalFormatting sqref="H48">
    <cfRule type="expression" dxfId="154" priority="3">
      <formula>$D$48="简单平均"</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J48">
    <cfRule type="expression" dxfId="150" priority="2">
      <formula>$D$48="简单平均"</formula>
    </cfRule>
  </conditionalFormatting>
  <dataValidations count="23">
    <dataValidation type="list" allowBlank="1" showInputMessage="1" showErrorMessage="1" sqref="E24 G24 I24 C24" xr:uid="{00000000-0002-0000-1900-000000000000}">
      <formula1>环境</formula1>
    </dataValidation>
    <dataValidation type="list" allowBlank="1" showInputMessage="1" showErrorMessage="1" sqref="C16 E16 G16 I16 I18 E18 C18 G18" xr:uid="{00000000-0002-0000-1900-000001000000}">
      <formula1>居住社区成熟度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t="e">
        <f>IF(C2="——",C49,ROUND(B2*10000/D3,0))</f>
        <v>#DIV/0!</v>
      </c>
      <c r="C3" s="344" t="s">
        <v>1768</v>
      </c>
      <c r="D3" s="343">
        <f>IF(D1="",'数据-汇总表'!E3,SUMIF('数据-汇总表'!$C19:$C33,D1,'数据-汇总表'!$E19:$E33))</f>
        <v>0</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46" t="s">
        <v>1770</v>
      </c>
      <c r="D4" s="3447"/>
      <c r="E4" s="3448" t="s">
        <v>1771</v>
      </c>
      <c r="F4" s="3449"/>
      <c r="G4" s="3446" t="s">
        <v>1772</v>
      </c>
      <c r="H4" s="3447"/>
      <c r="I4" s="3446" t="s">
        <v>1773</v>
      </c>
      <c r="J4" s="3447"/>
      <c r="K4" s="537" t="s">
        <v>1774</v>
      </c>
      <c r="L4" s="2487"/>
      <c r="M4" s="2488"/>
      <c r="N4" s="2488"/>
      <c r="O4" s="2488"/>
      <c r="P4" s="3450" t="s">
        <v>1775</v>
      </c>
      <c r="Q4" s="3451"/>
      <c r="R4" s="3456" t="s">
        <v>1771</v>
      </c>
      <c r="S4" s="3457"/>
      <c r="T4" s="3456" t="s">
        <v>1772</v>
      </c>
      <c r="U4" s="3457"/>
      <c r="V4" s="3432" t="s">
        <v>1773</v>
      </c>
      <c r="W4" s="3432"/>
      <c r="X4" s="1265"/>
      <c r="Y4" s="3456" t="s">
        <v>1775</v>
      </c>
      <c r="Z4" s="3457"/>
      <c r="AA4" s="3443" t="s">
        <v>1771</v>
      </c>
      <c r="AB4" s="3432" t="s">
        <v>1772</v>
      </c>
      <c r="AC4" s="3443" t="s">
        <v>1773</v>
      </c>
    </row>
    <row r="5" spans="1:29" ht="15">
      <c r="A5" s="348"/>
      <c r="B5" s="349"/>
      <c r="C5" s="3464" t="s">
        <v>1673</v>
      </c>
      <c r="D5" s="3465"/>
      <c r="E5" s="3471" t="s">
        <v>1674</v>
      </c>
      <c r="F5" s="3472"/>
      <c r="G5" s="3464" t="s">
        <v>1675</v>
      </c>
      <c r="H5" s="3465"/>
      <c r="I5" s="3464" t="s">
        <v>1676</v>
      </c>
      <c r="J5" s="3465"/>
      <c r="K5" s="537"/>
      <c r="L5" s="2487"/>
      <c r="M5" s="2488"/>
      <c r="N5" s="2488"/>
      <c r="O5" s="2488"/>
      <c r="P5" s="3452"/>
      <c r="Q5" s="3453"/>
      <c r="R5" s="3458"/>
      <c r="S5" s="3459"/>
      <c r="T5" s="3458"/>
      <c r="U5" s="3459"/>
      <c r="V5" s="3432"/>
      <c r="W5" s="3432"/>
      <c r="X5" s="1265"/>
      <c r="Y5" s="3458"/>
      <c r="Z5" s="3459"/>
      <c r="AA5" s="3444"/>
      <c r="AB5" s="3432"/>
      <c r="AC5" s="3444"/>
    </row>
    <row r="6" spans="1:29" ht="15.75" thickBot="1">
      <c r="A6" s="350"/>
      <c r="B6" s="351"/>
      <c r="C6" s="3462" t="s">
        <v>1677</v>
      </c>
      <c r="D6" s="3463"/>
      <c r="E6" s="3469" t="s">
        <v>1677</v>
      </c>
      <c r="F6" s="3470"/>
      <c r="G6" s="3462" t="s">
        <v>1677</v>
      </c>
      <c r="H6" s="3463"/>
      <c r="I6" s="3462" t="s">
        <v>1677</v>
      </c>
      <c r="J6" s="3463"/>
      <c r="K6" s="537" t="s">
        <v>1678</v>
      </c>
      <c r="L6" s="2487"/>
      <c r="M6" s="2488"/>
      <c r="N6" s="2488"/>
      <c r="O6" s="2488"/>
      <c r="P6" s="3454"/>
      <c r="Q6" s="3455"/>
      <c r="R6" s="3458"/>
      <c r="S6" s="3459"/>
      <c r="T6" s="3460"/>
      <c r="U6" s="3461"/>
      <c r="V6" s="3432"/>
      <c r="W6" s="3432"/>
      <c r="X6" s="1265"/>
      <c r="Y6" s="3460"/>
      <c r="Z6" s="3461"/>
      <c r="AA6" s="3445"/>
      <c r="AB6" s="3432"/>
      <c r="AC6" s="3445"/>
    </row>
    <row r="7" spans="1:29" s="102" customFormat="1" ht="15.75" thickBot="1">
      <c r="A7" s="352" t="s">
        <v>1679</v>
      </c>
      <c r="B7" s="353"/>
      <c r="C7" s="354">
        <f>'数据-取费表'!B2</f>
        <v>0</v>
      </c>
      <c r="D7" s="355">
        <v>100</v>
      </c>
      <c r="E7" s="356"/>
      <c r="F7" s="357">
        <f>SUMIF(58:58,YEAR(E7)&amp;"-"&amp;MONTH(E7),59:59)</f>
        <v>100</v>
      </c>
      <c r="G7" s="356"/>
      <c r="H7" s="355">
        <f>SUMIF(58:58,YEAR(G7)&amp;"-"&amp;MONTH(G7),59:59)</f>
        <v>100</v>
      </c>
      <c r="I7" s="356"/>
      <c r="J7" s="355">
        <f>SUMIF(58:58,YEAR(I7)&amp;"-"&amp;MONTH(I7),59:59)</f>
        <v>100</v>
      </c>
      <c r="K7" s="38"/>
      <c r="L7" s="2489"/>
      <c r="M7" s="2440"/>
      <c r="N7" s="2440"/>
      <c r="O7" s="2440"/>
      <c r="P7" s="3466" t="s">
        <v>1680</v>
      </c>
      <c r="Q7" s="3468"/>
      <c r="R7" s="664" t="s">
        <v>14</v>
      </c>
      <c r="S7" s="665">
        <f t="shared" ref="S7:S15" si="0">F7</f>
        <v>100</v>
      </c>
      <c r="T7" s="664" t="s">
        <v>14</v>
      </c>
      <c r="U7" s="665">
        <f t="shared" ref="U7:U15" si="1">H7</f>
        <v>100</v>
      </c>
      <c r="V7" s="664" t="s">
        <v>14</v>
      </c>
      <c r="W7" s="665">
        <f t="shared" ref="W7:W15" si="2">J7</f>
        <v>100</v>
      </c>
      <c r="X7" s="666"/>
      <c r="Y7" s="3466" t="s">
        <v>1680</v>
      </c>
      <c r="Z7" s="3467"/>
      <c r="AA7" s="50">
        <f>D7/F7</f>
        <v>1</v>
      </c>
      <c r="AB7" s="50">
        <f>D7/H7</f>
        <v>1</v>
      </c>
      <c r="AC7" s="50">
        <f>D7/J7</f>
        <v>1</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66" t="s">
        <v>1683</v>
      </c>
      <c r="Q8" s="3467"/>
      <c r="R8" s="664" t="s">
        <v>14</v>
      </c>
      <c r="S8" s="665">
        <f t="shared" si="0"/>
        <v>100</v>
      </c>
      <c r="T8" s="664" t="s">
        <v>14</v>
      </c>
      <c r="U8" s="665">
        <f t="shared" si="1"/>
        <v>100</v>
      </c>
      <c r="V8" s="664" t="s">
        <v>14</v>
      </c>
      <c r="W8" s="665">
        <f t="shared" si="2"/>
        <v>100</v>
      </c>
      <c r="X8" s="666"/>
      <c r="Y8" s="3466" t="s">
        <v>1683</v>
      </c>
      <c r="Z8" s="3467"/>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42" t="s">
        <v>1686</v>
      </c>
      <c r="Q9" s="530" t="str">
        <f t="shared" ref="Q9:Q15" si="6">B9</f>
        <v>用途</v>
      </c>
      <c r="R9" s="664" t="s">
        <v>14</v>
      </c>
      <c r="S9" s="665">
        <f t="shared" si="0"/>
        <v>100</v>
      </c>
      <c r="T9" s="664" t="s">
        <v>14</v>
      </c>
      <c r="U9" s="665">
        <f t="shared" si="1"/>
        <v>100</v>
      </c>
      <c r="V9" s="664" t="s">
        <v>14</v>
      </c>
      <c r="W9" s="665">
        <f t="shared" si="2"/>
        <v>100</v>
      </c>
      <c r="X9" s="666"/>
      <c r="Y9" s="3306"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42"/>
      <c r="Q10" s="530" t="str">
        <f t="shared" si="6"/>
        <v>土地使用年限（年）</v>
      </c>
      <c r="R10" s="664" t="s">
        <v>14</v>
      </c>
      <c r="S10" s="665">
        <f t="shared" si="0"/>
        <v>100</v>
      </c>
      <c r="T10" s="664" t="s">
        <v>14</v>
      </c>
      <c r="U10" s="665">
        <f t="shared" si="1"/>
        <v>100</v>
      </c>
      <c r="V10" s="664" t="s">
        <v>14</v>
      </c>
      <c r="W10" s="665">
        <f t="shared" si="2"/>
        <v>100</v>
      </c>
      <c r="X10" s="666"/>
      <c r="Y10" s="330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42"/>
      <c r="Q11" s="530" t="str">
        <f t="shared" si="6"/>
        <v>容积率</v>
      </c>
      <c r="R11" s="664" t="s">
        <v>14</v>
      </c>
      <c r="S11" s="665" t="e">
        <f t="shared" si="0"/>
        <v>#N/A</v>
      </c>
      <c r="T11" s="664" t="s">
        <v>14</v>
      </c>
      <c r="U11" s="665" t="e">
        <f t="shared" si="1"/>
        <v>#N/A</v>
      </c>
      <c r="V11" s="664" t="s">
        <v>14</v>
      </c>
      <c r="W11" s="665" t="e">
        <f t="shared" si="2"/>
        <v>#N/A</v>
      </c>
      <c r="X11" s="666"/>
      <c r="Y11" s="330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42"/>
      <c r="Q12" s="530">
        <f t="shared" si="6"/>
        <v>111</v>
      </c>
      <c r="R12" s="664" t="s">
        <v>14</v>
      </c>
      <c r="S12" s="665">
        <f t="shared" si="0"/>
        <v>100</v>
      </c>
      <c r="T12" s="664" t="s">
        <v>14</v>
      </c>
      <c r="U12" s="665">
        <f t="shared" si="1"/>
        <v>100</v>
      </c>
      <c r="V12" s="664" t="s">
        <v>14</v>
      </c>
      <c r="W12" s="665">
        <f t="shared" si="2"/>
        <v>100</v>
      </c>
      <c r="X12" s="666"/>
      <c r="Y12" s="330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42"/>
      <c r="Q13" s="530">
        <f t="shared" si="6"/>
        <v>111</v>
      </c>
      <c r="R13" s="664" t="s">
        <v>14</v>
      </c>
      <c r="S13" s="665">
        <f t="shared" si="0"/>
        <v>100</v>
      </c>
      <c r="T13" s="664" t="s">
        <v>14</v>
      </c>
      <c r="U13" s="665">
        <f t="shared" si="1"/>
        <v>100</v>
      </c>
      <c r="V13" s="664" t="s">
        <v>14</v>
      </c>
      <c r="W13" s="665">
        <f t="shared" si="2"/>
        <v>100</v>
      </c>
      <c r="X13" s="666"/>
      <c r="Y13" s="3306"/>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42"/>
      <c r="Q14" s="530">
        <f t="shared" si="6"/>
        <v>111</v>
      </c>
      <c r="R14" s="664" t="s">
        <v>14</v>
      </c>
      <c r="S14" s="665">
        <f t="shared" si="0"/>
        <v>100</v>
      </c>
      <c r="T14" s="664" t="s">
        <v>14</v>
      </c>
      <c r="U14" s="665">
        <f t="shared" si="1"/>
        <v>100</v>
      </c>
      <c r="V14" s="664" t="s">
        <v>14</v>
      </c>
      <c r="W14" s="665">
        <f t="shared" si="2"/>
        <v>100</v>
      </c>
      <c r="X14" s="666"/>
      <c r="Y14" s="3306"/>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40" t="s">
        <v>1691</v>
      </c>
      <c r="Q15" s="1263" t="str">
        <f t="shared" si="6"/>
        <v>商业繁华度</v>
      </c>
      <c r="R15" s="667" t="s">
        <v>14</v>
      </c>
      <c r="S15" s="668">
        <f t="shared" si="0"/>
        <v>100</v>
      </c>
      <c r="T15" s="667" t="s">
        <v>14</v>
      </c>
      <c r="U15" s="668">
        <f t="shared" si="1"/>
        <v>100</v>
      </c>
      <c r="V15" s="667" t="s">
        <v>14</v>
      </c>
      <c r="W15" s="668">
        <f t="shared" si="2"/>
        <v>100</v>
      </c>
      <c r="X15" s="1265"/>
      <c r="Y15" s="3433"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41"/>
      <c r="Q16" s="1263"/>
      <c r="R16" s="667"/>
      <c r="S16" s="668"/>
      <c r="T16" s="667"/>
      <c r="U16" s="668"/>
      <c r="V16" s="667"/>
      <c r="W16" s="668"/>
      <c r="X16" s="1265"/>
      <c r="Y16" s="3434"/>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41"/>
      <c r="Q17" s="1263" t="str">
        <f>B17</f>
        <v>交通便捷度</v>
      </c>
      <c r="R17" s="667" t="s">
        <v>14</v>
      </c>
      <c r="S17" s="668">
        <f>F17</f>
        <v>100</v>
      </c>
      <c r="T17" s="667" t="s">
        <v>14</v>
      </c>
      <c r="U17" s="668">
        <f>H17</f>
        <v>100</v>
      </c>
      <c r="V17" s="667" t="s">
        <v>14</v>
      </c>
      <c r="W17" s="668">
        <f>J17</f>
        <v>100</v>
      </c>
      <c r="X17" s="1265"/>
      <c r="Y17" s="343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41"/>
      <c r="Q18" s="1263"/>
      <c r="R18" s="667"/>
      <c r="S18" s="668"/>
      <c r="T18" s="667"/>
      <c r="U18" s="668"/>
      <c r="V18" s="667"/>
      <c r="W18" s="668"/>
      <c r="X18" s="1265"/>
      <c r="Y18" s="3434"/>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41"/>
      <c r="Q19" s="1263" t="str">
        <f>B19</f>
        <v>公共配套设施</v>
      </c>
      <c r="R19" s="667" t="s">
        <v>14</v>
      </c>
      <c r="S19" s="668">
        <f>F19</f>
        <v>100</v>
      </c>
      <c r="T19" s="667" t="s">
        <v>14</v>
      </c>
      <c r="U19" s="668">
        <f>H19</f>
        <v>100</v>
      </c>
      <c r="V19" s="667" t="s">
        <v>14</v>
      </c>
      <c r="W19" s="668">
        <f>J19</f>
        <v>100</v>
      </c>
      <c r="X19" s="1265"/>
      <c r="Y19" s="343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41"/>
      <c r="Q20" s="1263"/>
      <c r="R20" s="667"/>
      <c r="S20" s="668"/>
      <c r="T20" s="667"/>
      <c r="U20" s="668"/>
      <c r="V20" s="667"/>
      <c r="W20" s="668"/>
      <c r="X20" s="1265"/>
      <c r="Y20" s="3434"/>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41"/>
      <c r="Q21" s="1263" t="str">
        <f>B21</f>
        <v>基础设施水平</v>
      </c>
      <c r="R21" s="667" t="s">
        <v>14</v>
      </c>
      <c r="S21" s="668">
        <f>F21</f>
        <v>100</v>
      </c>
      <c r="T21" s="667" t="s">
        <v>14</v>
      </c>
      <c r="U21" s="668">
        <f>H21</f>
        <v>100</v>
      </c>
      <c r="V21" s="667" t="s">
        <v>14</v>
      </c>
      <c r="W21" s="668">
        <f>J21</f>
        <v>100</v>
      </c>
      <c r="X21" s="1265"/>
      <c r="Y21" s="343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41"/>
      <c r="Q22" s="1263"/>
      <c r="R22" s="667"/>
      <c r="S22" s="668"/>
      <c r="T22" s="667"/>
      <c r="U22" s="668"/>
      <c r="V22" s="667"/>
      <c r="W22" s="668"/>
      <c r="X22" s="1265"/>
      <c r="Y22" s="3434"/>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41"/>
      <c r="Q23" s="1263" t="str">
        <f>B23</f>
        <v>自然及人文环境</v>
      </c>
      <c r="R23" s="667" t="s">
        <v>14</v>
      </c>
      <c r="S23" s="668">
        <f>F23</f>
        <v>100</v>
      </c>
      <c r="T23" s="667" t="s">
        <v>14</v>
      </c>
      <c r="U23" s="668">
        <f>H23</f>
        <v>100</v>
      </c>
      <c r="V23" s="667" t="s">
        <v>14</v>
      </c>
      <c r="W23" s="668">
        <f>J23</f>
        <v>100</v>
      </c>
      <c r="X23" s="1265"/>
      <c r="Y23" s="3434"/>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41"/>
      <c r="Q24" s="1263"/>
      <c r="R24" s="667"/>
      <c r="S24" s="668"/>
      <c r="T24" s="667"/>
      <c r="U24" s="668"/>
      <c r="V24" s="667"/>
      <c r="W24" s="668"/>
      <c r="X24" s="1265"/>
      <c r="Y24" s="3434"/>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41"/>
      <c r="Q25" s="1263" t="str">
        <f t="shared" ref="Q25:Q46" si="11">B25</f>
        <v>临街状况</v>
      </c>
      <c r="R25" s="667" t="s">
        <v>14</v>
      </c>
      <c r="S25" s="668">
        <f>F25</f>
        <v>100</v>
      </c>
      <c r="T25" s="667" t="s">
        <v>14</v>
      </c>
      <c r="U25" s="668">
        <f>H25</f>
        <v>100</v>
      </c>
      <c r="V25" s="667" t="s">
        <v>14</v>
      </c>
      <c r="W25" s="668">
        <f>J25</f>
        <v>100</v>
      </c>
      <c r="X25" s="1265"/>
      <c r="Y25" s="343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41"/>
      <c r="Q26" s="1263" t="str">
        <f t="shared" si="11"/>
        <v>平面位置/可视性</v>
      </c>
      <c r="R26" s="667" t="s">
        <v>14</v>
      </c>
      <c r="S26" s="668">
        <f>F26</f>
        <v>100</v>
      </c>
      <c r="T26" s="667" t="s">
        <v>14</v>
      </c>
      <c r="U26" s="668">
        <f>H26</f>
        <v>100</v>
      </c>
      <c r="V26" s="667" t="s">
        <v>14</v>
      </c>
      <c r="W26" s="668">
        <f>J26</f>
        <v>100</v>
      </c>
      <c r="X26" s="1265"/>
      <c r="Y26" s="3434"/>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41"/>
      <c r="Q27" s="530" t="str">
        <f t="shared" si="11"/>
        <v>人流量</v>
      </c>
      <c r="R27" s="664" t="s">
        <v>14</v>
      </c>
      <c r="S27" s="665">
        <f>F27</f>
        <v>100</v>
      </c>
      <c r="T27" s="664" t="s">
        <v>14</v>
      </c>
      <c r="U27" s="665">
        <f>H27</f>
        <v>100</v>
      </c>
      <c r="V27" s="664" t="s">
        <v>14</v>
      </c>
      <c r="W27" s="665">
        <f>J27</f>
        <v>100</v>
      </c>
      <c r="X27" s="666"/>
      <c r="Y27" s="3434"/>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4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3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41"/>
      <c r="Q29" s="1263">
        <f t="shared" si="11"/>
        <v>111</v>
      </c>
      <c r="R29" s="667" t="s">
        <v>14</v>
      </c>
      <c r="S29" s="668">
        <f t="shared" si="12"/>
        <v>100</v>
      </c>
      <c r="T29" s="667" t="s">
        <v>14</v>
      </c>
      <c r="U29" s="668">
        <f t="shared" si="13"/>
        <v>100</v>
      </c>
      <c r="V29" s="667" t="s">
        <v>14</v>
      </c>
      <c r="W29" s="668">
        <f t="shared" si="14"/>
        <v>100</v>
      </c>
      <c r="X29" s="1265"/>
      <c r="Y29" s="343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41"/>
      <c r="Q30" s="1263">
        <f t="shared" si="11"/>
        <v>111</v>
      </c>
      <c r="R30" s="667" t="s">
        <v>14</v>
      </c>
      <c r="S30" s="668">
        <f t="shared" si="12"/>
        <v>100</v>
      </c>
      <c r="T30" s="667" t="s">
        <v>14</v>
      </c>
      <c r="U30" s="668">
        <f t="shared" si="13"/>
        <v>100</v>
      </c>
      <c r="V30" s="667" t="s">
        <v>14</v>
      </c>
      <c r="W30" s="668">
        <f t="shared" si="14"/>
        <v>100</v>
      </c>
      <c r="X30" s="1265"/>
      <c r="Y30" s="3434"/>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41"/>
      <c r="Q31" s="1263">
        <f t="shared" si="11"/>
        <v>111</v>
      </c>
      <c r="R31" s="667" t="s">
        <v>14</v>
      </c>
      <c r="S31" s="668">
        <f t="shared" si="12"/>
        <v>100</v>
      </c>
      <c r="T31" s="667" t="s">
        <v>14</v>
      </c>
      <c r="U31" s="668">
        <f t="shared" si="13"/>
        <v>100</v>
      </c>
      <c r="V31" s="667" t="s">
        <v>14</v>
      </c>
      <c r="W31" s="668">
        <f t="shared" si="14"/>
        <v>100</v>
      </c>
      <c r="X31" s="1265"/>
      <c r="Y31" s="3434"/>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35" t="s">
        <v>1696</v>
      </c>
      <c r="Q32" s="1263" t="str">
        <f t="shared" si="11"/>
        <v>商业类型</v>
      </c>
      <c r="R32" s="667" t="s">
        <v>14</v>
      </c>
      <c r="S32" s="668">
        <f t="shared" si="12"/>
        <v>100</v>
      </c>
      <c r="T32" s="667" t="s">
        <v>14</v>
      </c>
      <c r="U32" s="668">
        <f t="shared" si="13"/>
        <v>100</v>
      </c>
      <c r="V32" s="667" t="s">
        <v>14</v>
      </c>
      <c r="W32" s="668">
        <f t="shared" si="14"/>
        <v>100</v>
      </c>
      <c r="X32" s="1265"/>
      <c r="Y32" s="3438"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36"/>
      <c r="Q33" s="531" t="str">
        <f t="shared" si="11"/>
        <v>项目建筑规模</v>
      </c>
      <c r="R33" s="669" t="s">
        <v>14</v>
      </c>
      <c r="S33" s="670" t="e">
        <f t="shared" si="12"/>
        <v>#N/A</v>
      </c>
      <c r="T33" s="669" t="s">
        <v>14</v>
      </c>
      <c r="U33" s="670" t="e">
        <f t="shared" si="13"/>
        <v>#N/A</v>
      </c>
      <c r="V33" s="669" t="s">
        <v>14</v>
      </c>
      <c r="W33" s="670" t="e">
        <f t="shared" si="14"/>
        <v>#N/A</v>
      </c>
      <c r="X33" s="671"/>
      <c r="Y33" s="3438"/>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36"/>
      <c r="Q34" s="1263" t="str">
        <f t="shared" si="11"/>
        <v>建筑结构</v>
      </c>
      <c r="R34" s="667" t="s">
        <v>14</v>
      </c>
      <c r="S34" s="668">
        <f t="shared" si="12"/>
        <v>100</v>
      </c>
      <c r="T34" s="667" t="s">
        <v>14</v>
      </c>
      <c r="U34" s="668">
        <f t="shared" si="13"/>
        <v>100</v>
      </c>
      <c r="V34" s="667" t="s">
        <v>14</v>
      </c>
      <c r="W34" s="668">
        <f t="shared" si="14"/>
        <v>100</v>
      </c>
      <c r="X34" s="1265"/>
      <c r="Y34" s="3438"/>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36"/>
      <c r="Q35" s="1263" t="str">
        <f t="shared" si="11"/>
        <v>公共部分装修</v>
      </c>
      <c r="R35" s="667" t="s">
        <v>14</v>
      </c>
      <c r="S35" s="668">
        <f t="shared" si="12"/>
        <v>100</v>
      </c>
      <c r="T35" s="667" t="s">
        <v>14</v>
      </c>
      <c r="U35" s="668">
        <f t="shared" si="13"/>
        <v>100</v>
      </c>
      <c r="V35" s="667" t="s">
        <v>14</v>
      </c>
      <c r="W35" s="668">
        <f t="shared" si="14"/>
        <v>100</v>
      </c>
      <c r="X35" s="1265"/>
      <c r="Y35" s="3438"/>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36"/>
      <c r="Q36" s="1263" t="str">
        <f t="shared" si="11"/>
        <v>成新度</v>
      </c>
      <c r="R36" s="667" t="s">
        <v>14</v>
      </c>
      <c r="S36" s="668" t="e">
        <f t="shared" si="12"/>
        <v>#N/A</v>
      </c>
      <c r="T36" s="667" t="s">
        <v>14</v>
      </c>
      <c r="U36" s="668" t="e">
        <f t="shared" si="13"/>
        <v>#N/A</v>
      </c>
      <c r="V36" s="667" t="s">
        <v>14</v>
      </c>
      <c r="W36" s="668" t="e">
        <f t="shared" si="14"/>
        <v>#N/A</v>
      </c>
      <c r="X36" s="1265"/>
      <c r="Y36" s="3438"/>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36"/>
      <c r="Q37" s="530" t="str">
        <f t="shared" si="11"/>
        <v>市政基础设施</v>
      </c>
      <c r="R37" s="664" t="s">
        <v>14</v>
      </c>
      <c r="S37" s="665">
        <f t="shared" si="12"/>
        <v>100</v>
      </c>
      <c r="T37" s="664" t="s">
        <v>14</v>
      </c>
      <c r="U37" s="665">
        <f t="shared" si="13"/>
        <v>100</v>
      </c>
      <c r="V37" s="664" t="s">
        <v>14</v>
      </c>
      <c r="W37" s="665">
        <f t="shared" si="14"/>
        <v>100</v>
      </c>
      <c r="X37" s="666"/>
      <c r="Y37" s="3438"/>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36" t="s">
        <v>1696</v>
      </c>
      <c r="Q38" s="1263" t="str">
        <f t="shared" si="11"/>
        <v>业态</v>
      </c>
      <c r="R38" s="667" t="s">
        <v>14</v>
      </c>
      <c r="S38" s="668">
        <f t="shared" si="12"/>
        <v>100</v>
      </c>
      <c r="T38" s="667" t="s">
        <v>14</v>
      </c>
      <c r="U38" s="668">
        <f t="shared" si="13"/>
        <v>100</v>
      </c>
      <c r="V38" s="667" t="s">
        <v>14</v>
      </c>
      <c r="W38" s="668">
        <f t="shared" si="14"/>
        <v>100</v>
      </c>
      <c r="X38" s="1265"/>
      <c r="Y38" s="3438"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36"/>
      <c r="Q39" s="1263" t="str">
        <f t="shared" si="11"/>
        <v>层高</v>
      </c>
      <c r="R39" s="667" t="s">
        <v>14</v>
      </c>
      <c r="S39" s="668">
        <f t="shared" si="12"/>
        <v>100</v>
      </c>
      <c r="T39" s="667" t="s">
        <v>14</v>
      </c>
      <c r="U39" s="668">
        <f t="shared" si="13"/>
        <v>100</v>
      </c>
      <c r="V39" s="667" t="s">
        <v>14</v>
      </c>
      <c r="W39" s="668">
        <f t="shared" si="14"/>
        <v>100</v>
      </c>
      <c r="X39" s="1265"/>
      <c r="Y39" s="343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36"/>
      <c r="Q40" s="1263" t="str">
        <f t="shared" si="11"/>
        <v>单套建筑面积</v>
      </c>
      <c r="R40" s="667" t="s">
        <v>14</v>
      </c>
      <c r="S40" s="668">
        <f t="shared" si="12"/>
        <v>100</v>
      </c>
      <c r="T40" s="667" t="s">
        <v>14</v>
      </c>
      <c r="U40" s="668">
        <f t="shared" si="13"/>
        <v>100</v>
      </c>
      <c r="V40" s="667" t="s">
        <v>14</v>
      </c>
      <c r="W40" s="668">
        <f t="shared" si="14"/>
        <v>100</v>
      </c>
      <c r="X40" s="1265"/>
      <c r="Y40" s="343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36"/>
      <c r="Q41" s="531" t="str">
        <f t="shared" si="11"/>
        <v>进深比</v>
      </c>
      <c r="R41" s="669" t="s">
        <v>14</v>
      </c>
      <c r="S41" s="670">
        <f t="shared" si="12"/>
        <v>100</v>
      </c>
      <c r="T41" s="669" t="s">
        <v>14</v>
      </c>
      <c r="U41" s="670">
        <f t="shared" si="13"/>
        <v>100</v>
      </c>
      <c r="V41" s="669" t="s">
        <v>14</v>
      </c>
      <c r="W41" s="670">
        <f t="shared" si="14"/>
        <v>100</v>
      </c>
      <c r="X41" s="671"/>
      <c r="Y41" s="3438"/>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36"/>
      <c r="Q42" s="1263" t="str">
        <f t="shared" si="11"/>
        <v>内部装修</v>
      </c>
      <c r="R42" s="667" t="s">
        <v>14</v>
      </c>
      <c r="S42" s="668">
        <f t="shared" si="12"/>
        <v>100</v>
      </c>
      <c r="T42" s="667" t="s">
        <v>14</v>
      </c>
      <c r="U42" s="668">
        <f t="shared" si="13"/>
        <v>100</v>
      </c>
      <c r="V42" s="667" t="s">
        <v>14</v>
      </c>
      <c r="W42" s="668">
        <f t="shared" si="14"/>
        <v>100</v>
      </c>
      <c r="X42" s="1265"/>
      <c r="Y42" s="3438"/>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36"/>
      <c r="Q43" s="1263" t="str">
        <f t="shared" si="11"/>
        <v>内部装修维护情况</v>
      </c>
      <c r="R43" s="667" t="s">
        <v>14</v>
      </c>
      <c r="S43" s="668">
        <f t="shared" si="12"/>
        <v>100</v>
      </c>
      <c r="T43" s="667" t="s">
        <v>14</v>
      </c>
      <c r="U43" s="668">
        <f t="shared" si="13"/>
        <v>100</v>
      </c>
      <c r="V43" s="667" t="s">
        <v>14</v>
      </c>
      <c r="W43" s="668">
        <f t="shared" si="14"/>
        <v>100</v>
      </c>
      <c r="X43" s="1265"/>
      <c r="Y43" s="343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36"/>
      <c r="Q44" s="530">
        <f t="shared" si="11"/>
        <v>111</v>
      </c>
      <c r="R44" s="664" t="s">
        <v>14</v>
      </c>
      <c r="S44" s="665">
        <f t="shared" si="12"/>
        <v>100</v>
      </c>
      <c r="T44" s="664" t="s">
        <v>14</v>
      </c>
      <c r="U44" s="665">
        <f t="shared" si="13"/>
        <v>100</v>
      </c>
      <c r="V44" s="664" t="s">
        <v>14</v>
      </c>
      <c r="W44" s="665">
        <f t="shared" si="14"/>
        <v>100</v>
      </c>
      <c r="X44" s="666"/>
      <c r="Y44" s="343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36"/>
      <c r="Q45" s="1263">
        <f t="shared" si="11"/>
        <v>111</v>
      </c>
      <c r="R45" s="667" t="s">
        <v>14</v>
      </c>
      <c r="S45" s="668">
        <f t="shared" si="12"/>
        <v>100</v>
      </c>
      <c r="T45" s="667" t="s">
        <v>14</v>
      </c>
      <c r="U45" s="668">
        <f t="shared" si="13"/>
        <v>100</v>
      </c>
      <c r="V45" s="667" t="s">
        <v>14</v>
      </c>
      <c r="W45" s="668">
        <f t="shared" si="14"/>
        <v>100</v>
      </c>
      <c r="X45" s="1265"/>
      <c r="Y45" s="3438"/>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37"/>
      <c r="Q46" s="1263">
        <f t="shared" si="11"/>
        <v>111</v>
      </c>
      <c r="R46" s="667" t="s">
        <v>14</v>
      </c>
      <c r="S46" s="668">
        <f t="shared" si="12"/>
        <v>100</v>
      </c>
      <c r="T46" s="667" t="s">
        <v>14</v>
      </c>
      <c r="U46" s="668">
        <f t="shared" si="13"/>
        <v>100</v>
      </c>
      <c r="V46" s="667" t="s">
        <v>14</v>
      </c>
      <c r="W46" s="668">
        <f t="shared" si="14"/>
        <v>100</v>
      </c>
      <c r="X46" s="1265"/>
      <c r="Y46" s="3439"/>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31" t="str">
        <f>A47</f>
        <v>成交单价（元/平方米）</v>
      </c>
      <c r="Q47" s="3431"/>
      <c r="R47" s="3432">
        <f>E47</f>
        <v>0</v>
      </c>
      <c r="S47" s="3432"/>
      <c r="T47" s="3432">
        <f>G47</f>
        <v>0</v>
      </c>
      <c r="U47" s="3432"/>
      <c r="V47" s="3432">
        <f>I47</f>
        <v>0</v>
      </c>
      <c r="W47" s="3432"/>
      <c r="X47" s="385"/>
      <c r="Y47" s="673"/>
      <c r="Z47" s="385"/>
      <c r="AA47" s="385"/>
      <c r="AB47" s="385"/>
      <c r="AC47" s="385"/>
    </row>
    <row r="48" spans="1:29" ht="15.75" thickBot="1">
      <c r="A48" s="423" t="s">
        <v>1793</v>
      </c>
      <c r="B48" s="424"/>
      <c r="C48" s="1082" t="e">
        <f>R49</f>
        <v>#N/A</v>
      </c>
      <c r="D48" s="2141" t="s">
        <v>2138</v>
      </c>
      <c r="E48" s="1083" t="e">
        <f>R48</f>
        <v>#N/A</v>
      </c>
      <c r="F48" s="2142"/>
      <c r="G48" s="1082" t="e">
        <f>T48</f>
        <v>#N/A</v>
      </c>
      <c r="H48" s="2142"/>
      <c r="I48" s="1083" t="e">
        <f>V48</f>
        <v>#N/A</v>
      </c>
      <c r="J48" s="2142"/>
      <c r="K48" s="2144">
        <f>F48+H48+J48</f>
        <v>0</v>
      </c>
      <c r="L48" s="2495"/>
      <c r="M48" s="2488"/>
      <c r="N48" s="2488"/>
      <c r="O48" s="2488"/>
      <c r="P48" s="3431" t="str">
        <f>A48</f>
        <v>比较价值（元/平方米）</v>
      </c>
      <c r="Q48" s="3431"/>
      <c r="R48" s="3432" t="e">
        <f>IF(F1="售价",ROUND(PRODUCT(R47,AA7:AA46),0),ROUND(PRODUCT(R47,AA7:AA46),1))</f>
        <v>#N/A</v>
      </c>
      <c r="S48" s="3432"/>
      <c r="T48" s="3432" t="e">
        <f>IF(F1="售价",ROUND(PRODUCT(T47,AB7:AB46),0),ROUND(PRODUCT(T47,AB7:AB46),1))</f>
        <v>#N/A</v>
      </c>
      <c r="U48" s="3432"/>
      <c r="V48" s="3432" t="e">
        <f>IF(F1="售价",ROUND(PRODUCT(V47,AC7:AC46),0),ROUND(PRODUCT(V47,AC7:AC46),1))</f>
        <v>#N/A</v>
      </c>
      <c r="W48" s="3432"/>
      <c r="X48" s="385"/>
      <c r="Y48" s="385"/>
      <c r="Z48" s="385"/>
      <c r="AA48" s="385"/>
      <c r="AB48" s="385"/>
      <c r="AC48" s="385"/>
    </row>
    <row r="49" spans="1:29" ht="15.75" thickBot="1">
      <c r="A49" s="427" t="s">
        <v>1794</v>
      </c>
      <c r="B49" s="428"/>
      <c r="C49" s="351" t="e">
        <f>R49</f>
        <v>#N/A</v>
      </c>
      <c r="D49" s="351"/>
      <c r="E49" s="351"/>
      <c r="F49" s="351"/>
      <c r="G49" s="351"/>
      <c r="H49" s="351"/>
      <c r="I49" s="351"/>
      <c r="J49" s="351"/>
      <c r="K49" s="675"/>
      <c r="L49" s="2495"/>
      <c r="M49" s="2488"/>
      <c r="N49" s="2488"/>
      <c r="O49" s="2488"/>
      <c r="P49" s="3428" t="str">
        <f>A49</f>
        <v>估价对象XX用房的比较价值（楼面单价，元/平方米）</v>
      </c>
      <c r="Q49" s="3429"/>
      <c r="R49" s="3430" t="e">
        <f>IF(F1="售价",ROUND(IF(D48="简单平均",AVERAGE(R48:V48),R48*F48+T48*H48+V48*J48),0),ROUND(IF(D48="简单平均",AVERAGE(R48:V48),R48*F48+T48*H48+V48*J48),1))</f>
        <v>#N/A</v>
      </c>
      <c r="S49" s="3430"/>
      <c r="T49" s="3430"/>
      <c r="U49" s="3430"/>
      <c r="V49" s="3430"/>
      <c r="W49" s="3430"/>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#N/A</v>
      </c>
      <c r="F52" s="435" t="e">
        <f>IF(OR(E52&gt;=0.3,E52&lt;=-0.3),"超过30%","")</f>
        <v>#N/A</v>
      </c>
      <c r="G52" s="434" t="e">
        <f>IF(G47&lt;G48,G48/G47-1,G47/G48-1)</f>
        <v>#N/A</v>
      </c>
      <c r="H52" s="435" t="e">
        <f>IF(OR(G52&gt;=0.3,G52&lt;=-0.3),"超过30%","")</f>
        <v>#N/A</v>
      </c>
      <c r="I52" s="434" t="e">
        <f>IF(I47&lt;I48,I48/I47-1,I47/I48-1)</f>
        <v>#N/A</v>
      </c>
      <c r="J52" s="435" t="e">
        <f>IF(OR(I52&gt;=0.3,I52&lt;=-0.3),"超过30%","")</f>
        <v>#N/A</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#N/A</v>
      </c>
      <c r="F53" s="435" t="e">
        <f>IF(OR(E53&gt;=0.2,E53&lt;=-0.2),"超过20%","")</f>
        <v>#N/A</v>
      </c>
      <c r="G53" s="434" t="e">
        <f>IF(G48&lt;I48,I48/G48-1,G48/I48-1)</f>
        <v>#N/A</v>
      </c>
      <c r="H53" s="435" t="e">
        <f>IF(OR(G53&gt;=0.2,G53&lt;=-0.2),"超过20%","")</f>
        <v>#N/A</v>
      </c>
      <c r="I53" s="434" t="e">
        <f>IF(I48&lt;E48,E48/I48-1,I48/E48-1)</f>
        <v>#N/A</v>
      </c>
      <c r="J53" s="435" t="e">
        <f>IF(OR(I53&gt;=0.2,I53&lt;=-0.2),"超过20%","")</f>
        <v>#N/A</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1900-1</v>
      </c>
      <c r="D58" s="1104" t="e">
        <f>EDATE(C58,-1)</f>
        <v>#NUM!</v>
      </c>
      <c r="E58" s="1104" t="e">
        <f t="shared" ref="E58:N58" si="16">EDATE(D58,-1)</f>
        <v>#NUM!</v>
      </c>
      <c r="F58" s="1104" t="e">
        <f t="shared" si="16"/>
        <v>#NUM!</v>
      </c>
      <c r="G58" s="1104" t="e">
        <f t="shared" si="16"/>
        <v>#NUM!</v>
      </c>
      <c r="H58" s="1104" t="e">
        <f t="shared" si="16"/>
        <v>#NUM!</v>
      </c>
      <c r="I58" s="1104" t="e">
        <f t="shared" si="16"/>
        <v>#NUM!</v>
      </c>
      <c r="J58" s="1104" t="e">
        <f t="shared" si="16"/>
        <v>#NUM!</v>
      </c>
      <c r="K58" s="1104" t="e">
        <f t="shared" si="16"/>
        <v>#NUM!</v>
      </c>
      <c r="L58" s="1104" t="e">
        <f t="shared" si="16"/>
        <v>#NUM!</v>
      </c>
      <c r="M58" s="1104" t="e">
        <f t="shared" si="16"/>
        <v>#NUM!</v>
      </c>
      <c r="N58" s="1104" t="e">
        <f t="shared" si="16"/>
        <v>#NUM!</v>
      </c>
      <c r="O58" s="1104" t="e">
        <f>EDATE(N58,-1)</f>
        <v>#NUM!</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49" priority="16" stopIfTrue="1">
      <formula>$F$52="超过30%"</formula>
    </cfRule>
  </conditionalFormatting>
  <conditionalFormatting sqref="E53">
    <cfRule type="expression" dxfId="148" priority="15" stopIfTrue="1">
      <formula>$F$53="超过20%"</formula>
    </cfRule>
  </conditionalFormatting>
  <conditionalFormatting sqref="E54">
    <cfRule type="expression" dxfId="147" priority="14" stopIfTrue="1">
      <formula>$F$54="超过30%"</formula>
    </cfRule>
  </conditionalFormatting>
  <conditionalFormatting sqref="F7:F46 H7:H46 J7:J46">
    <cfRule type="cellIs" dxfId="146" priority="1" operator="notEqual">
      <formula>100</formula>
    </cfRule>
  </conditionalFormatting>
  <conditionalFormatting sqref="F48">
    <cfRule type="expression" dxfId="145" priority="4">
      <formula>$D$48="简单平均"</formula>
    </cfRule>
  </conditionalFormatting>
  <conditionalFormatting sqref="F52:F54 H52:H54">
    <cfRule type="containsText" dxfId="144" priority="17" stopIfTrue="1" operator="containsText" text="超过">
      <formula>NOT(ISERROR(SEARCH("超过",F52)))</formula>
    </cfRule>
  </conditionalFormatting>
  <conditionalFormatting sqref="G52">
    <cfRule type="expression" dxfId="143" priority="12" stopIfTrue="1">
      <formula>$H$52="超过30%"</formula>
    </cfRule>
  </conditionalFormatting>
  <conditionalFormatting sqref="G53">
    <cfRule type="expression" dxfId="142" priority="11" stopIfTrue="1">
      <formula>$H$53="超过20%"</formula>
    </cfRule>
  </conditionalFormatting>
  <conditionalFormatting sqref="G54">
    <cfRule type="expression" dxfId="141" priority="13" stopIfTrue="1">
      <formula>$H$54="超过30%"</formula>
    </cfRule>
  </conditionalFormatting>
  <conditionalFormatting sqref="H48">
    <cfRule type="expression" dxfId="140" priority="3">
      <formula>$D$48="简单平均"</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J48">
    <cfRule type="expression" dxfId="136" priority="2">
      <formula>$D$48="简单平均"</formula>
    </cfRule>
  </conditionalFormatting>
  <conditionalFormatting sqref="J52:J54">
    <cfRule type="containsText" dxfId="135"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#DIV/0!</v>
      </c>
      <c r="C3" s="344" t="s">
        <v>1768</v>
      </c>
      <c r="D3" s="343">
        <f>IF(D1="",'数据-汇总表'!E3,SUMIF('数据-汇总表'!$C19:$C33,D1,'数据-汇总表'!$E19:$E33))</f>
        <v>0</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46" t="s">
        <v>1770</v>
      </c>
      <c r="D4" s="3447"/>
      <c r="E4" s="3448" t="s">
        <v>1771</v>
      </c>
      <c r="F4" s="3449"/>
      <c r="G4" s="3446" t="s">
        <v>1772</v>
      </c>
      <c r="H4" s="3447"/>
      <c r="I4" s="3446" t="s">
        <v>1773</v>
      </c>
      <c r="J4" s="3447"/>
      <c r="K4" s="537" t="s">
        <v>1774</v>
      </c>
      <c r="L4" s="2487"/>
      <c r="M4" s="2488"/>
      <c r="N4" s="2488"/>
      <c r="O4" s="2488"/>
      <c r="P4" s="3479" t="s">
        <v>1775</v>
      </c>
      <c r="Q4" s="3480"/>
      <c r="R4" s="3483" t="s">
        <v>1771</v>
      </c>
      <c r="S4" s="3484"/>
      <c r="T4" s="3483" t="s">
        <v>1772</v>
      </c>
      <c r="U4" s="3484"/>
      <c r="V4" s="3485" t="s">
        <v>1773</v>
      </c>
      <c r="W4" s="3485"/>
      <c r="X4" s="1809"/>
      <c r="Y4" s="3483" t="s">
        <v>1775</v>
      </c>
      <c r="Z4" s="3484"/>
      <c r="AA4" s="3487" t="s">
        <v>1771</v>
      </c>
      <c r="AB4" s="3487" t="s">
        <v>1772</v>
      </c>
      <c r="AC4" s="3476" t="s">
        <v>1773</v>
      </c>
    </row>
    <row r="5" spans="1:29" ht="15">
      <c r="A5" s="348"/>
      <c r="B5" s="349"/>
      <c r="C5" s="3464" t="s">
        <v>1673</v>
      </c>
      <c r="D5" s="3465"/>
      <c r="E5" s="3471" t="s">
        <v>1674</v>
      </c>
      <c r="F5" s="3472"/>
      <c r="G5" s="3464" t="s">
        <v>1675</v>
      </c>
      <c r="H5" s="3465"/>
      <c r="I5" s="3464" t="s">
        <v>1676</v>
      </c>
      <c r="J5" s="3465"/>
      <c r="K5" s="537"/>
      <c r="L5" s="2487"/>
      <c r="M5" s="2488"/>
      <c r="N5" s="2488"/>
      <c r="O5" s="2488"/>
      <c r="P5" s="3481"/>
      <c r="Q5" s="3453"/>
      <c r="R5" s="3458"/>
      <c r="S5" s="3459"/>
      <c r="T5" s="3458"/>
      <c r="U5" s="3459"/>
      <c r="V5" s="3432"/>
      <c r="W5" s="3432"/>
      <c r="X5" s="1265"/>
      <c r="Y5" s="3458"/>
      <c r="Z5" s="3459"/>
      <c r="AA5" s="3444"/>
      <c r="AB5" s="3444"/>
      <c r="AC5" s="3477"/>
    </row>
    <row r="6" spans="1:29" ht="15.75" thickBot="1">
      <c r="A6" s="350"/>
      <c r="B6" s="351"/>
      <c r="C6" s="3462" t="s">
        <v>1677</v>
      </c>
      <c r="D6" s="3463"/>
      <c r="E6" s="3469" t="s">
        <v>1677</v>
      </c>
      <c r="F6" s="3470"/>
      <c r="G6" s="3462" t="s">
        <v>1677</v>
      </c>
      <c r="H6" s="3463"/>
      <c r="I6" s="3462" t="s">
        <v>1677</v>
      </c>
      <c r="J6" s="3463"/>
      <c r="K6" s="537" t="s">
        <v>1678</v>
      </c>
      <c r="L6" s="2487"/>
      <c r="M6" s="2488"/>
      <c r="N6" s="2488"/>
      <c r="O6" s="2488"/>
      <c r="P6" s="3482"/>
      <c r="Q6" s="3455"/>
      <c r="R6" s="3458"/>
      <c r="S6" s="3459"/>
      <c r="T6" s="3460"/>
      <c r="U6" s="3461"/>
      <c r="V6" s="3432"/>
      <c r="W6" s="3432"/>
      <c r="X6" s="1265"/>
      <c r="Y6" s="3460"/>
      <c r="Z6" s="3461"/>
      <c r="AA6" s="3445"/>
      <c r="AB6" s="3445"/>
      <c r="AC6" s="3478"/>
    </row>
    <row r="7" spans="1:29" s="102" customFormat="1" ht="15.75" thickBot="1">
      <c r="A7" s="352" t="s">
        <v>1679</v>
      </c>
      <c r="B7" s="353"/>
      <c r="C7" s="354">
        <f>'数据-取费表'!B2</f>
        <v>0</v>
      </c>
      <c r="D7" s="355">
        <v>100</v>
      </c>
      <c r="E7" s="356"/>
      <c r="F7" s="357">
        <f>SUMIF(59:59,YEAR(E7)&amp;"-"&amp;MONTH(E7),60:60)</f>
        <v>100</v>
      </c>
      <c r="G7" s="356"/>
      <c r="H7" s="355">
        <f>SUMIF(59:59,YEAR(G7)&amp;"-"&amp;MONTH(G7),60:60)</f>
        <v>100</v>
      </c>
      <c r="I7" s="356"/>
      <c r="J7" s="355">
        <f>SUMIF(59:59,YEAR(I7)&amp;"-"&amp;MONTH(I7),60:60)</f>
        <v>100</v>
      </c>
      <c r="K7" s="38"/>
      <c r="L7" s="2489"/>
      <c r="M7" s="2440"/>
      <c r="N7" s="2440"/>
      <c r="O7" s="2440"/>
      <c r="P7" s="3486" t="s">
        <v>1680</v>
      </c>
      <c r="Q7" s="3468"/>
      <c r="R7" s="664" t="s">
        <v>14</v>
      </c>
      <c r="S7" s="665">
        <f t="shared" ref="S7:S15" si="0">F7</f>
        <v>100</v>
      </c>
      <c r="T7" s="664" t="s">
        <v>14</v>
      </c>
      <c r="U7" s="665">
        <f t="shared" ref="U7:U15" si="1">H7</f>
        <v>100</v>
      </c>
      <c r="V7" s="664" t="s">
        <v>14</v>
      </c>
      <c r="W7" s="665">
        <f t="shared" ref="W7:W15" si="2">J7</f>
        <v>100</v>
      </c>
      <c r="X7" s="666"/>
      <c r="Y7" s="3466" t="s">
        <v>1680</v>
      </c>
      <c r="Z7" s="3467"/>
      <c r="AA7" s="50">
        <f>D7/F7</f>
        <v>1</v>
      </c>
      <c r="AB7" s="50">
        <f>D7/H7</f>
        <v>1</v>
      </c>
      <c r="AC7" s="802">
        <f>D7/J7</f>
        <v>1</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86" t="s">
        <v>1683</v>
      </c>
      <c r="Q8" s="3467"/>
      <c r="R8" s="664" t="s">
        <v>14</v>
      </c>
      <c r="S8" s="665">
        <f t="shared" si="0"/>
        <v>100</v>
      </c>
      <c r="T8" s="664" t="s">
        <v>14</v>
      </c>
      <c r="U8" s="665">
        <f t="shared" si="1"/>
        <v>100</v>
      </c>
      <c r="V8" s="664" t="s">
        <v>14</v>
      </c>
      <c r="W8" s="665">
        <f t="shared" si="2"/>
        <v>100</v>
      </c>
      <c r="X8" s="666"/>
      <c r="Y8" s="3466" t="s">
        <v>1683</v>
      </c>
      <c r="Z8" s="3467"/>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42" t="s">
        <v>1686</v>
      </c>
      <c r="Q9" s="530" t="str">
        <f t="shared" ref="Q9:Q15" si="6">B9</f>
        <v>用途</v>
      </c>
      <c r="R9" s="664" t="s">
        <v>14</v>
      </c>
      <c r="S9" s="665">
        <f t="shared" si="0"/>
        <v>100</v>
      </c>
      <c r="T9" s="664" t="s">
        <v>14</v>
      </c>
      <c r="U9" s="665">
        <f t="shared" si="1"/>
        <v>100</v>
      </c>
      <c r="V9" s="664" t="s">
        <v>14</v>
      </c>
      <c r="W9" s="665">
        <f t="shared" si="2"/>
        <v>100</v>
      </c>
      <c r="X9" s="666"/>
      <c r="Y9" s="3306"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42"/>
      <c r="Q10" s="530" t="str">
        <f t="shared" si="6"/>
        <v>土地使用年限（年）</v>
      </c>
      <c r="R10" s="664" t="s">
        <v>14</v>
      </c>
      <c r="S10" s="665">
        <f t="shared" si="0"/>
        <v>100</v>
      </c>
      <c r="T10" s="664" t="s">
        <v>14</v>
      </c>
      <c r="U10" s="665">
        <f t="shared" si="1"/>
        <v>100</v>
      </c>
      <c r="V10" s="664" t="s">
        <v>14</v>
      </c>
      <c r="W10" s="665">
        <f t="shared" si="2"/>
        <v>100</v>
      </c>
      <c r="X10" s="666"/>
      <c r="Y10" s="3306"/>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42"/>
      <c r="Q11" s="530" t="str">
        <f t="shared" si="6"/>
        <v>容积率</v>
      </c>
      <c r="R11" s="664" t="s">
        <v>14</v>
      </c>
      <c r="S11" s="665">
        <f t="shared" si="0"/>
        <v>100</v>
      </c>
      <c r="T11" s="664" t="s">
        <v>14</v>
      </c>
      <c r="U11" s="665">
        <f t="shared" si="1"/>
        <v>100</v>
      </c>
      <c r="V11" s="664" t="s">
        <v>14</v>
      </c>
      <c r="W11" s="665">
        <f t="shared" si="2"/>
        <v>100</v>
      </c>
      <c r="X11" s="666"/>
      <c r="Y11" s="330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42"/>
      <c r="Q12" s="530">
        <f t="shared" si="6"/>
        <v>111</v>
      </c>
      <c r="R12" s="664" t="s">
        <v>14</v>
      </c>
      <c r="S12" s="665">
        <f t="shared" si="0"/>
        <v>100</v>
      </c>
      <c r="T12" s="664" t="s">
        <v>14</v>
      </c>
      <c r="U12" s="665">
        <f t="shared" si="1"/>
        <v>100</v>
      </c>
      <c r="V12" s="664" t="s">
        <v>14</v>
      </c>
      <c r="W12" s="665">
        <f t="shared" si="2"/>
        <v>100</v>
      </c>
      <c r="X12" s="666"/>
      <c r="Y12" s="330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42"/>
      <c r="Q13" s="530">
        <f t="shared" si="6"/>
        <v>111</v>
      </c>
      <c r="R13" s="664" t="s">
        <v>14</v>
      </c>
      <c r="S13" s="665">
        <f t="shared" si="0"/>
        <v>100</v>
      </c>
      <c r="T13" s="664" t="s">
        <v>14</v>
      </c>
      <c r="U13" s="665">
        <f t="shared" si="1"/>
        <v>100</v>
      </c>
      <c r="V13" s="664" t="s">
        <v>14</v>
      </c>
      <c r="W13" s="665">
        <f t="shared" si="2"/>
        <v>100</v>
      </c>
      <c r="X13" s="666"/>
      <c r="Y13" s="3306"/>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42"/>
      <c r="Q14" s="530">
        <f t="shared" si="6"/>
        <v>111</v>
      </c>
      <c r="R14" s="664" t="s">
        <v>14</v>
      </c>
      <c r="S14" s="665">
        <f t="shared" si="0"/>
        <v>100</v>
      </c>
      <c r="T14" s="664" t="s">
        <v>14</v>
      </c>
      <c r="U14" s="665">
        <f t="shared" si="1"/>
        <v>100</v>
      </c>
      <c r="V14" s="664" t="s">
        <v>14</v>
      </c>
      <c r="W14" s="665">
        <f t="shared" si="2"/>
        <v>100</v>
      </c>
      <c r="X14" s="666"/>
      <c r="Y14" s="3306"/>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40" t="s">
        <v>1691</v>
      </c>
      <c r="Q15" s="1263" t="str">
        <f t="shared" si="6"/>
        <v>办公集聚程度</v>
      </c>
      <c r="R15" s="667" t="s">
        <v>14</v>
      </c>
      <c r="S15" s="668">
        <f t="shared" si="0"/>
        <v>100</v>
      </c>
      <c r="T15" s="667" t="s">
        <v>14</v>
      </c>
      <c r="U15" s="668">
        <f t="shared" si="1"/>
        <v>100</v>
      </c>
      <c r="V15" s="667" t="s">
        <v>14</v>
      </c>
      <c r="W15" s="668">
        <f t="shared" si="2"/>
        <v>100</v>
      </c>
      <c r="X15" s="1265"/>
      <c r="Y15" s="3433"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41"/>
      <c r="Q16" s="1263"/>
      <c r="R16" s="667"/>
      <c r="S16" s="668"/>
      <c r="T16" s="667"/>
      <c r="U16" s="668"/>
      <c r="V16" s="667"/>
      <c r="W16" s="668"/>
      <c r="X16" s="1265"/>
      <c r="Y16" s="3434"/>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41"/>
      <c r="Q17" s="1263" t="str">
        <f>B17</f>
        <v>交通便捷度</v>
      </c>
      <c r="R17" s="667" t="s">
        <v>14</v>
      </c>
      <c r="S17" s="668">
        <f>F17</f>
        <v>100</v>
      </c>
      <c r="T17" s="667" t="s">
        <v>14</v>
      </c>
      <c r="U17" s="668">
        <f>H17</f>
        <v>100</v>
      </c>
      <c r="V17" s="667" t="s">
        <v>14</v>
      </c>
      <c r="W17" s="668">
        <f>J17</f>
        <v>100</v>
      </c>
      <c r="X17" s="1265"/>
      <c r="Y17" s="3434"/>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41"/>
      <c r="Q18" s="1263"/>
      <c r="R18" s="667"/>
      <c r="S18" s="668"/>
      <c r="T18" s="667"/>
      <c r="U18" s="668"/>
      <c r="V18" s="667"/>
      <c r="W18" s="668"/>
      <c r="X18" s="1265"/>
      <c r="Y18" s="3434"/>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41"/>
      <c r="Q19" s="1263" t="str">
        <f>B19</f>
        <v>公共配套设施</v>
      </c>
      <c r="R19" s="667" t="s">
        <v>14</v>
      </c>
      <c r="S19" s="668">
        <f>F19</f>
        <v>100</v>
      </c>
      <c r="T19" s="667" t="s">
        <v>14</v>
      </c>
      <c r="U19" s="668">
        <f>H19</f>
        <v>100</v>
      </c>
      <c r="V19" s="667" t="s">
        <v>14</v>
      </c>
      <c r="W19" s="668">
        <f>J19</f>
        <v>100</v>
      </c>
      <c r="X19" s="1265"/>
      <c r="Y19" s="3434"/>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41"/>
      <c r="Q20" s="1263"/>
      <c r="R20" s="667"/>
      <c r="S20" s="668"/>
      <c r="T20" s="667"/>
      <c r="U20" s="668"/>
      <c r="V20" s="667"/>
      <c r="W20" s="668"/>
      <c r="X20" s="1265"/>
      <c r="Y20" s="3434"/>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41"/>
      <c r="Q21" s="1263" t="str">
        <f>B21</f>
        <v>基础设施水平</v>
      </c>
      <c r="R21" s="667" t="s">
        <v>14</v>
      </c>
      <c r="S21" s="668">
        <f>F21</f>
        <v>100</v>
      </c>
      <c r="T21" s="667" t="s">
        <v>14</v>
      </c>
      <c r="U21" s="668">
        <f>H21</f>
        <v>100</v>
      </c>
      <c r="V21" s="667" t="s">
        <v>14</v>
      </c>
      <c r="W21" s="668">
        <f>J21</f>
        <v>100</v>
      </c>
      <c r="X21" s="1265"/>
      <c r="Y21" s="3434"/>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41"/>
      <c r="Q22" s="1263"/>
      <c r="R22" s="667"/>
      <c r="S22" s="668"/>
      <c r="T22" s="667"/>
      <c r="U22" s="668"/>
      <c r="V22" s="667"/>
      <c r="W22" s="668"/>
      <c r="X22" s="1265"/>
      <c r="Y22" s="3434"/>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41"/>
      <c r="Q23" s="1263" t="str">
        <f>B23</f>
        <v>环境质量</v>
      </c>
      <c r="R23" s="667" t="s">
        <v>14</v>
      </c>
      <c r="S23" s="668">
        <f>F23</f>
        <v>100</v>
      </c>
      <c r="T23" s="667" t="s">
        <v>14</v>
      </c>
      <c r="U23" s="668">
        <f>H23</f>
        <v>100</v>
      </c>
      <c r="V23" s="667" t="s">
        <v>14</v>
      </c>
      <c r="W23" s="668">
        <f>J23</f>
        <v>100</v>
      </c>
      <c r="X23" s="1265"/>
      <c r="Y23" s="3434"/>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41"/>
      <c r="Q24" s="1263"/>
      <c r="R24" s="667"/>
      <c r="S24" s="668"/>
      <c r="T24" s="667"/>
      <c r="U24" s="668"/>
      <c r="V24" s="667"/>
      <c r="W24" s="668"/>
      <c r="X24" s="1265"/>
      <c r="Y24" s="3434"/>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41"/>
      <c r="Q25" s="1263" t="str">
        <f>B25</f>
        <v>毗邻道路的类型与等级</v>
      </c>
      <c r="R25" s="667" t="s">
        <v>14</v>
      </c>
      <c r="S25" s="668">
        <f>F25</f>
        <v>100</v>
      </c>
      <c r="T25" s="667" t="s">
        <v>14</v>
      </c>
      <c r="U25" s="668">
        <f>H25</f>
        <v>100</v>
      </c>
      <c r="V25" s="667" t="s">
        <v>14</v>
      </c>
      <c r="W25" s="668">
        <f>J25</f>
        <v>100</v>
      </c>
      <c r="X25" s="1265"/>
      <c r="Y25" s="343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41"/>
      <c r="Q26" s="1263"/>
      <c r="R26" s="667"/>
      <c r="S26" s="668"/>
      <c r="T26" s="667"/>
      <c r="U26" s="668"/>
      <c r="V26" s="667"/>
      <c r="W26" s="668"/>
      <c r="X26" s="1265"/>
      <c r="Y26" s="3434"/>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41"/>
      <c r="Q27" s="1263" t="str">
        <f t="shared" ref="Q27:Q47" si="11">B27</f>
        <v>楼层</v>
      </c>
      <c r="R27" s="667" t="s">
        <v>14</v>
      </c>
      <c r="S27" s="668">
        <f>F27</f>
        <v>100</v>
      </c>
      <c r="T27" s="667" t="s">
        <v>14</v>
      </c>
      <c r="U27" s="668">
        <f>H27</f>
        <v>100</v>
      </c>
      <c r="V27" s="667" t="s">
        <v>14</v>
      </c>
      <c r="W27" s="668">
        <f>J27</f>
        <v>100</v>
      </c>
      <c r="X27" s="1265"/>
      <c r="Y27" s="3434"/>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41"/>
      <c r="Q28" s="530" t="str">
        <f t="shared" si="11"/>
        <v>朝向</v>
      </c>
      <c r="R28" s="664" t="s">
        <v>14</v>
      </c>
      <c r="S28" s="665">
        <f>F28</f>
        <v>100</v>
      </c>
      <c r="T28" s="664" t="s">
        <v>14</v>
      </c>
      <c r="U28" s="665">
        <f>H28</f>
        <v>100</v>
      </c>
      <c r="V28" s="664" t="s">
        <v>14</v>
      </c>
      <c r="W28" s="665">
        <f>J28</f>
        <v>100</v>
      </c>
      <c r="X28" s="666"/>
      <c r="Y28" s="343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41"/>
      <c r="Q29" s="1263">
        <f t="shared" si="11"/>
        <v>111</v>
      </c>
      <c r="R29" s="667" t="s">
        <v>14</v>
      </c>
      <c r="S29" s="668">
        <f t="shared" ref="S29:S47" si="12">F29</f>
        <v>100</v>
      </c>
      <c r="T29" s="667" t="s">
        <v>14</v>
      </c>
      <c r="U29" s="668">
        <f t="shared" ref="U29:U47" si="13">H29</f>
        <v>100</v>
      </c>
      <c r="V29" s="667" t="s">
        <v>14</v>
      </c>
      <c r="W29" s="668">
        <f t="shared" ref="W29:W47" si="14">J29</f>
        <v>100</v>
      </c>
      <c r="X29" s="1265"/>
      <c r="Y29" s="343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41"/>
      <c r="Q30" s="1263">
        <f t="shared" si="11"/>
        <v>111</v>
      </c>
      <c r="R30" s="667" t="s">
        <v>14</v>
      </c>
      <c r="S30" s="668">
        <f t="shared" si="12"/>
        <v>100</v>
      </c>
      <c r="T30" s="667" t="s">
        <v>14</v>
      </c>
      <c r="U30" s="668">
        <f t="shared" si="13"/>
        <v>100</v>
      </c>
      <c r="V30" s="667" t="s">
        <v>14</v>
      </c>
      <c r="W30" s="668">
        <f t="shared" si="14"/>
        <v>100</v>
      </c>
      <c r="X30" s="1265"/>
      <c r="Y30" s="343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41"/>
      <c r="Q31" s="1263">
        <f t="shared" si="11"/>
        <v>111</v>
      </c>
      <c r="R31" s="667" t="s">
        <v>14</v>
      </c>
      <c r="S31" s="668">
        <f t="shared" si="12"/>
        <v>100</v>
      </c>
      <c r="T31" s="667" t="s">
        <v>14</v>
      </c>
      <c r="U31" s="668">
        <f t="shared" si="13"/>
        <v>100</v>
      </c>
      <c r="V31" s="667" t="s">
        <v>14</v>
      </c>
      <c r="W31" s="668">
        <f t="shared" si="14"/>
        <v>100</v>
      </c>
      <c r="X31" s="1265"/>
      <c r="Y31" s="3434"/>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41"/>
      <c r="Q32" s="1263">
        <f t="shared" si="11"/>
        <v>111</v>
      </c>
      <c r="R32" s="667" t="s">
        <v>14</v>
      </c>
      <c r="S32" s="668">
        <f t="shared" si="12"/>
        <v>100</v>
      </c>
      <c r="T32" s="667" t="s">
        <v>14</v>
      </c>
      <c r="U32" s="668">
        <f t="shared" si="13"/>
        <v>100</v>
      </c>
      <c r="V32" s="667" t="s">
        <v>14</v>
      </c>
      <c r="W32" s="668">
        <f t="shared" si="14"/>
        <v>100</v>
      </c>
      <c r="X32" s="1265"/>
      <c r="Y32" s="3434"/>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35" t="s">
        <v>1696</v>
      </c>
      <c r="Q33" s="1263" t="str">
        <f t="shared" si="11"/>
        <v>建筑类型</v>
      </c>
      <c r="R33" s="667" t="s">
        <v>14</v>
      </c>
      <c r="S33" s="668">
        <f t="shared" si="12"/>
        <v>100</v>
      </c>
      <c r="T33" s="667" t="s">
        <v>14</v>
      </c>
      <c r="U33" s="668">
        <f t="shared" si="13"/>
        <v>100</v>
      </c>
      <c r="V33" s="667" t="s">
        <v>14</v>
      </c>
      <c r="W33" s="668">
        <f t="shared" si="14"/>
        <v>100</v>
      </c>
      <c r="X33" s="1265"/>
      <c r="Y33" s="3438"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36"/>
      <c r="Q34" s="531" t="str">
        <f t="shared" si="11"/>
        <v>项目建筑规模</v>
      </c>
      <c r="R34" s="669" t="s">
        <v>14</v>
      </c>
      <c r="S34" s="670" t="e">
        <f t="shared" si="12"/>
        <v>#N/A</v>
      </c>
      <c r="T34" s="669" t="s">
        <v>14</v>
      </c>
      <c r="U34" s="670" t="e">
        <f t="shared" si="13"/>
        <v>#N/A</v>
      </c>
      <c r="V34" s="669" t="s">
        <v>14</v>
      </c>
      <c r="W34" s="670" t="e">
        <f t="shared" si="14"/>
        <v>#N/A</v>
      </c>
      <c r="X34" s="671"/>
      <c r="Y34" s="3438"/>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36"/>
      <c r="Q35" s="1263" t="str">
        <f t="shared" si="11"/>
        <v>建筑结构</v>
      </c>
      <c r="R35" s="667" t="s">
        <v>14</v>
      </c>
      <c r="S35" s="668">
        <f t="shared" si="12"/>
        <v>100</v>
      </c>
      <c r="T35" s="667" t="s">
        <v>14</v>
      </c>
      <c r="U35" s="668">
        <f t="shared" si="13"/>
        <v>100</v>
      </c>
      <c r="V35" s="667" t="s">
        <v>14</v>
      </c>
      <c r="W35" s="668">
        <f t="shared" si="14"/>
        <v>100</v>
      </c>
      <c r="X35" s="1265"/>
      <c r="Y35" s="3438"/>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36"/>
      <c r="Q36" s="1263" t="str">
        <f t="shared" si="11"/>
        <v>公共部分装修</v>
      </c>
      <c r="R36" s="667" t="s">
        <v>14</v>
      </c>
      <c r="S36" s="668">
        <f t="shared" si="12"/>
        <v>100</v>
      </c>
      <c r="T36" s="667" t="s">
        <v>14</v>
      </c>
      <c r="U36" s="668">
        <f t="shared" si="13"/>
        <v>100</v>
      </c>
      <c r="V36" s="667" t="s">
        <v>14</v>
      </c>
      <c r="W36" s="668">
        <f t="shared" si="14"/>
        <v>100</v>
      </c>
      <c r="X36" s="1265"/>
      <c r="Y36" s="3438"/>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36"/>
      <c r="Q37" s="1263" t="str">
        <f t="shared" si="11"/>
        <v>成新度</v>
      </c>
      <c r="R37" s="667" t="s">
        <v>14</v>
      </c>
      <c r="S37" s="668" t="e">
        <f t="shared" si="12"/>
        <v>#N/A</v>
      </c>
      <c r="T37" s="667" t="s">
        <v>14</v>
      </c>
      <c r="U37" s="668" t="e">
        <f t="shared" si="13"/>
        <v>#N/A</v>
      </c>
      <c r="V37" s="667" t="s">
        <v>14</v>
      </c>
      <c r="W37" s="668" t="e">
        <f t="shared" si="14"/>
        <v>#N/A</v>
      </c>
      <c r="X37" s="1265"/>
      <c r="Y37" s="3438"/>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36"/>
      <c r="Q38" s="530" t="str">
        <f t="shared" si="11"/>
        <v>写字楼等级</v>
      </c>
      <c r="R38" s="664" t="s">
        <v>14</v>
      </c>
      <c r="S38" s="665">
        <f t="shared" si="12"/>
        <v>100</v>
      </c>
      <c r="T38" s="664" t="s">
        <v>14</v>
      </c>
      <c r="U38" s="665">
        <f t="shared" si="13"/>
        <v>100</v>
      </c>
      <c r="V38" s="664" t="s">
        <v>14</v>
      </c>
      <c r="W38" s="665">
        <f t="shared" si="14"/>
        <v>100</v>
      </c>
      <c r="X38" s="666"/>
      <c r="Y38" s="3438"/>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36" t="s">
        <v>1696</v>
      </c>
      <c r="Q39" s="1263" t="str">
        <f t="shared" si="11"/>
        <v>物业管理</v>
      </c>
      <c r="R39" s="667" t="s">
        <v>14</v>
      </c>
      <c r="S39" s="668">
        <f t="shared" si="12"/>
        <v>100</v>
      </c>
      <c r="T39" s="667" t="s">
        <v>14</v>
      </c>
      <c r="U39" s="668">
        <f t="shared" si="13"/>
        <v>100</v>
      </c>
      <c r="V39" s="667" t="s">
        <v>14</v>
      </c>
      <c r="W39" s="668">
        <f t="shared" si="14"/>
        <v>100</v>
      </c>
      <c r="X39" s="1265"/>
      <c r="Y39" s="3438"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36"/>
      <c r="Q40" s="1263" t="str">
        <f t="shared" si="11"/>
        <v>市政基础设施</v>
      </c>
      <c r="R40" s="667" t="s">
        <v>14</v>
      </c>
      <c r="S40" s="668">
        <f t="shared" si="12"/>
        <v>100</v>
      </c>
      <c r="T40" s="667" t="s">
        <v>14</v>
      </c>
      <c r="U40" s="668">
        <f t="shared" si="13"/>
        <v>100</v>
      </c>
      <c r="V40" s="667" t="s">
        <v>14</v>
      </c>
      <c r="W40" s="668">
        <f t="shared" si="14"/>
        <v>100</v>
      </c>
      <c r="X40" s="1265"/>
      <c r="Y40" s="3438"/>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36"/>
      <c r="Q41" s="1263" t="str">
        <f t="shared" si="11"/>
        <v>层高</v>
      </c>
      <c r="R41" s="667" t="s">
        <v>14</v>
      </c>
      <c r="S41" s="668">
        <f t="shared" si="12"/>
        <v>100</v>
      </c>
      <c r="T41" s="667" t="s">
        <v>14</v>
      </c>
      <c r="U41" s="668">
        <f t="shared" si="13"/>
        <v>100</v>
      </c>
      <c r="V41" s="667" t="s">
        <v>14</v>
      </c>
      <c r="W41" s="668">
        <f t="shared" si="14"/>
        <v>100</v>
      </c>
      <c r="X41" s="1265"/>
      <c r="Y41" s="3438"/>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36"/>
      <c r="Q42" s="531" t="str">
        <f t="shared" si="11"/>
        <v>单套建筑面积</v>
      </c>
      <c r="R42" s="669" t="s">
        <v>14</v>
      </c>
      <c r="S42" s="670">
        <f t="shared" si="12"/>
        <v>100</v>
      </c>
      <c r="T42" s="669" t="s">
        <v>14</v>
      </c>
      <c r="U42" s="670">
        <f t="shared" si="13"/>
        <v>100</v>
      </c>
      <c r="V42" s="669" t="s">
        <v>14</v>
      </c>
      <c r="W42" s="670">
        <f t="shared" si="14"/>
        <v>100</v>
      </c>
      <c r="X42" s="671"/>
      <c r="Y42" s="3438"/>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36"/>
      <c r="Q43" s="1263" t="str">
        <f t="shared" si="11"/>
        <v>内部装修</v>
      </c>
      <c r="R43" s="667" t="s">
        <v>14</v>
      </c>
      <c r="S43" s="668">
        <f t="shared" si="12"/>
        <v>100</v>
      </c>
      <c r="T43" s="667" t="s">
        <v>14</v>
      </c>
      <c r="U43" s="668">
        <f t="shared" si="13"/>
        <v>100</v>
      </c>
      <c r="V43" s="667" t="s">
        <v>14</v>
      </c>
      <c r="W43" s="668">
        <f t="shared" si="14"/>
        <v>100</v>
      </c>
      <c r="X43" s="1265"/>
      <c r="Y43" s="3438"/>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36"/>
      <c r="Q44" s="1263" t="str">
        <f t="shared" si="11"/>
        <v>内部装修维护情况</v>
      </c>
      <c r="R44" s="667" t="s">
        <v>14</v>
      </c>
      <c r="S44" s="668">
        <f t="shared" si="12"/>
        <v>100</v>
      </c>
      <c r="T44" s="667" t="s">
        <v>14</v>
      </c>
      <c r="U44" s="668">
        <f t="shared" si="13"/>
        <v>100</v>
      </c>
      <c r="V44" s="667" t="s">
        <v>14</v>
      </c>
      <c r="W44" s="668">
        <f t="shared" si="14"/>
        <v>100</v>
      </c>
      <c r="X44" s="1265"/>
      <c r="Y44" s="343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36"/>
      <c r="Q45" s="530">
        <f t="shared" si="11"/>
        <v>111</v>
      </c>
      <c r="R45" s="664" t="s">
        <v>14</v>
      </c>
      <c r="S45" s="665">
        <f t="shared" si="12"/>
        <v>100</v>
      </c>
      <c r="T45" s="664" t="s">
        <v>14</v>
      </c>
      <c r="U45" s="665">
        <f t="shared" si="13"/>
        <v>100</v>
      </c>
      <c r="V45" s="664" t="s">
        <v>14</v>
      </c>
      <c r="W45" s="665">
        <f t="shared" si="14"/>
        <v>100</v>
      </c>
      <c r="X45" s="666"/>
      <c r="Y45" s="343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36"/>
      <c r="Q46" s="1263">
        <f t="shared" si="11"/>
        <v>111</v>
      </c>
      <c r="R46" s="667" t="s">
        <v>14</v>
      </c>
      <c r="S46" s="668">
        <f t="shared" si="12"/>
        <v>100</v>
      </c>
      <c r="T46" s="667" t="s">
        <v>14</v>
      </c>
      <c r="U46" s="668">
        <f t="shared" si="13"/>
        <v>100</v>
      </c>
      <c r="V46" s="667" t="s">
        <v>14</v>
      </c>
      <c r="W46" s="668">
        <f t="shared" si="14"/>
        <v>100</v>
      </c>
      <c r="X46" s="1265"/>
      <c r="Y46" s="3438"/>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37"/>
      <c r="Q47" s="1263">
        <f t="shared" si="11"/>
        <v>111</v>
      </c>
      <c r="R47" s="667" t="s">
        <v>14</v>
      </c>
      <c r="S47" s="668">
        <f t="shared" si="12"/>
        <v>100</v>
      </c>
      <c r="T47" s="667" t="s">
        <v>14</v>
      </c>
      <c r="U47" s="668">
        <f t="shared" si="13"/>
        <v>100</v>
      </c>
      <c r="V47" s="667" t="s">
        <v>14</v>
      </c>
      <c r="W47" s="668">
        <f t="shared" si="14"/>
        <v>100</v>
      </c>
      <c r="X47" s="1265"/>
      <c r="Y47" s="3439"/>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42" t="str">
        <f>A48</f>
        <v>成交单价（元/平方米）</v>
      </c>
      <c r="Q48" s="3431"/>
      <c r="R48" s="3432">
        <f>E48</f>
        <v>0</v>
      </c>
      <c r="S48" s="3432"/>
      <c r="T48" s="3432">
        <f>G48</f>
        <v>0</v>
      </c>
      <c r="U48" s="3432"/>
      <c r="V48" s="3432">
        <f>I48</f>
        <v>0</v>
      </c>
      <c r="W48" s="3432"/>
      <c r="X48" s="385"/>
      <c r="Y48" s="673"/>
      <c r="Z48" s="385"/>
      <c r="AA48" s="385"/>
      <c r="AB48" s="385"/>
      <c r="AC48" s="555"/>
    </row>
    <row r="49" spans="1:29" ht="15.75" thickBot="1">
      <c r="A49" s="423" t="s">
        <v>1793</v>
      </c>
      <c r="B49" s="424"/>
      <c r="C49" s="1082" t="e">
        <f>R50</f>
        <v>#N/A</v>
      </c>
      <c r="D49" s="2141" t="s">
        <v>2138</v>
      </c>
      <c r="E49" s="1083" t="e">
        <f>R49</f>
        <v>#N/A</v>
      </c>
      <c r="F49" s="2142"/>
      <c r="G49" s="1082" t="e">
        <f>T49</f>
        <v>#N/A</v>
      </c>
      <c r="H49" s="2142"/>
      <c r="I49" s="1083" t="e">
        <f>V49</f>
        <v>#N/A</v>
      </c>
      <c r="J49" s="2142"/>
      <c r="K49" s="2144">
        <f>F49+H49+J49</f>
        <v>0</v>
      </c>
      <c r="L49" s="2495"/>
      <c r="M49" s="2488"/>
      <c r="N49" s="2488"/>
      <c r="O49" s="2488"/>
      <c r="P49" s="3442" t="str">
        <f>A49</f>
        <v>比较价值（元/平方米）</v>
      </c>
      <c r="Q49" s="3431"/>
      <c r="R49" s="3432" t="e">
        <f>IF(F1="售价",ROUND(PRODUCT(R48,AA7:AA47),0),ROUND(PRODUCT(R48,AA7:AA47),1))</f>
        <v>#N/A</v>
      </c>
      <c r="S49" s="3432"/>
      <c r="T49" s="3432" t="e">
        <f>IF(F1="售价",ROUND(PRODUCT(T48,AB7:AB47),0),ROUND(PRODUCT(T48,AB7:AB47),1))</f>
        <v>#N/A</v>
      </c>
      <c r="U49" s="3432"/>
      <c r="V49" s="3432" t="e">
        <f>IF(F1="售价",ROUND(PRODUCT(V48,AC7:AC47),0),ROUND(PRODUCT(V48,AC7:AC47),1))</f>
        <v>#N/A</v>
      </c>
      <c r="W49" s="3432"/>
      <c r="X49" s="385"/>
      <c r="Y49" s="385"/>
      <c r="Z49" s="385"/>
      <c r="AA49" s="385"/>
      <c r="AB49" s="385"/>
      <c r="AC49" s="555"/>
    </row>
    <row r="50" spans="1:29" ht="15.75" thickBot="1">
      <c r="A50" s="427" t="s">
        <v>1794</v>
      </c>
      <c r="B50" s="428"/>
      <c r="C50" s="351" t="e">
        <f>R50</f>
        <v>#N/A</v>
      </c>
      <c r="D50" s="351"/>
      <c r="E50" s="351"/>
      <c r="F50" s="351"/>
      <c r="G50" s="351"/>
      <c r="H50" s="351"/>
      <c r="I50" s="351"/>
      <c r="J50" s="429"/>
      <c r="K50" s="675"/>
      <c r="L50" s="2495"/>
      <c r="M50" s="2488"/>
      <c r="N50" s="2488"/>
      <c r="O50" s="2488"/>
      <c r="P50" s="3473" t="str">
        <f>A50</f>
        <v>估价对象XX用房的比较价值（楼面单价，元/平方米）</v>
      </c>
      <c r="Q50" s="3474"/>
      <c r="R50" s="3475" t="e">
        <f>IF(F1="售价",ROUND(IF(D49="简单平均",AVERAGE(R49:V49),R49*F49+T49*H49+V49*J49),0),ROUND(IF(D49="简单平均",AVERAGE(R49:V49),R49*F49+T49*H49+V49*J49),1))</f>
        <v>#N/A</v>
      </c>
      <c r="S50" s="3475"/>
      <c r="T50" s="3475"/>
      <c r="U50" s="3475"/>
      <c r="V50" s="3475"/>
      <c r="W50" s="3475"/>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#N/A</v>
      </c>
      <c r="F53" s="435" t="e">
        <f>IF(OR(E53&gt;=0.3,E53&lt;=-0.3),"超过30%","")</f>
        <v>#N/A</v>
      </c>
      <c r="G53" s="434" t="e">
        <f>IF(G48&lt;G49,G49/G48-1,G48/G49-1)</f>
        <v>#N/A</v>
      </c>
      <c r="H53" s="435" t="e">
        <f>IF(OR(G53&gt;=0.3,G53&lt;=-0.3),"超过30%","")</f>
        <v>#N/A</v>
      </c>
      <c r="I53" s="434" t="e">
        <f>IF(I48&lt;I49,I49/I48-1,I48/I49-1)</f>
        <v>#N/A</v>
      </c>
      <c r="J53" s="435" t="e">
        <f>IF(OR(I53&gt;=0.3,I53&lt;=-0.3),"超过30%","")</f>
        <v>#N/A</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#N/A</v>
      </c>
      <c r="F54" s="435" t="e">
        <f>IF(OR(E54&gt;=0.2,E54&lt;=-0.2),"超过20%","")</f>
        <v>#N/A</v>
      </c>
      <c r="G54" s="434" t="e">
        <f>IF(G49&lt;I49,I49/G49-1,G49/I49-1)</f>
        <v>#N/A</v>
      </c>
      <c r="H54" s="435" t="e">
        <f>IF(OR(G54&gt;=0.2,G54&lt;=-0.2),"超过20%","")</f>
        <v>#N/A</v>
      </c>
      <c r="I54" s="434" t="e">
        <f>IF(I49&lt;E49,E49/I49-1,I49/E49-1)</f>
        <v>#N/A</v>
      </c>
      <c r="J54" s="435" t="e">
        <f>IF(OR(I54&gt;=0.2,I54&lt;=-0.2),"超过20%","")</f>
        <v>#N/A</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1900-1</v>
      </c>
      <c r="D59" s="1104" t="e">
        <f>EDATE(C59,-1)</f>
        <v>#NUM!</v>
      </c>
      <c r="E59" s="1104" t="e">
        <f>EDATE(D59,-1)</f>
        <v>#NUM!</v>
      </c>
      <c r="F59" s="1104" t="e">
        <f t="shared" ref="F59:O59" si="16">EDATE(E59,-1)</f>
        <v>#NUM!</v>
      </c>
      <c r="G59" s="1104" t="e">
        <f t="shared" si="16"/>
        <v>#NUM!</v>
      </c>
      <c r="H59" s="1104" t="e">
        <f t="shared" si="16"/>
        <v>#NUM!</v>
      </c>
      <c r="I59" s="1104" t="e">
        <f t="shared" si="16"/>
        <v>#NUM!</v>
      </c>
      <c r="J59" s="1104" t="e">
        <f t="shared" si="16"/>
        <v>#NUM!</v>
      </c>
      <c r="K59" s="1104" t="e">
        <f t="shared" si="16"/>
        <v>#NUM!</v>
      </c>
      <c r="L59" s="1104" t="e">
        <f t="shared" si="16"/>
        <v>#NUM!</v>
      </c>
      <c r="M59" s="1104" t="e">
        <f t="shared" si="16"/>
        <v>#NUM!</v>
      </c>
      <c r="N59" s="1104" t="e">
        <f t="shared" si="16"/>
        <v>#NUM!</v>
      </c>
      <c r="O59" s="1104" t="e">
        <f t="shared" si="16"/>
        <v>#NUM!</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F7:F47 H7:H47 J7:J47">
    <cfRule type="cellIs" dxfId="131" priority="1" operator="notEqual">
      <formula>100</formula>
    </cfRule>
  </conditionalFormatting>
  <conditionalFormatting sqref="F49">
    <cfRule type="expression" dxfId="130" priority="4">
      <formula>$D$49="简单平均"</formula>
    </cfRule>
  </conditionalFormatting>
  <conditionalFormatting sqref="F53:F55 H53:H55">
    <cfRule type="containsText" dxfId="129" priority="17" stopIfTrue="1" operator="containsText" text="超过">
      <formula>NOT(ISERROR(SEARCH("超过",F53)))</formula>
    </cfRule>
  </conditionalFormatting>
  <conditionalFormatting sqref="G53">
    <cfRule type="expression" dxfId="128" priority="12" stopIfTrue="1">
      <formula>$H$53="超过30%"</formula>
    </cfRule>
  </conditionalFormatting>
  <conditionalFormatting sqref="G54">
    <cfRule type="expression" dxfId="127" priority="11" stopIfTrue="1">
      <formula>$H$54="超过20%"</formula>
    </cfRule>
  </conditionalFormatting>
  <conditionalFormatting sqref="G55">
    <cfRule type="expression" dxfId="126" priority="13" stopIfTrue="1">
      <formula>$H$55="超过30%"</formula>
    </cfRule>
  </conditionalFormatting>
  <conditionalFormatting sqref="H49">
    <cfRule type="expression" dxfId="125" priority="3">
      <formula>$D$49="简单平均"</formula>
    </cfRule>
  </conditionalFormatting>
  <conditionalFormatting sqref="I53">
    <cfRule type="expression" dxfId="124" priority="7" stopIfTrue="1">
      <formula>$J$53="超过30%"</formula>
    </cfRule>
  </conditionalFormatting>
  <conditionalFormatting sqref="I54">
    <cfRule type="expression" dxfId="123" priority="6" stopIfTrue="1">
      <formula>$J$53+$J$54="超过20%"</formula>
    </cfRule>
  </conditionalFormatting>
  <conditionalFormatting sqref="I55">
    <cfRule type="expression" dxfId="122" priority="5" stopIfTrue="1">
      <formula>$J$55="超过30%"</formula>
    </cfRule>
  </conditionalFormatting>
  <conditionalFormatting sqref="J49">
    <cfRule type="expression" dxfId="121" priority="2">
      <formula>$D$49="简单平均"</formula>
    </cfRule>
  </conditionalFormatting>
  <conditionalFormatting sqref="J53:J55">
    <cfRule type="containsText" dxfId="120"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受贵公司委托，我公司对进行了预评估。</v>
      </c>
    </row>
    <row r="5" spans="1:1" ht="18.75">
      <c r="A5" s="1383" t="s">
        <v>899</v>
      </c>
    </row>
    <row r="6" spans="1:1" ht="18.75">
      <c r="A6" s="1384" t="s">
        <v>900</v>
      </c>
    </row>
    <row r="7" spans="1:1" ht="18">
      <c r="A7" s="138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385" t="s">
        <v>901</v>
      </c>
    </row>
    <row r="9" spans="1:1" ht="18.75">
      <c r="A9" s="1384" t="s">
        <v>902</v>
      </c>
    </row>
    <row r="10" spans="1:1" ht="18">
      <c r="A10" s="138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t="e">
        <f>IF(C2="——",C43,ROUND(B2*10000/D3,0))</f>
        <v>#DIV/0!</v>
      </c>
      <c r="C3" s="344" t="s">
        <v>1768</v>
      </c>
      <c r="D3" s="343">
        <f>IF(D1="",'数据-汇总表'!E3,SUMIF('数据-汇总表'!$C19:$C33,D1,'数据-汇总表'!$E19:$E33))</f>
        <v>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46" t="s">
        <v>1770</v>
      </c>
      <c r="D4" s="3447"/>
      <c r="E4" s="3448" t="s">
        <v>1771</v>
      </c>
      <c r="F4" s="3449"/>
      <c r="G4" s="3446" t="s">
        <v>1772</v>
      </c>
      <c r="H4" s="3447"/>
      <c r="I4" s="3446" t="s">
        <v>1773</v>
      </c>
      <c r="J4" s="3447"/>
      <c r="K4" s="537" t="s">
        <v>1774</v>
      </c>
      <c r="L4" s="860"/>
      <c r="M4" s="861"/>
      <c r="N4" s="861"/>
      <c r="O4" s="861"/>
      <c r="P4" s="3450" t="s">
        <v>1775</v>
      </c>
      <c r="Q4" s="3451"/>
      <c r="R4" s="3456" t="s">
        <v>1771</v>
      </c>
      <c r="S4" s="3457"/>
      <c r="T4" s="3456" t="s">
        <v>1772</v>
      </c>
      <c r="U4" s="3457"/>
      <c r="V4" s="3432" t="s">
        <v>1773</v>
      </c>
      <c r="W4" s="3432"/>
      <c r="X4" s="1265"/>
      <c r="Y4" s="3456" t="s">
        <v>1775</v>
      </c>
      <c r="Z4" s="3457"/>
      <c r="AA4" s="3443" t="s">
        <v>1771</v>
      </c>
      <c r="AB4" s="3444" t="s">
        <v>1772</v>
      </c>
      <c r="AC4" s="3443" t="s">
        <v>1773</v>
      </c>
    </row>
    <row r="5" spans="1:29" ht="15">
      <c r="A5" s="348"/>
      <c r="B5" s="349"/>
      <c r="C5" s="3464" t="s">
        <v>1673</v>
      </c>
      <c r="D5" s="3465"/>
      <c r="E5" s="3471" t="s">
        <v>1674</v>
      </c>
      <c r="F5" s="3472"/>
      <c r="G5" s="3464" t="s">
        <v>1675</v>
      </c>
      <c r="H5" s="3465"/>
      <c r="I5" s="3464" t="s">
        <v>1676</v>
      </c>
      <c r="J5" s="3465"/>
      <c r="K5" s="537"/>
      <c r="L5" s="860"/>
      <c r="M5" s="861"/>
      <c r="N5" s="861"/>
      <c r="O5" s="861"/>
      <c r="P5" s="3452"/>
      <c r="Q5" s="3453"/>
      <c r="R5" s="3458"/>
      <c r="S5" s="3459"/>
      <c r="T5" s="3458"/>
      <c r="U5" s="3459"/>
      <c r="V5" s="3432"/>
      <c r="W5" s="3432"/>
      <c r="X5" s="1265"/>
      <c r="Y5" s="3458"/>
      <c r="Z5" s="3459"/>
      <c r="AA5" s="3444"/>
      <c r="AB5" s="3444"/>
      <c r="AC5" s="3444"/>
    </row>
    <row r="6" spans="1:29" ht="15.75" thickBot="1">
      <c r="A6" s="350"/>
      <c r="B6" s="351"/>
      <c r="C6" s="3462" t="s">
        <v>1677</v>
      </c>
      <c r="D6" s="3463"/>
      <c r="E6" s="3469" t="s">
        <v>1677</v>
      </c>
      <c r="F6" s="3470"/>
      <c r="G6" s="3462" t="s">
        <v>1677</v>
      </c>
      <c r="H6" s="3463"/>
      <c r="I6" s="3462" t="s">
        <v>1677</v>
      </c>
      <c r="J6" s="3463"/>
      <c r="K6" s="537" t="s">
        <v>1678</v>
      </c>
      <c r="L6" s="860"/>
      <c r="M6" s="861"/>
      <c r="N6" s="861"/>
      <c r="O6" s="861"/>
      <c r="P6" s="3454"/>
      <c r="Q6" s="3455"/>
      <c r="R6" s="3458"/>
      <c r="S6" s="3459"/>
      <c r="T6" s="3460"/>
      <c r="U6" s="3461"/>
      <c r="V6" s="3432"/>
      <c r="W6" s="3432"/>
      <c r="X6" s="1265"/>
      <c r="Y6" s="3460"/>
      <c r="Z6" s="3461"/>
      <c r="AA6" s="3445"/>
      <c r="AB6" s="3445"/>
      <c r="AC6" s="3445"/>
    </row>
    <row r="7" spans="1:29" s="102" customFormat="1" ht="15.75" thickBot="1">
      <c r="A7" s="352" t="s">
        <v>1679</v>
      </c>
      <c r="B7" s="353"/>
      <c r="C7" s="354">
        <f>'数据-取费表'!B2</f>
        <v>0</v>
      </c>
      <c r="D7" s="355">
        <v>100</v>
      </c>
      <c r="E7" s="356"/>
      <c r="F7" s="357">
        <f>SUMIF(52:52,YEAR(E7)&amp;"-"&amp;MONTH(E7),53:53)</f>
        <v>100</v>
      </c>
      <c r="G7" s="356"/>
      <c r="H7" s="355">
        <f>SUMIF(52:52,YEAR(G7)&amp;"-"&amp;MONTH(G7),53:53)</f>
        <v>100</v>
      </c>
      <c r="I7" s="356"/>
      <c r="J7" s="355">
        <f>SUMIF(52:52,YEAR(I7)&amp;"-"&amp;MONTH(I7),53:53)</f>
        <v>100</v>
      </c>
      <c r="K7" s="38"/>
      <c r="L7" s="862"/>
      <c r="M7" s="863"/>
      <c r="N7" s="863"/>
      <c r="O7" s="863"/>
      <c r="P7" s="3466" t="s">
        <v>1680</v>
      </c>
      <c r="Q7" s="3468"/>
      <c r="R7" s="664" t="s">
        <v>14</v>
      </c>
      <c r="S7" s="665">
        <f t="shared" ref="S7:S15" si="0">F7</f>
        <v>100</v>
      </c>
      <c r="T7" s="664" t="s">
        <v>14</v>
      </c>
      <c r="U7" s="665">
        <f t="shared" ref="U7:U15" si="1">H7</f>
        <v>100</v>
      </c>
      <c r="V7" s="664" t="s">
        <v>14</v>
      </c>
      <c r="W7" s="665">
        <f t="shared" ref="W7:W15" si="2">J7</f>
        <v>100</v>
      </c>
      <c r="X7" s="666"/>
      <c r="Y7" s="3466" t="s">
        <v>1680</v>
      </c>
      <c r="Z7" s="3467"/>
      <c r="AA7" s="50">
        <f>D7/F7</f>
        <v>1</v>
      </c>
      <c r="AB7" s="50">
        <f>D7/H7</f>
        <v>1</v>
      </c>
      <c r="AC7" s="50">
        <f>D7/J7</f>
        <v>1</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66" t="s">
        <v>1683</v>
      </c>
      <c r="Q8" s="3467"/>
      <c r="R8" s="664" t="s">
        <v>14</v>
      </c>
      <c r="S8" s="665">
        <f t="shared" si="0"/>
        <v>100</v>
      </c>
      <c r="T8" s="664" t="s">
        <v>14</v>
      </c>
      <c r="U8" s="665">
        <f t="shared" si="1"/>
        <v>100</v>
      </c>
      <c r="V8" s="664" t="s">
        <v>14</v>
      </c>
      <c r="W8" s="665">
        <f t="shared" si="2"/>
        <v>100</v>
      </c>
      <c r="X8" s="666"/>
      <c r="Y8" s="3466" t="s">
        <v>1683</v>
      </c>
      <c r="Z8" s="346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31" t="s">
        <v>1686</v>
      </c>
      <c r="Q9" s="530" t="str">
        <f t="shared" ref="Q9:Q15" si="6">B9</f>
        <v>用途</v>
      </c>
      <c r="R9" s="664" t="s">
        <v>14</v>
      </c>
      <c r="S9" s="665">
        <f t="shared" si="0"/>
        <v>100</v>
      </c>
      <c r="T9" s="664" t="s">
        <v>14</v>
      </c>
      <c r="U9" s="665">
        <f t="shared" si="1"/>
        <v>100</v>
      </c>
      <c r="V9" s="664" t="s">
        <v>14</v>
      </c>
      <c r="W9" s="665">
        <f t="shared" si="2"/>
        <v>100</v>
      </c>
      <c r="X9" s="666"/>
      <c r="Y9" s="3306"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31"/>
      <c r="Q10" s="530" t="str">
        <f t="shared" si="6"/>
        <v>土地使用年限（年）</v>
      </c>
      <c r="R10" s="664" t="s">
        <v>14</v>
      </c>
      <c r="S10" s="665">
        <f t="shared" si="0"/>
        <v>100</v>
      </c>
      <c r="T10" s="664" t="s">
        <v>14</v>
      </c>
      <c r="U10" s="665">
        <f t="shared" si="1"/>
        <v>100</v>
      </c>
      <c r="V10" s="664" t="s">
        <v>14</v>
      </c>
      <c r="W10" s="665">
        <f t="shared" si="2"/>
        <v>100</v>
      </c>
      <c r="X10" s="666"/>
      <c r="Y10" s="330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31"/>
      <c r="Q11" s="530" t="str">
        <f t="shared" si="6"/>
        <v>容积率</v>
      </c>
      <c r="R11" s="664" t="s">
        <v>14</v>
      </c>
      <c r="S11" s="665">
        <f t="shared" si="0"/>
        <v>100</v>
      </c>
      <c r="T11" s="664" t="s">
        <v>14</v>
      </c>
      <c r="U11" s="665">
        <f t="shared" si="1"/>
        <v>100</v>
      </c>
      <c r="V11" s="664" t="s">
        <v>14</v>
      </c>
      <c r="W11" s="665">
        <f t="shared" si="2"/>
        <v>100</v>
      </c>
      <c r="X11" s="666"/>
      <c r="Y11" s="330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31"/>
      <c r="Q12" s="530">
        <f t="shared" si="6"/>
        <v>111</v>
      </c>
      <c r="R12" s="664" t="s">
        <v>14</v>
      </c>
      <c r="S12" s="665">
        <f t="shared" si="0"/>
        <v>100</v>
      </c>
      <c r="T12" s="664" t="s">
        <v>14</v>
      </c>
      <c r="U12" s="665">
        <f t="shared" si="1"/>
        <v>100</v>
      </c>
      <c r="V12" s="664" t="s">
        <v>14</v>
      </c>
      <c r="W12" s="665">
        <f t="shared" si="2"/>
        <v>100</v>
      </c>
      <c r="X12" s="666"/>
      <c r="Y12" s="330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31"/>
      <c r="Q13" s="530">
        <f t="shared" si="6"/>
        <v>111</v>
      </c>
      <c r="R13" s="664" t="s">
        <v>14</v>
      </c>
      <c r="S13" s="665">
        <f t="shared" si="0"/>
        <v>100</v>
      </c>
      <c r="T13" s="664" t="s">
        <v>14</v>
      </c>
      <c r="U13" s="665">
        <f t="shared" si="1"/>
        <v>100</v>
      </c>
      <c r="V13" s="664" t="s">
        <v>14</v>
      </c>
      <c r="W13" s="665">
        <f t="shared" si="2"/>
        <v>100</v>
      </c>
      <c r="X13" s="666"/>
      <c r="Y13" s="3306"/>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31"/>
      <c r="Q14" s="530">
        <f t="shared" si="6"/>
        <v>111</v>
      </c>
      <c r="R14" s="664" t="s">
        <v>14</v>
      </c>
      <c r="S14" s="665">
        <f t="shared" si="0"/>
        <v>100</v>
      </c>
      <c r="T14" s="664" t="s">
        <v>14</v>
      </c>
      <c r="U14" s="665">
        <f t="shared" si="1"/>
        <v>100</v>
      </c>
      <c r="V14" s="664" t="s">
        <v>14</v>
      </c>
      <c r="W14" s="665">
        <f t="shared" si="2"/>
        <v>100</v>
      </c>
      <c r="X14" s="666"/>
      <c r="Y14" s="3306"/>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33" t="s">
        <v>1691</v>
      </c>
      <c r="Q15" s="1263" t="str">
        <f t="shared" si="6"/>
        <v>产业集聚程度</v>
      </c>
      <c r="R15" s="667" t="s">
        <v>14</v>
      </c>
      <c r="S15" s="668">
        <f t="shared" si="0"/>
        <v>100</v>
      </c>
      <c r="T15" s="667" t="s">
        <v>14</v>
      </c>
      <c r="U15" s="668">
        <f t="shared" si="1"/>
        <v>100</v>
      </c>
      <c r="V15" s="667" t="s">
        <v>14</v>
      </c>
      <c r="W15" s="668">
        <f t="shared" si="2"/>
        <v>100</v>
      </c>
      <c r="X15" s="1265"/>
      <c r="Y15" s="343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34"/>
      <c r="Q16" s="1263"/>
      <c r="R16" s="667"/>
      <c r="S16" s="668"/>
      <c r="T16" s="667"/>
      <c r="U16" s="668"/>
      <c r="V16" s="667"/>
      <c r="W16" s="668"/>
      <c r="X16" s="1265"/>
      <c r="Y16" s="3434"/>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34"/>
      <c r="Q17" s="1263" t="str">
        <f>B17</f>
        <v>交通便捷度</v>
      </c>
      <c r="R17" s="667" t="s">
        <v>14</v>
      </c>
      <c r="S17" s="668">
        <f>F17</f>
        <v>100</v>
      </c>
      <c r="T17" s="667" t="s">
        <v>14</v>
      </c>
      <c r="U17" s="668">
        <f>H17</f>
        <v>100</v>
      </c>
      <c r="V17" s="667" t="s">
        <v>14</v>
      </c>
      <c r="W17" s="668">
        <f>J17</f>
        <v>100</v>
      </c>
      <c r="X17" s="1265"/>
      <c r="Y17" s="343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34"/>
      <c r="Q18" s="1263"/>
      <c r="R18" s="667"/>
      <c r="S18" s="668"/>
      <c r="T18" s="667"/>
      <c r="U18" s="668"/>
      <c r="V18" s="667"/>
      <c r="W18" s="668"/>
      <c r="X18" s="1265"/>
      <c r="Y18" s="3434"/>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34"/>
      <c r="Q19" s="1263" t="str">
        <f>B19</f>
        <v>公共配套设施</v>
      </c>
      <c r="R19" s="667" t="s">
        <v>14</v>
      </c>
      <c r="S19" s="668">
        <f>F19</f>
        <v>100</v>
      </c>
      <c r="T19" s="667" t="s">
        <v>14</v>
      </c>
      <c r="U19" s="668">
        <f>H19</f>
        <v>100</v>
      </c>
      <c r="V19" s="667" t="s">
        <v>14</v>
      </c>
      <c r="W19" s="668">
        <f>J19</f>
        <v>100</v>
      </c>
      <c r="X19" s="1265"/>
      <c r="Y19" s="343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34"/>
      <c r="Q20" s="1263"/>
      <c r="R20" s="667"/>
      <c r="S20" s="668"/>
      <c r="T20" s="667"/>
      <c r="U20" s="668"/>
      <c r="V20" s="667"/>
      <c r="W20" s="668"/>
      <c r="X20" s="1265"/>
      <c r="Y20" s="3434"/>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34"/>
      <c r="Q21" s="1263" t="str">
        <f>B21</f>
        <v>基础设施水平</v>
      </c>
      <c r="R21" s="667" t="s">
        <v>14</v>
      </c>
      <c r="S21" s="668">
        <f>F21</f>
        <v>100</v>
      </c>
      <c r="T21" s="667" t="s">
        <v>14</v>
      </c>
      <c r="U21" s="668">
        <f>H21</f>
        <v>100</v>
      </c>
      <c r="V21" s="667" t="s">
        <v>14</v>
      </c>
      <c r="W21" s="668">
        <f>J21</f>
        <v>100</v>
      </c>
      <c r="X21" s="1265"/>
      <c r="Y21" s="343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34"/>
      <c r="Q22" s="1263"/>
      <c r="R22" s="667"/>
      <c r="S22" s="668"/>
      <c r="T22" s="667"/>
      <c r="U22" s="668"/>
      <c r="V22" s="667"/>
      <c r="W22" s="668"/>
      <c r="X22" s="1265"/>
      <c r="Y22" s="3434"/>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34"/>
      <c r="Q23" s="1263" t="str">
        <f>B23</f>
        <v>环境质量</v>
      </c>
      <c r="R23" s="667" t="s">
        <v>14</v>
      </c>
      <c r="S23" s="668">
        <f>F23</f>
        <v>100</v>
      </c>
      <c r="T23" s="667" t="s">
        <v>14</v>
      </c>
      <c r="U23" s="668">
        <f>H23</f>
        <v>100</v>
      </c>
      <c r="V23" s="667" t="s">
        <v>14</v>
      </c>
      <c r="W23" s="668">
        <f>J23</f>
        <v>100</v>
      </c>
      <c r="X23" s="1265"/>
      <c r="Y23" s="343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34"/>
      <c r="Q24" s="1263"/>
      <c r="R24" s="667"/>
      <c r="S24" s="668"/>
      <c r="T24" s="667"/>
      <c r="U24" s="668"/>
      <c r="V24" s="667"/>
      <c r="W24" s="668"/>
      <c r="X24" s="1265"/>
      <c r="Y24" s="343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34"/>
      <c r="Q25" s="1263">
        <f>B25</f>
        <v>111</v>
      </c>
      <c r="R25" s="667" t="s">
        <v>14</v>
      </c>
      <c r="S25" s="668">
        <f>F25</f>
        <v>100</v>
      </c>
      <c r="T25" s="667" t="s">
        <v>14</v>
      </c>
      <c r="U25" s="668">
        <f>H25</f>
        <v>100</v>
      </c>
      <c r="V25" s="667" t="s">
        <v>14</v>
      </c>
      <c r="W25" s="668">
        <f>J25</f>
        <v>100</v>
      </c>
      <c r="X25" s="1265"/>
      <c r="Y25" s="343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34"/>
      <c r="Q26" s="1263">
        <f t="shared" ref="Q26:Q40" si="11">B26</f>
        <v>111</v>
      </c>
      <c r="R26" s="667" t="s">
        <v>14</v>
      </c>
      <c r="S26" s="668">
        <f>F26</f>
        <v>100</v>
      </c>
      <c r="T26" s="667" t="s">
        <v>14</v>
      </c>
      <c r="U26" s="668">
        <f>H26</f>
        <v>100</v>
      </c>
      <c r="V26" s="667" t="s">
        <v>14</v>
      </c>
      <c r="W26" s="668">
        <f>J26</f>
        <v>100</v>
      </c>
      <c r="X26" s="1265"/>
      <c r="Y26" s="343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34"/>
      <c r="Q27" s="530">
        <f t="shared" si="11"/>
        <v>111</v>
      </c>
      <c r="R27" s="664" t="s">
        <v>14</v>
      </c>
      <c r="S27" s="665">
        <f>F27</f>
        <v>100</v>
      </c>
      <c r="T27" s="664" t="s">
        <v>14</v>
      </c>
      <c r="U27" s="665">
        <f>H27</f>
        <v>100</v>
      </c>
      <c r="V27" s="664" t="s">
        <v>14</v>
      </c>
      <c r="W27" s="665">
        <f>J27</f>
        <v>100</v>
      </c>
      <c r="X27" s="666"/>
      <c r="Y27" s="3434"/>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34"/>
      <c r="Q28" s="1263">
        <f t="shared" si="11"/>
        <v>111</v>
      </c>
      <c r="R28" s="667" t="s">
        <v>14</v>
      </c>
      <c r="S28" s="668">
        <f t="shared" ref="S28:S40" si="12">F28</f>
        <v>100</v>
      </c>
      <c r="T28" s="667" t="s">
        <v>14</v>
      </c>
      <c r="U28" s="668">
        <f t="shared" ref="U28:U40" si="13">H28</f>
        <v>100</v>
      </c>
      <c r="V28" s="667" t="s">
        <v>14</v>
      </c>
      <c r="W28" s="668">
        <f t="shared" ref="W28:W40" si="14">J28</f>
        <v>100</v>
      </c>
      <c r="X28" s="1265"/>
      <c r="Y28" s="3434"/>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88" t="s">
        <v>1696</v>
      </c>
      <c r="Q29" s="1263" t="str">
        <f t="shared" si="11"/>
        <v>建筑类型</v>
      </c>
      <c r="R29" s="667" t="s">
        <v>14</v>
      </c>
      <c r="S29" s="668">
        <f t="shared" si="12"/>
        <v>100</v>
      </c>
      <c r="T29" s="667" t="s">
        <v>14</v>
      </c>
      <c r="U29" s="668">
        <f t="shared" si="13"/>
        <v>100</v>
      </c>
      <c r="V29" s="667" t="s">
        <v>14</v>
      </c>
      <c r="W29" s="668">
        <f t="shared" si="14"/>
        <v>100</v>
      </c>
      <c r="X29" s="1265"/>
      <c r="Y29" s="343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8"/>
      <c r="Q30" s="531" t="str">
        <f t="shared" si="11"/>
        <v>项目建筑规模</v>
      </c>
      <c r="R30" s="669" t="s">
        <v>14</v>
      </c>
      <c r="S30" s="670" t="e">
        <f t="shared" si="12"/>
        <v>#N/A</v>
      </c>
      <c r="T30" s="669" t="s">
        <v>14</v>
      </c>
      <c r="U30" s="670" t="e">
        <f t="shared" si="13"/>
        <v>#N/A</v>
      </c>
      <c r="V30" s="669" t="s">
        <v>14</v>
      </c>
      <c r="W30" s="670" t="e">
        <f t="shared" si="14"/>
        <v>#N/A</v>
      </c>
      <c r="X30" s="671"/>
      <c r="Y30" s="3438"/>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8"/>
      <c r="Q31" s="1263" t="str">
        <f t="shared" si="11"/>
        <v>建筑结构</v>
      </c>
      <c r="R31" s="667" t="s">
        <v>14</v>
      </c>
      <c r="S31" s="668">
        <f t="shared" si="12"/>
        <v>100</v>
      </c>
      <c r="T31" s="667" t="s">
        <v>14</v>
      </c>
      <c r="U31" s="668">
        <f t="shared" si="13"/>
        <v>100</v>
      </c>
      <c r="V31" s="667" t="s">
        <v>14</v>
      </c>
      <c r="W31" s="668">
        <f t="shared" si="14"/>
        <v>100</v>
      </c>
      <c r="X31" s="1265"/>
      <c r="Y31" s="343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8"/>
      <c r="Q32" s="1263" t="str">
        <f t="shared" si="11"/>
        <v>公共部分装修</v>
      </c>
      <c r="R32" s="667" t="s">
        <v>14</v>
      </c>
      <c r="S32" s="668">
        <f t="shared" si="12"/>
        <v>100</v>
      </c>
      <c r="T32" s="667" t="s">
        <v>14</v>
      </c>
      <c r="U32" s="668">
        <f t="shared" si="13"/>
        <v>100</v>
      </c>
      <c r="V32" s="667" t="s">
        <v>14</v>
      </c>
      <c r="W32" s="668">
        <f t="shared" si="14"/>
        <v>100</v>
      </c>
      <c r="X32" s="1265"/>
      <c r="Y32" s="343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8"/>
      <c r="Q33" s="1263" t="str">
        <f t="shared" si="11"/>
        <v>成新度</v>
      </c>
      <c r="R33" s="667" t="s">
        <v>14</v>
      </c>
      <c r="S33" s="668" t="e">
        <f t="shared" si="12"/>
        <v>#N/A</v>
      </c>
      <c r="T33" s="667" t="s">
        <v>14</v>
      </c>
      <c r="U33" s="668" t="e">
        <f t="shared" si="13"/>
        <v>#N/A</v>
      </c>
      <c r="V33" s="667" t="s">
        <v>14</v>
      </c>
      <c r="W33" s="668" t="e">
        <f t="shared" si="14"/>
        <v>#N/A</v>
      </c>
      <c r="X33" s="1265"/>
      <c r="Y33" s="343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8"/>
      <c r="Q34" s="530" t="str">
        <f t="shared" si="11"/>
        <v>物业管理</v>
      </c>
      <c r="R34" s="664" t="s">
        <v>14</v>
      </c>
      <c r="S34" s="665">
        <f t="shared" si="12"/>
        <v>100</v>
      </c>
      <c r="T34" s="664" t="s">
        <v>14</v>
      </c>
      <c r="U34" s="665">
        <f t="shared" si="13"/>
        <v>100</v>
      </c>
      <c r="V34" s="664" t="s">
        <v>14</v>
      </c>
      <c r="W34" s="665">
        <f t="shared" si="14"/>
        <v>100</v>
      </c>
      <c r="X34" s="666"/>
      <c r="Y34" s="343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8" t="s">
        <v>1696</v>
      </c>
      <c r="Q35" s="1263" t="str">
        <f t="shared" si="11"/>
        <v>市政基础设施</v>
      </c>
      <c r="R35" s="667" t="s">
        <v>14</v>
      </c>
      <c r="S35" s="668">
        <f t="shared" si="12"/>
        <v>100</v>
      </c>
      <c r="T35" s="667" t="s">
        <v>14</v>
      </c>
      <c r="U35" s="668">
        <f t="shared" si="13"/>
        <v>100</v>
      </c>
      <c r="V35" s="667" t="s">
        <v>14</v>
      </c>
      <c r="W35" s="668">
        <f t="shared" si="14"/>
        <v>100</v>
      </c>
      <c r="X35" s="1265"/>
      <c r="Y35" s="343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8"/>
      <c r="Q36" s="1263" t="str">
        <f t="shared" si="11"/>
        <v>内部装修</v>
      </c>
      <c r="R36" s="667" t="s">
        <v>14</v>
      </c>
      <c r="S36" s="668">
        <f t="shared" si="12"/>
        <v>100</v>
      </c>
      <c r="T36" s="667" t="s">
        <v>14</v>
      </c>
      <c r="U36" s="668">
        <f t="shared" si="13"/>
        <v>100</v>
      </c>
      <c r="V36" s="667" t="s">
        <v>14</v>
      </c>
      <c r="W36" s="668">
        <f t="shared" si="14"/>
        <v>100</v>
      </c>
      <c r="X36" s="1265"/>
      <c r="Y36" s="343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8"/>
      <c r="Q37" s="1263" t="str">
        <f t="shared" si="11"/>
        <v>内部装修状况</v>
      </c>
      <c r="R37" s="667" t="s">
        <v>14</v>
      </c>
      <c r="S37" s="668">
        <f t="shared" si="12"/>
        <v>100</v>
      </c>
      <c r="T37" s="667" t="s">
        <v>14</v>
      </c>
      <c r="U37" s="668">
        <f t="shared" si="13"/>
        <v>100</v>
      </c>
      <c r="V37" s="667" t="s">
        <v>14</v>
      </c>
      <c r="W37" s="668">
        <f t="shared" si="14"/>
        <v>100</v>
      </c>
      <c r="X37" s="1265"/>
      <c r="Y37" s="343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8"/>
      <c r="Q38" s="531">
        <f t="shared" si="11"/>
        <v>111</v>
      </c>
      <c r="R38" s="669" t="s">
        <v>14</v>
      </c>
      <c r="S38" s="670">
        <f t="shared" si="12"/>
        <v>100</v>
      </c>
      <c r="T38" s="669" t="s">
        <v>14</v>
      </c>
      <c r="U38" s="670">
        <f t="shared" si="13"/>
        <v>100</v>
      </c>
      <c r="V38" s="669" t="s">
        <v>14</v>
      </c>
      <c r="W38" s="670">
        <f t="shared" si="14"/>
        <v>100</v>
      </c>
      <c r="X38" s="671"/>
      <c r="Y38" s="343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8"/>
      <c r="Q39" s="1263">
        <f t="shared" si="11"/>
        <v>111</v>
      </c>
      <c r="R39" s="667" t="s">
        <v>14</v>
      </c>
      <c r="S39" s="668">
        <f t="shared" si="12"/>
        <v>100</v>
      </c>
      <c r="T39" s="667" t="s">
        <v>14</v>
      </c>
      <c r="U39" s="668">
        <f t="shared" si="13"/>
        <v>100</v>
      </c>
      <c r="V39" s="667" t="s">
        <v>14</v>
      </c>
      <c r="W39" s="668">
        <f t="shared" si="14"/>
        <v>100</v>
      </c>
      <c r="X39" s="1265"/>
      <c r="Y39" s="3438"/>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9"/>
      <c r="Q40" s="1263">
        <f t="shared" si="11"/>
        <v>111</v>
      </c>
      <c r="R40" s="667" t="s">
        <v>14</v>
      </c>
      <c r="S40" s="668">
        <f t="shared" si="12"/>
        <v>100</v>
      </c>
      <c r="T40" s="667" t="s">
        <v>14</v>
      </c>
      <c r="U40" s="668">
        <f t="shared" si="13"/>
        <v>100</v>
      </c>
      <c r="V40" s="667" t="s">
        <v>14</v>
      </c>
      <c r="W40" s="668">
        <f t="shared" si="14"/>
        <v>100</v>
      </c>
      <c r="X40" s="1265"/>
      <c r="Y40" s="3439"/>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31" t="str">
        <f>A41</f>
        <v>成交单价（元/平方米）</v>
      </c>
      <c r="Q41" s="3431"/>
      <c r="R41" s="3432">
        <f>E41</f>
        <v>0</v>
      </c>
      <c r="S41" s="3432"/>
      <c r="T41" s="3432">
        <f>G41</f>
        <v>0</v>
      </c>
      <c r="U41" s="3432"/>
      <c r="V41" s="3432">
        <f>I41</f>
        <v>0</v>
      </c>
      <c r="W41" s="3432"/>
      <c r="X41" s="385"/>
      <c r="Y41" s="673"/>
      <c r="Z41" s="385"/>
      <c r="AA41" s="385"/>
      <c r="AB41" s="385"/>
      <c r="AC41" s="385"/>
    </row>
    <row r="42" spans="1:29" ht="15.75" thickBot="1">
      <c r="A42" s="423" t="s">
        <v>1793</v>
      </c>
      <c r="B42" s="424"/>
      <c r="C42" s="1082" t="e">
        <f>R43</f>
        <v>#N/A</v>
      </c>
      <c r="D42" s="2141" t="s">
        <v>2138</v>
      </c>
      <c r="E42" s="1083" t="e">
        <f>R42</f>
        <v>#N/A</v>
      </c>
      <c r="F42" s="2142"/>
      <c r="G42" s="1082" t="e">
        <f>T42</f>
        <v>#N/A</v>
      </c>
      <c r="H42" s="2142"/>
      <c r="I42" s="1083" t="e">
        <f>V42</f>
        <v>#N/A</v>
      </c>
      <c r="J42" s="2142"/>
      <c r="K42" s="2144">
        <f>F42+H42+J42</f>
        <v>0</v>
      </c>
      <c r="L42" s="873"/>
      <c r="M42" s="861"/>
      <c r="N42" s="861"/>
      <c r="O42" s="861"/>
      <c r="P42" s="3431" t="str">
        <f>A42</f>
        <v>比较价值（元/平方米）</v>
      </c>
      <c r="Q42" s="3431"/>
      <c r="R42" s="3432" t="e">
        <f>IF(F1="售价",ROUND(PRODUCT(R41,AA7:AA40),0),ROUND(PRODUCT(R41,AA7:AA40),1))</f>
        <v>#N/A</v>
      </c>
      <c r="S42" s="3432"/>
      <c r="T42" s="3432" t="e">
        <f>IF(F1="售价",ROUND(PRODUCT(T41,AB7:AB40),0),ROUND(PRODUCT(T41,AB7:AB40),1))</f>
        <v>#N/A</v>
      </c>
      <c r="U42" s="3432"/>
      <c r="V42" s="3432" t="e">
        <f>IF(F1="售价",ROUND(PRODUCT(V41,AC7:AC40),0),ROUND(PRODUCT(V41,AC7:AC40),1))</f>
        <v>#N/A</v>
      </c>
      <c r="W42" s="3432"/>
      <c r="X42" s="385"/>
      <c r="Y42" s="385"/>
      <c r="Z42" s="385"/>
      <c r="AA42" s="385"/>
      <c r="AB42" s="385"/>
      <c r="AC42" s="385"/>
    </row>
    <row r="43" spans="1:29" ht="15.75" thickBot="1">
      <c r="A43" s="427" t="s">
        <v>1794</v>
      </c>
      <c r="B43" s="428"/>
      <c r="C43" s="351" t="e">
        <f>R43</f>
        <v>#N/A</v>
      </c>
      <c r="D43" s="351"/>
      <c r="E43" s="351"/>
      <c r="F43" s="351"/>
      <c r="G43" s="351"/>
      <c r="H43" s="351"/>
      <c r="I43" s="351"/>
      <c r="J43" s="351"/>
      <c r="K43" s="675"/>
      <c r="L43" s="873"/>
      <c r="M43" s="861"/>
      <c r="N43" s="861"/>
      <c r="O43" s="861"/>
      <c r="P43" s="3428" t="str">
        <f>A43</f>
        <v>估价对象XX用房的比较价值（楼面单价，元/平方米）</v>
      </c>
      <c r="Q43" s="3429"/>
      <c r="R43" s="3430" t="e">
        <f>IF(F1="售价",ROUND(IF(D42="简单平均",AVERAGE(R42:V42),R42*F42+T42*H42+V42*J42),0),ROUND(IF(D42="简单平均",AVERAGE(R42:V42),R42*F42+T42*H42+V42*J42),1))</f>
        <v>#N/A</v>
      </c>
      <c r="S43" s="3430"/>
      <c r="T43" s="3430"/>
      <c r="U43" s="3430"/>
      <c r="V43" s="3430"/>
      <c r="W43" s="3430"/>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#N/A</v>
      </c>
      <c r="F46" s="435" t="e">
        <f>IF(OR(E46&gt;=0.3,E46&lt;=-0.3),"超过30%","")</f>
        <v>#N/A</v>
      </c>
      <c r="G46" s="434" t="e">
        <f>IF(G41&lt;G42,G42/G41-1,G41/G42-1)</f>
        <v>#N/A</v>
      </c>
      <c r="H46" s="435" t="e">
        <f>IF(OR(G46&gt;=0.3,G46&lt;=-0.3),"超过30%","")</f>
        <v>#N/A</v>
      </c>
      <c r="I46" s="434" t="e">
        <f>IF(I41&lt;I42,I42/I41-1,I41/I42-1)</f>
        <v>#N/A</v>
      </c>
      <c r="J46" s="435" t="e">
        <f>IF(OR(I46&gt;=0.3,I46&lt;=-0.3),"超过30%","")</f>
        <v>#N/A</v>
      </c>
      <c r="K46" s="2500"/>
      <c r="L46" s="836"/>
      <c r="M46" s="861"/>
      <c r="N46" s="861"/>
      <c r="O46" s="861"/>
    </row>
    <row r="47" spans="1:29" ht="13.5" customHeight="1">
      <c r="A47" s="2488"/>
      <c r="B47" s="2488"/>
      <c r="C47" s="432" t="s">
        <v>1796</v>
      </c>
      <c r="D47" s="436"/>
      <c r="E47" s="434" t="e">
        <f>IF(E42&lt;G42,G42/E42-1,E42/G42-1)</f>
        <v>#N/A</v>
      </c>
      <c r="F47" s="435" t="e">
        <f>IF(OR(E47&gt;=0.2,E47&lt;=-0.2),"超过20%","")</f>
        <v>#N/A</v>
      </c>
      <c r="G47" s="434" t="e">
        <f>IF(G42&lt;I42,I42/G42-1,G42/I42-1)</f>
        <v>#N/A</v>
      </c>
      <c r="H47" s="435" t="e">
        <f>IF(OR(G47&gt;=0.2,G47&lt;=-0.2),"超过20%","")</f>
        <v>#N/A</v>
      </c>
      <c r="I47" s="434" t="e">
        <f>IF(I42&lt;E42,E42/I42-1,I42/E42-1)</f>
        <v>#N/A</v>
      </c>
      <c r="J47" s="435" t="e">
        <f>IF(OR(I47&gt;=0.2,I47&lt;=-0.2),"超过20%","")</f>
        <v>#N/A</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1900-1</v>
      </c>
      <c r="D52" s="1104" t="e">
        <f>EDATE(C52,-1)</f>
        <v>#NUM!</v>
      </c>
      <c r="E52" s="1104" t="e">
        <f t="shared" ref="E52:O52" si="16">EDATE(D52,-1)</f>
        <v>#NUM!</v>
      </c>
      <c r="F52" s="1104" t="e">
        <f t="shared" si="16"/>
        <v>#NUM!</v>
      </c>
      <c r="G52" s="1104" t="e">
        <f t="shared" si="16"/>
        <v>#NUM!</v>
      </c>
      <c r="H52" s="1104" t="e">
        <f t="shared" si="16"/>
        <v>#NUM!</v>
      </c>
      <c r="I52" s="1104" t="e">
        <f t="shared" si="16"/>
        <v>#NUM!</v>
      </c>
      <c r="J52" s="1104" t="e">
        <f t="shared" si="16"/>
        <v>#NUM!</v>
      </c>
      <c r="K52" s="1104" t="e">
        <f t="shared" si="16"/>
        <v>#NUM!</v>
      </c>
      <c r="L52" s="1104" t="e">
        <f t="shared" si="16"/>
        <v>#NUM!</v>
      </c>
      <c r="M52" s="1104" t="e">
        <f t="shared" si="16"/>
        <v>#NUM!</v>
      </c>
      <c r="N52" s="1104" t="e">
        <f t="shared" si="16"/>
        <v>#NUM!</v>
      </c>
      <c r="O52" s="1104" t="e">
        <f t="shared" si="16"/>
        <v>#NUM!</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119" priority="16" stopIfTrue="1">
      <formula>$F$46="超过30%"</formula>
    </cfRule>
  </conditionalFormatting>
  <conditionalFormatting sqref="E47">
    <cfRule type="expression" dxfId="118" priority="15" stopIfTrue="1">
      <formula>$F$47="超过20%"</formula>
    </cfRule>
  </conditionalFormatting>
  <conditionalFormatting sqref="E48">
    <cfRule type="expression" dxfId="117" priority="14" stopIfTrue="1">
      <formula>$F$48="超过30%"</formula>
    </cfRule>
  </conditionalFormatting>
  <conditionalFormatting sqref="F7:F40 H7:H40 J7:J40">
    <cfRule type="cellIs" dxfId="116" priority="1" operator="notEqual">
      <formula>100</formula>
    </cfRule>
  </conditionalFormatting>
  <conditionalFormatting sqref="F42">
    <cfRule type="expression" dxfId="115" priority="4">
      <formula>$D$42="简单平均"</formula>
    </cfRule>
  </conditionalFormatting>
  <conditionalFormatting sqref="F46:F48 H46:H48">
    <cfRule type="containsText" dxfId="114" priority="17" stopIfTrue="1" operator="containsText" text="超过">
      <formula>NOT(ISERROR(SEARCH("超过",F46)))</formula>
    </cfRule>
  </conditionalFormatting>
  <conditionalFormatting sqref="G46">
    <cfRule type="expression" dxfId="113" priority="12" stopIfTrue="1">
      <formula>$H$46="超过30%"</formula>
    </cfRule>
  </conditionalFormatting>
  <conditionalFormatting sqref="G47">
    <cfRule type="expression" dxfId="112" priority="11" stopIfTrue="1">
      <formula>$H$47="超过20%"</formula>
    </cfRule>
  </conditionalFormatting>
  <conditionalFormatting sqref="G48">
    <cfRule type="expression" dxfId="111" priority="13" stopIfTrue="1">
      <formula>$H$48="超过30%"</formula>
    </cfRule>
  </conditionalFormatting>
  <conditionalFormatting sqref="H42">
    <cfRule type="expression" dxfId="110" priority="3">
      <formula>$D$42="简单平均"</formula>
    </cfRule>
  </conditionalFormatting>
  <conditionalFormatting sqref="I46">
    <cfRule type="expression" dxfId="109" priority="7" stopIfTrue="1">
      <formula>$J$46="超过30%"</formula>
    </cfRule>
  </conditionalFormatting>
  <conditionalFormatting sqref="I47">
    <cfRule type="expression" dxfId="108" priority="6" stopIfTrue="1">
      <formula>$J$47="超过20%"</formula>
    </cfRule>
  </conditionalFormatting>
  <conditionalFormatting sqref="I48">
    <cfRule type="expression" dxfId="107" priority="5" stopIfTrue="1">
      <formula>$J$48="超过30%"</formula>
    </cfRule>
  </conditionalFormatting>
  <conditionalFormatting sqref="J42">
    <cfRule type="expression" dxfId="106" priority="2">
      <formula>$D$42="简单平均"</formula>
    </cfRule>
  </conditionalFormatting>
  <conditionalFormatting sqref="J46:J48">
    <cfRule type="containsText" dxfId="105"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46" t="s">
        <v>1770</v>
      </c>
      <c r="D4" s="3447"/>
      <c r="E4" s="3448" t="s">
        <v>1771</v>
      </c>
      <c r="F4" s="3449"/>
      <c r="G4" s="3446" t="s">
        <v>1772</v>
      </c>
      <c r="H4" s="3447"/>
      <c r="I4" s="3446" t="s">
        <v>1773</v>
      </c>
      <c r="J4" s="3447"/>
      <c r="K4" s="537" t="s">
        <v>1774</v>
      </c>
      <c r="L4" s="2487"/>
      <c r="M4" s="2488"/>
      <c r="N4" s="2488"/>
      <c r="O4" s="2488"/>
      <c r="P4" s="3450" t="s">
        <v>1775</v>
      </c>
      <c r="Q4" s="3451"/>
      <c r="R4" s="3456" t="s">
        <v>1771</v>
      </c>
      <c r="S4" s="3457"/>
      <c r="T4" s="3456" t="s">
        <v>1772</v>
      </c>
      <c r="U4" s="3457"/>
      <c r="V4" s="3432" t="s">
        <v>1773</v>
      </c>
      <c r="W4" s="3432"/>
      <c r="X4" s="1265"/>
      <c r="Y4" s="3456" t="s">
        <v>1775</v>
      </c>
      <c r="Z4" s="3457"/>
      <c r="AA4" s="3443" t="s">
        <v>1771</v>
      </c>
      <c r="AB4" s="3444" t="s">
        <v>1772</v>
      </c>
      <c r="AC4" s="3443" t="s">
        <v>1773</v>
      </c>
    </row>
    <row r="5" spans="1:29" ht="15">
      <c r="A5" s="348"/>
      <c r="B5" s="349"/>
      <c r="C5" s="3464" t="s">
        <v>1673</v>
      </c>
      <c r="D5" s="3465"/>
      <c r="E5" s="3471" t="s">
        <v>1674</v>
      </c>
      <c r="F5" s="3472"/>
      <c r="G5" s="3464" t="s">
        <v>1675</v>
      </c>
      <c r="H5" s="3465"/>
      <c r="I5" s="3464" t="s">
        <v>1676</v>
      </c>
      <c r="J5" s="3465"/>
      <c r="K5" s="537"/>
      <c r="L5" s="2487"/>
      <c r="M5" s="2488"/>
      <c r="N5" s="2488"/>
      <c r="O5" s="2488"/>
      <c r="P5" s="3452"/>
      <c r="Q5" s="3453"/>
      <c r="R5" s="3458"/>
      <c r="S5" s="3459"/>
      <c r="T5" s="3458"/>
      <c r="U5" s="3459"/>
      <c r="V5" s="3432"/>
      <c r="W5" s="3432"/>
      <c r="X5" s="1265"/>
      <c r="Y5" s="3458"/>
      <c r="Z5" s="3459"/>
      <c r="AA5" s="3444"/>
      <c r="AB5" s="3444"/>
      <c r="AC5" s="3444"/>
    </row>
    <row r="6" spans="1:29" ht="15.75" thickBot="1">
      <c r="A6" s="350"/>
      <c r="B6" s="351"/>
      <c r="C6" s="3462" t="s">
        <v>1677</v>
      </c>
      <c r="D6" s="3463"/>
      <c r="E6" s="3469" t="s">
        <v>1677</v>
      </c>
      <c r="F6" s="3470"/>
      <c r="G6" s="3462" t="s">
        <v>1677</v>
      </c>
      <c r="H6" s="3463"/>
      <c r="I6" s="3462" t="s">
        <v>1677</v>
      </c>
      <c r="J6" s="3463"/>
      <c r="K6" s="537" t="s">
        <v>1678</v>
      </c>
      <c r="L6" s="2487"/>
      <c r="M6" s="2488"/>
      <c r="N6" s="2488"/>
      <c r="O6" s="2488"/>
      <c r="P6" s="3454"/>
      <c r="Q6" s="3455"/>
      <c r="R6" s="3458"/>
      <c r="S6" s="3459"/>
      <c r="T6" s="3460"/>
      <c r="U6" s="3461"/>
      <c r="V6" s="3432"/>
      <c r="W6" s="3432"/>
      <c r="X6" s="1265"/>
      <c r="Y6" s="3460"/>
      <c r="Z6" s="3461"/>
      <c r="AA6" s="3445"/>
      <c r="AB6" s="3445"/>
      <c r="AC6" s="3445"/>
    </row>
    <row r="7" spans="1:29" s="102" customFormat="1" ht="15.75" thickBot="1">
      <c r="A7" s="352" t="s">
        <v>1679</v>
      </c>
      <c r="B7" s="353"/>
      <c r="C7" s="354">
        <f>'数据-取费表'!B2</f>
        <v>0</v>
      </c>
      <c r="D7" s="355">
        <v>100</v>
      </c>
      <c r="E7" s="356"/>
      <c r="F7" s="357">
        <f>SUMIF(48:48,YEAR(E7)&amp;"-"&amp;MONTH(E7),49:49)</f>
        <v>100</v>
      </c>
      <c r="G7" s="356"/>
      <c r="H7" s="355">
        <f>SUMIF(48:48,YEAR(G7)&amp;"-"&amp;MONTH(G7),49:49)</f>
        <v>100</v>
      </c>
      <c r="I7" s="356"/>
      <c r="J7" s="355">
        <f>SUMIF(48:48,YEAR(I7)&amp;"-"&amp;MONTH(I7),49:49)</f>
        <v>100</v>
      </c>
      <c r="K7" s="38"/>
      <c r="L7" s="2489"/>
      <c r="M7" s="2440"/>
      <c r="N7" s="2440"/>
      <c r="O7" s="2440"/>
      <c r="P7" s="3466" t="s">
        <v>1680</v>
      </c>
      <c r="Q7" s="3468"/>
      <c r="R7" s="664" t="s">
        <v>14</v>
      </c>
      <c r="S7" s="665">
        <f t="shared" ref="S7:S14" si="0">F7</f>
        <v>100</v>
      </c>
      <c r="T7" s="664" t="s">
        <v>14</v>
      </c>
      <c r="U7" s="665">
        <f t="shared" ref="U7:U14" si="1">H7</f>
        <v>100</v>
      </c>
      <c r="V7" s="664" t="s">
        <v>14</v>
      </c>
      <c r="W7" s="665">
        <f t="shared" ref="W7:W14" si="2">J7</f>
        <v>100</v>
      </c>
      <c r="X7" s="666"/>
      <c r="Y7" s="3466" t="s">
        <v>1680</v>
      </c>
      <c r="Z7" s="3467"/>
      <c r="AA7" s="50">
        <f>D7/F7</f>
        <v>1</v>
      </c>
      <c r="AB7" s="50">
        <f>D7/H7</f>
        <v>1</v>
      </c>
      <c r="AC7" s="50">
        <f>D7/J7</f>
        <v>1</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66" t="s">
        <v>1683</v>
      </c>
      <c r="Q8" s="3467"/>
      <c r="R8" s="664" t="s">
        <v>14</v>
      </c>
      <c r="S8" s="665">
        <f t="shared" si="0"/>
        <v>100</v>
      </c>
      <c r="T8" s="664" t="s">
        <v>14</v>
      </c>
      <c r="U8" s="665">
        <f t="shared" si="1"/>
        <v>100</v>
      </c>
      <c r="V8" s="664" t="s">
        <v>14</v>
      </c>
      <c r="W8" s="665">
        <f t="shared" si="2"/>
        <v>100</v>
      </c>
      <c r="X8" s="666"/>
      <c r="Y8" s="3466" t="s">
        <v>1683</v>
      </c>
      <c r="Z8" s="3467"/>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31" t="s">
        <v>1686</v>
      </c>
      <c r="Q9" s="530" t="str">
        <f t="shared" ref="Q9:Q14" si="6">B9</f>
        <v>用途</v>
      </c>
      <c r="R9" s="664" t="s">
        <v>14</v>
      </c>
      <c r="S9" s="665">
        <f t="shared" si="0"/>
        <v>100</v>
      </c>
      <c r="T9" s="664" t="s">
        <v>14</v>
      </c>
      <c r="U9" s="665">
        <f t="shared" si="1"/>
        <v>100</v>
      </c>
      <c r="V9" s="664" t="s">
        <v>14</v>
      </c>
      <c r="W9" s="665">
        <f t="shared" si="2"/>
        <v>100</v>
      </c>
      <c r="X9" s="666"/>
      <c r="Y9" s="3306"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31"/>
      <c r="Q10" s="530" t="str">
        <f t="shared" si="6"/>
        <v>土地使用年限（年）</v>
      </c>
      <c r="R10" s="664" t="s">
        <v>14</v>
      </c>
      <c r="S10" s="665">
        <f t="shared" si="0"/>
        <v>100</v>
      </c>
      <c r="T10" s="664" t="s">
        <v>14</v>
      </c>
      <c r="U10" s="665">
        <f t="shared" si="1"/>
        <v>100</v>
      </c>
      <c r="V10" s="664" t="s">
        <v>14</v>
      </c>
      <c r="W10" s="665">
        <f t="shared" si="2"/>
        <v>100</v>
      </c>
      <c r="X10" s="666"/>
      <c r="Y10" s="330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31"/>
      <c r="Q11" s="530">
        <f t="shared" si="6"/>
        <v>111</v>
      </c>
      <c r="R11" s="664" t="s">
        <v>14</v>
      </c>
      <c r="S11" s="665">
        <f t="shared" si="0"/>
        <v>100</v>
      </c>
      <c r="T11" s="664" t="s">
        <v>14</v>
      </c>
      <c r="U11" s="665">
        <f t="shared" si="1"/>
        <v>100</v>
      </c>
      <c r="V11" s="664" t="s">
        <v>14</v>
      </c>
      <c r="W11" s="665">
        <f t="shared" si="2"/>
        <v>100</v>
      </c>
      <c r="X11" s="666"/>
      <c r="Y11" s="330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31"/>
      <c r="Q12" s="530">
        <f t="shared" si="6"/>
        <v>111</v>
      </c>
      <c r="R12" s="664" t="s">
        <v>14</v>
      </c>
      <c r="S12" s="665">
        <f t="shared" si="0"/>
        <v>100</v>
      </c>
      <c r="T12" s="664" t="s">
        <v>14</v>
      </c>
      <c r="U12" s="665">
        <f t="shared" si="1"/>
        <v>100</v>
      </c>
      <c r="V12" s="664" t="s">
        <v>14</v>
      </c>
      <c r="W12" s="665">
        <f t="shared" si="2"/>
        <v>100</v>
      </c>
      <c r="X12" s="666"/>
      <c r="Y12" s="3306"/>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31"/>
      <c r="Q13" s="530">
        <f t="shared" si="6"/>
        <v>111</v>
      </c>
      <c r="R13" s="664" t="s">
        <v>14</v>
      </c>
      <c r="S13" s="665">
        <f t="shared" si="0"/>
        <v>100</v>
      </c>
      <c r="T13" s="664" t="s">
        <v>14</v>
      </c>
      <c r="U13" s="665">
        <f t="shared" si="1"/>
        <v>100</v>
      </c>
      <c r="V13" s="664" t="s">
        <v>14</v>
      </c>
      <c r="W13" s="665">
        <f t="shared" si="2"/>
        <v>100</v>
      </c>
      <c r="X13" s="666"/>
      <c r="Y13" s="3306"/>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33" t="s">
        <v>1691</v>
      </c>
      <c r="Q14" s="1263" t="str">
        <f t="shared" si="6"/>
        <v>交通便捷度</v>
      </c>
      <c r="R14" s="667" t="s">
        <v>14</v>
      </c>
      <c r="S14" s="668">
        <f t="shared" si="0"/>
        <v>100</v>
      </c>
      <c r="T14" s="667" t="s">
        <v>14</v>
      </c>
      <c r="U14" s="668">
        <f t="shared" si="1"/>
        <v>100</v>
      </c>
      <c r="V14" s="667" t="s">
        <v>14</v>
      </c>
      <c r="W14" s="668">
        <f t="shared" si="2"/>
        <v>100</v>
      </c>
      <c r="X14" s="1265"/>
      <c r="Y14" s="343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34"/>
      <c r="Q15" s="1263"/>
      <c r="R15" s="667"/>
      <c r="S15" s="668"/>
      <c r="T15" s="667"/>
      <c r="U15" s="668"/>
      <c r="V15" s="667"/>
      <c r="W15" s="668"/>
      <c r="X15" s="1265"/>
      <c r="Y15" s="3434"/>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34"/>
      <c r="Q16" s="1263" t="str">
        <f>B16</f>
        <v>公共配套设施</v>
      </c>
      <c r="R16" s="667" t="s">
        <v>14</v>
      </c>
      <c r="S16" s="668">
        <f>F16</f>
        <v>100</v>
      </c>
      <c r="T16" s="667" t="s">
        <v>14</v>
      </c>
      <c r="U16" s="668">
        <f>H16</f>
        <v>100</v>
      </c>
      <c r="V16" s="667" t="s">
        <v>14</v>
      </c>
      <c r="W16" s="668">
        <f>J16</f>
        <v>100</v>
      </c>
      <c r="X16" s="1265"/>
      <c r="Y16" s="343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34"/>
      <c r="Q17" s="1263"/>
      <c r="R17" s="667"/>
      <c r="S17" s="668"/>
      <c r="T17" s="667"/>
      <c r="U17" s="668"/>
      <c r="V17" s="667"/>
      <c r="W17" s="668"/>
      <c r="X17" s="1265"/>
      <c r="Y17" s="3434"/>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34"/>
      <c r="Q18" s="1263" t="str">
        <f>B18</f>
        <v>基础设施水平</v>
      </c>
      <c r="R18" s="667" t="s">
        <v>14</v>
      </c>
      <c r="S18" s="668">
        <f>F18</f>
        <v>100</v>
      </c>
      <c r="T18" s="667" t="s">
        <v>14</v>
      </c>
      <c r="U18" s="668">
        <f>H18</f>
        <v>100</v>
      </c>
      <c r="V18" s="667" t="s">
        <v>14</v>
      </c>
      <c r="W18" s="668">
        <f>J18</f>
        <v>100</v>
      </c>
      <c r="X18" s="1265"/>
      <c r="Y18" s="343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34"/>
      <c r="Q19" s="1263"/>
      <c r="R19" s="667"/>
      <c r="S19" s="668"/>
      <c r="T19" s="667"/>
      <c r="U19" s="668"/>
      <c r="V19" s="667"/>
      <c r="W19" s="668"/>
      <c r="X19" s="1265"/>
      <c r="Y19" s="3434"/>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34"/>
      <c r="Q20" s="1263" t="str">
        <f>B20</f>
        <v>自然及人文环境</v>
      </c>
      <c r="R20" s="667" t="s">
        <v>14</v>
      </c>
      <c r="S20" s="668">
        <f>F20</f>
        <v>100</v>
      </c>
      <c r="T20" s="667" t="s">
        <v>14</v>
      </c>
      <c r="U20" s="668">
        <f>H20</f>
        <v>100</v>
      </c>
      <c r="V20" s="667" t="s">
        <v>14</v>
      </c>
      <c r="W20" s="668">
        <f>J20</f>
        <v>100</v>
      </c>
      <c r="X20" s="1265"/>
      <c r="Y20" s="343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34"/>
      <c r="Q21" s="1263"/>
      <c r="R21" s="667"/>
      <c r="S21" s="668"/>
      <c r="T21" s="667"/>
      <c r="U21" s="668"/>
      <c r="V21" s="667"/>
      <c r="W21" s="668"/>
      <c r="X21" s="1265"/>
      <c r="Y21" s="343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34"/>
      <c r="Q22" s="1263" t="str">
        <f>B22</f>
        <v>楼层</v>
      </c>
      <c r="R22" s="667" t="s">
        <v>14</v>
      </c>
      <c r="S22" s="668">
        <f>F22</f>
        <v>100</v>
      </c>
      <c r="T22" s="667" t="s">
        <v>14</v>
      </c>
      <c r="U22" s="668">
        <f>H22</f>
        <v>100</v>
      </c>
      <c r="V22" s="667" t="s">
        <v>14</v>
      </c>
      <c r="W22" s="668">
        <f>J22</f>
        <v>100</v>
      </c>
      <c r="X22" s="1265"/>
      <c r="Y22" s="343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34"/>
      <c r="Q23" s="1263">
        <f>B23</f>
        <v>111</v>
      </c>
      <c r="R23" s="667" t="s">
        <v>14</v>
      </c>
      <c r="S23" s="668">
        <f>F23</f>
        <v>100</v>
      </c>
      <c r="T23" s="667" t="s">
        <v>14</v>
      </c>
      <c r="U23" s="668">
        <f>H23</f>
        <v>100</v>
      </c>
      <c r="V23" s="667" t="s">
        <v>14</v>
      </c>
      <c r="W23" s="668">
        <f>J23</f>
        <v>100</v>
      </c>
      <c r="X23" s="1265"/>
      <c r="Y23" s="343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34"/>
      <c r="Q24" s="1263">
        <f t="shared" ref="Q24:Q36" si="11">B24</f>
        <v>111</v>
      </c>
      <c r="R24" s="667" t="s">
        <v>14</v>
      </c>
      <c r="S24" s="668">
        <f>F24</f>
        <v>100</v>
      </c>
      <c r="T24" s="667" t="s">
        <v>14</v>
      </c>
      <c r="U24" s="668">
        <f>H24</f>
        <v>100</v>
      </c>
      <c r="V24" s="667" t="s">
        <v>14</v>
      </c>
      <c r="W24" s="668">
        <f>J24</f>
        <v>100</v>
      </c>
      <c r="X24" s="1265"/>
      <c r="Y24" s="3434"/>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34"/>
      <c r="Q25" s="530">
        <f t="shared" si="11"/>
        <v>111</v>
      </c>
      <c r="R25" s="664" t="s">
        <v>14</v>
      </c>
      <c r="S25" s="665">
        <f>F25</f>
        <v>100</v>
      </c>
      <c r="T25" s="664" t="s">
        <v>14</v>
      </c>
      <c r="U25" s="665">
        <f>H25</f>
        <v>100</v>
      </c>
      <c r="V25" s="664" t="s">
        <v>14</v>
      </c>
      <c r="W25" s="665">
        <f>J25</f>
        <v>100</v>
      </c>
      <c r="X25" s="666"/>
      <c r="Y25" s="3434"/>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8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8"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38"/>
      <c r="Q27" s="531" t="str">
        <f t="shared" si="11"/>
        <v>项目停车位配比</v>
      </c>
      <c r="R27" s="669" t="s">
        <v>14</v>
      </c>
      <c r="S27" s="670">
        <f t="shared" si="12"/>
        <v>100</v>
      </c>
      <c r="T27" s="669" t="s">
        <v>14</v>
      </c>
      <c r="U27" s="670">
        <f t="shared" si="13"/>
        <v>100</v>
      </c>
      <c r="V27" s="669" t="s">
        <v>14</v>
      </c>
      <c r="W27" s="670">
        <f t="shared" si="14"/>
        <v>100</v>
      </c>
      <c r="X27" s="671"/>
      <c r="Y27" s="3438"/>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38"/>
      <c r="Q28" s="1263" t="str">
        <f t="shared" si="11"/>
        <v>公共部分装修</v>
      </c>
      <c r="R28" s="667" t="s">
        <v>14</v>
      </c>
      <c r="S28" s="668">
        <f t="shared" si="12"/>
        <v>100</v>
      </c>
      <c r="T28" s="667" t="s">
        <v>14</v>
      </c>
      <c r="U28" s="668">
        <f t="shared" si="13"/>
        <v>100</v>
      </c>
      <c r="V28" s="667" t="s">
        <v>14</v>
      </c>
      <c r="W28" s="668">
        <f t="shared" si="14"/>
        <v>100</v>
      </c>
      <c r="X28" s="1265"/>
      <c r="Y28" s="3438"/>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38"/>
      <c r="Q29" s="1263" t="str">
        <f t="shared" si="11"/>
        <v>成新率</v>
      </c>
      <c r="R29" s="667" t="s">
        <v>14</v>
      </c>
      <c r="S29" s="668" t="e">
        <f t="shared" si="12"/>
        <v>#N/A</v>
      </c>
      <c r="T29" s="667" t="s">
        <v>14</v>
      </c>
      <c r="U29" s="668" t="e">
        <f t="shared" si="13"/>
        <v>#N/A</v>
      </c>
      <c r="V29" s="667" t="s">
        <v>14</v>
      </c>
      <c r="W29" s="668" t="e">
        <f t="shared" si="14"/>
        <v>#N/A</v>
      </c>
      <c r="X29" s="1265"/>
      <c r="Y29" s="3438"/>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38"/>
      <c r="Q30" s="1263" t="str">
        <f t="shared" si="11"/>
        <v>物业等级</v>
      </c>
      <c r="R30" s="667" t="s">
        <v>14</v>
      </c>
      <c r="S30" s="668">
        <f t="shared" si="12"/>
        <v>100</v>
      </c>
      <c r="T30" s="667" t="s">
        <v>14</v>
      </c>
      <c r="U30" s="668">
        <f t="shared" si="13"/>
        <v>100</v>
      </c>
      <c r="V30" s="667" t="s">
        <v>14</v>
      </c>
      <c r="W30" s="668">
        <f t="shared" si="14"/>
        <v>100</v>
      </c>
      <c r="X30" s="1265"/>
      <c r="Y30" s="3438"/>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38"/>
      <c r="Q31" s="530" t="str">
        <f t="shared" si="11"/>
        <v>停车位面积</v>
      </c>
      <c r="R31" s="664" t="s">
        <v>14</v>
      </c>
      <c r="S31" s="665" t="e">
        <f t="shared" si="12"/>
        <v>#N/A</v>
      </c>
      <c r="T31" s="664" t="s">
        <v>14</v>
      </c>
      <c r="U31" s="665" t="e">
        <f t="shared" si="13"/>
        <v>#N/A</v>
      </c>
      <c r="V31" s="664" t="s">
        <v>14</v>
      </c>
      <c r="W31" s="665" t="e">
        <f t="shared" si="14"/>
        <v>#N/A</v>
      </c>
      <c r="X31" s="666"/>
      <c r="Y31" s="343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38" t="s">
        <v>1696</v>
      </c>
      <c r="Q32" s="1263" t="str">
        <f t="shared" si="11"/>
        <v>车位类型</v>
      </c>
      <c r="R32" s="667" t="s">
        <v>14</v>
      </c>
      <c r="S32" s="668">
        <f t="shared" si="12"/>
        <v>100</v>
      </c>
      <c r="T32" s="667" t="s">
        <v>14</v>
      </c>
      <c r="U32" s="668">
        <f t="shared" si="13"/>
        <v>100</v>
      </c>
      <c r="V32" s="667" t="s">
        <v>14</v>
      </c>
      <c r="W32" s="668">
        <f t="shared" si="14"/>
        <v>100</v>
      </c>
      <c r="X32" s="1265"/>
      <c r="Y32" s="3438"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38"/>
      <c r="Q33" s="1263" t="str">
        <f t="shared" si="11"/>
        <v>是否直接入户</v>
      </c>
      <c r="R33" s="667" t="s">
        <v>14</v>
      </c>
      <c r="S33" s="668">
        <f t="shared" si="12"/>
        <v>100</v>
      </c>
      <c r="T33" s="667" t="s">
        <v>14</v>
      </c>
      <c r="U33" s="668">
        <f t="shared" si="13"/>
        <v>100</v>
      </c>
      <c r="V33" s="667" t="s">
        <v>14</v>
      </c>
      <c r="W33" s="668">
        <f t="shared" si="14"/>
        <v>100</v>
      </c>
      <c r="X33" s="1265"/>
      <c r="Y33" s="343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38"/>
      <c r="Q34" s="1263">
        <f t="shared" si="11"/>
        <v>111</v>
      </c>
      <c r="R34" s="667" t="s">
        <v>14</v>
      </c>
      <c r="S34" s="668">
        <f t="shared" si="12"/>
        <v>100</v>
      </c>
      <c r="T34" s="667" t="s">
        <v>14</v>
      </c>
      <c r="U34" s="668">
        <f t="shared" si="13"/>
        <v>100</v>
      </c>
      <c r="V34" s="667" t="s">
        <v>14</v>
      </c>
      <c r="W34" s="668">
        <f t="shared" si="14"/>
        <v>100</v>
      </c>
      <c r="X34" s="1265"/>
      <c r="Y34" s="343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38"/>
      <c r="Q35" s="531">
        <f t="shared" si="11"/>
        <v>111</v>
      </c>
      <c r="R35" s="669" t="s">
        <v>14</v>
      </c>
      <c r="S35" s="670">
        <f t="shared" si="12"/>
        <v>100</v>
      </c>
      <c r="T35" s="669" t="s">
        <v>14</v>
      </c>
      <c r="U35" s="670">
        <f t="shared" si="13"/>
        <v>100</v>
      </c>
      <c r="V35" s="669" t="s">
        <v>14</v>
      </c>
      <c r="W35" s="670">
        <f t="shared" si="14"/>
        <v>100</v>
      </c>
      <c r="X35" s="671"/>
      <c r="Y35" s="3438"/>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38"/>
      <c r="Q36" s="1263">
        <f t="shared" si="11"/>
        <v>111</v>
      </c>
      <c r="R36" s="667" t="s">
        <v>14</v>
      </c>
      <c r="S36" s="668">
        <f t="shared" si="12"/>
        <v>100</v>
      </c>
      <c r="T36" s="667" t="s">
        <v>14</v>
      </c>
      <c r="U36" s="668">
        <f t="shared" si="13"/>
        <v>100</v>
      </c>
      <c r="V36" s="667" t="s">
        <v>14</v>
      </c>
      <c r="W36" s="668">
        <f t="shared" si="14"/>
        <v>100</v>
      </c>
      <c r="X36" s="1265"/>
      <c r="Y36" s="3438"/>
      <c r="Z36" s="1264">
        <f t="shared" si="15"/>
        <v>111</v>
      </c>
      <c r="AA36" s="1264">
        <f t="shared" si="3"/>
        <v>1</v>
      </c>
      <c r="AB36" s="1264">
        <f t="shared" si="4"/>
        <v>1</v>
      </c>
      <c r="AC36" s="1264">
        <f t="shared" si="5"/>
        <v>1</v>
      </c>
    </row>
    <row r="37" spans="1:29" ht="15">
      <c r="A37" s="416" t="s">
        <v>1844</v>
      </c>
      <c r="B37" s="1821" t="s">
        <v>3352</v>
      </c>
      <c r="C37" s="1081" t="s">
        <v>0</v>
      </c>
      <c r="D37" s="418"/>
      <c r="E37" s="419"/>
      <c r="F37" s="420"/>
      <c r="G37" s="421"/>
      <c r="H37" s="422"/>
      <c r="I37" s="419"/>
      <c r="J37" s="422"/>
      <c r="K37" s="545"/>
      <c r="L37" s="2495"/>
      <c r="M37" s="2488"/>
      <c r="N37" s="2488"/>
      <c r="O37" s="2488"/>
      <c r="P37" s="3431" t="str">
        <f>A37</f>
        <v>成交单价</v>
      </c>
      <c r="Q37" s="3431"/>
      <c r="R37" s="3432">
        <f>E37</f>
        <v>0</v>
      </c>
      <c r="S37" s="3432"/>
      <c r="T37" s="3432">
        <f>G37</f>
        <v>0</v>
      </c>
      <c r="U37" s="3432"/>
      <c r="V37" s="3432">
        <f>I37</f>
        <v>0</v>
      </c>
      <c r="W37" s="3432"/>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31" t="str">
        <f>A38</f>
        <v>比较价值（元/平方米）</v>
      </c>
      <c r="Q38" s="3431"/>
      <c r="R38" s="3432" t="e">
        <f>IF(F1="售价",ROUND(PRODUCT(R37,AA7:AA36),0),ROUND(PRODUCT(R37,AA7:AA36),1))</f>
        <v>#DIV/0!</v>
      </c>
      <c r="S38" s="3432"/>
      <c r="T38" s="3432" t="e">
        <f>IF(F1="售价",ROUND(PRODUCT(T37,AB7:AB36),0),ROUND(PRODUCT(T37,AB7:AB36),1))</f>
        <v>#DIV/0!</v>
      </c>
      <c r="U38" s="3432"/>
      <c r="V38" s="3432" t="e">
        <f>IF(F1="售价",ROUND(PRODUCT(V37,AC7:AC36),0),ROUND(PRODUCT(V37,AC7:AC36),1))</f>
        <v>#DIV/0!</v>
      </c>
      <c r="W38" s="3432"/>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28" t="str">
        <f>A39</f>
        <v>估价对象XX用房的比较价值（楼面单价，元/平方米）</v>
      </c>
      <c r="Q39" s="3429"/>
      <c r="R39" s="3489" t="e">
        <f>IF(F1="售价",ROUND(IF(D38="简单平均",AVERAGE(R38:W38),R38*F38+T38*H38+V38*J38),0),ROUND(IF(D38="简单平均",AVERAGE(R38:V38),R38*F38+T38*H38+V38*J38),1))</f>
        <v>#DIV/0!</v>
      </c>
      <c r="S39" s="3489"/>
      <c r="T39" s="3489"/>
      <c r="U39" s="3489"/>
      <c r="V39" s="3489"/>
      <c r="W39" s="3489"/>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1900-1</v>
      </c>
      <c r="D48" s="1104" t="e">
        <f>EDATE(C48,-1)</f>
        <v>#NUM!</v>
      </c>
      <c r="E48" s="1104" t="e">
        <f t="shared" ref="E48:O48" si="16">EDATE(D48,-1)</f>
        <v>#NUM!</v>
      </c>
      <c r="F48" s="1104" t="e">
        <f t="shared" si="16"/>
        <v>#NUM!</v>
      </c>
      <c r="G48" s="1104" t="e">
        <f t="shared" si="16"/>
        <v>#NUM!</v>
      </c>
      <c r="H48" s="1104" t="e">
        <f t="shared" si="16"/>
        <v>#NUM!</v>
      </c>
      <c r="I48" s="1104" t="e">
        <f t="shared" si="16"/>
        <v>#NUM!</v>
      </c>
      <c r="J48" s="1104" t="e">
        <f t="shared" si="16"/>
        <v>#NUM!</v>
      </c>
      <c r="K48" s="1104" t="e">
        <f t="shared" si="16"/>
        <v>#NUM!</v>
      </c>
      <c r="L48" s="1104" t="e">
        <f t="shared" si="16"/>
        <v>#NUM!</v>
      </c>
      <c r="M48" s="1104" t="e">
        <f t="shared" si="16"/>
        <v>#NUM!</v>
      </c>
      <c r="N48" s="1104" t="e">
        <f t="shared" si="16"/>
        <v>#NUM!</v>
      </c>
      <c r="O48" s="1104" t="e">
        <f t="shared" si="16"/>
        <v>#NUM!</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104" priority="13" stopIfTrue="1">
      <formula>$F$42="超过30%"</formula>
    </cfRule>
  </conditionalFormatting>
  <conditionalFormatting sqref="E43">
    <cfRule type="expression" dxfId="103" priority="11" stopIfTrue="1">
      <formula>$F$43="超过20%"</formula>
    </cfRule>
  </conditionalFormatting>
  <conditionalFormatting sqref="E44">
    <cfRule type="expression" dxfId="102" priority="10" stopIfTrue="1">
      <formula>$F$44="超过30%"</formula>
    </cfRule>
  </conditionalFormatting>
  <conditionalFormatting sqref="F7:F36 H7:H36 J7:J36">
    <cfRule type="cellIs" dxfId="101" priority="1" operator="notEqual">
      <formula>100</formula>
    </cfRule>
  </conditionalFormatting>
  <conditionalFormatting sqref="F38">
    <cfRule type="expression" dxfId="100" priority="4">
      <formula>$D$38="简单平均"</formula>
    </cfRule>
  </conditionalFormatting>
  <conditionalFormatting sqref="F42:F44 H42:H44 J42:J44">
    <cfRule type="containsText" dxfId="99" priority="14" stopIfTrue="1" operator="containsText" text="超过">
      <formula>NOT(ISERROR(SEARCH("超过",F42)))</formula>
    </cfRule>
  </conditionalFormatting>
  <conditionalFormatting sqref="G42">
    <cfRule type="expression" dxfId="98" priority="9" stopIfTrue="1">
      <formula>$H$52+$H$42="超过30%"</formula>
    </cfRule>
  </conditionalFormatting>
  <conditionalFormatting sqref="G43">
    <cfRule type="expression" dxfId="97" priority="8" stopIfTrue="1">
      <formula>$H$43="超过20%"</formula>
    </cfRule>
  </conditionalFormatting>
  <conditionalFormatting sqref="G44">
    <cfRule type="expression" dxfId="96" priority="12" stopIfTrue="1">
      <formula>$H$54+$H$44="超过30%"</formula>
    </cfRule>
  </conditionalFormatting>
  <conditionalFormatting sqref="H38">
    <cfRule type="expression" dxfId="95" priority="3">
      <formula>$D$38="简单平均"</formula>
    </cfRule>
  </conditionalFormatting>
  <conditionalFormatting sqref="I42">
    <cfRule type="expression" dxfId="94" priority="7" stopIfTrue="1">
      <formula>$J$52+$J$42="超过30%"</formula>
    </cfRule>
  </conditionalFormatting>
  <conditionalFormatting sqref="I43">
    <cfRule type="expression" dxfId="93" priority="6" stopIfTrue="1">
      <formula>$J$53+$J$43="超过20%"</formula>
    </cfRule>
  </conditionalFormatting>
  <conditionalFormatting sqref="I44">
    <cfRule type="expression" dxfId="92" priority="5" stopIfTrue="1">
      <formula>$J$44="超过30%"</formula>
    </cfRule>
  </conditionalFormatting>
  <conditionalFormatting sqref="J38">
    <cfRule type="expression" dxfId="91"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46" t="s">
        <v>1770</v>
      </c>
      <c r="D4" s="3447"/>
      <c r="E4" s="3448" t="s">
        <v>1771</v>
      </c>
      <c r="F4" s="3449"/>
      <c r="G4" s="3446" t="s">
        <v>1772</v>
      </c>
      <c r="H4" s="3447"/>
      <c r="I4" s="3446" t="s">
        <v>1773</v>
      </c>
      <c r="J4" s="3447"/>
      <c r="K4" s="537" t="s">
        <v>1774</v>
      </c>
      <c r="L4" s="2487"/>
      <c r="M4" s="2488"/>
      <c r="N4" s="2488"/>
      <c r="O4" s="2488"/>
      <c r="P4" s="3450" t="s">
        <v>1775</v>
      </c>
      <c r="Q4" s="3451"/>
      <c r="R4" s="3456" t="s">
        <v>1771</v>
      </c>
      <c r="S4" s="3457"/>
      <c r="T4" s="3456" t="s">
        <v>1772</v>
      </c>
      <c r="U4" s="3457"/>
      <c r="V4" s="3432" t="s">
        <v>1773</v>
      </c>
      <c r="W4" s="3432"/>
      <c r="X4" s="1265"/>
      <c r="Y4" s="3456" t="s">
        <v>1775</v>
      </c>
      <c r="Z4" s="3457"/>
      <c r="AA4" s="3443" t="s">
        <v>1771</v>
      </c>
      <c r="AB4" s="3444" t="s">
        <v>1772</v>
      </c>
      <c r="AC4" s="3443" t="s">
        <v>1773</v>
      </c>
    </row>
    <row r="5" spans="1:29" ht="15">
      <c r="A5" s="348"/>
      <c r="B5" s="349"/>
      <c r="C5" s="3464" t="s">
        <v>1673</v>
      </c>
      <c r="D5" s="3465"/>
      <c r="E5" s="3471" t="s">
        <v>1674</v>
      </c>
      <c r="F5" s="3472"/>
      <c r="G5" s="3464" t="s">
        <v>1675</v>
      </c>
      <c r="H5" s="3465"/>
      <c r="I5" s="3464" t="s">
        <v>1676</v>
      </c>
      <c r="J5" s="3465"/>
      <c r="K5" s="537"/>
      <c r="L5" s="2487"/>
      <c r="M5" s="2488"/>
      <c r="N5" s="2488"/>
      <c r="O5" s="2488"/>
      <c r="P5" s="3452"/>
      <c r="Q5" s="3453"/>
      <c r="R5" s="3458"/>
      <c r="S5" s="3459"/>
      <c r="T5" s="3458"/>
      <c r="U5" s="3459"/>
      <c r="V5" s="3432"/>
      <c r="W5" s="3432"/>
      <c r="X5" s="1265"/>
      <c r="Y5" s="3458"/>
      <c r="Z5" s="3459"/>
      <c r="AA5" s="3444"/>
      <c r="AB5" s="3444"/>
      <c r="AC5" s="3444"/>
    </row>
    <row r="6" spans="1:29" ht="15.75" thickBot="1">
      <c r="A6" s="350"/>
      <c r="B6" s="351"/>
      <c r="C6" s="3462" t="s">
        <v>1677</v>
      </c>
      <c r="D6" s="3463"/>
      <c r="E6" s="3469" t="s">
        <v>1677</v>
      </c>
      <c r="F6" s="3470"/>
      <c r="G6" s="3462" t="s">
        <v>1677</v>
      </c>
      <c r="H6" s="3463"/>
      <c r="I6" s="3462" t="s">
        <v>1677</v>
      </c>
      <c r="J6" s="3463"/>
      <c r="K6" s="537" t="s">
        <v>1678</v>
      </c>
      <c r="L6" s="2487"/>
      <c r="M6" s="2488"/>
      <c r="N6" s="2488"/>
      <c r="O6" s="2488"/>
      <c r="P6" s="3454"/>
      <c r="Q6" s="3455"/>
      <c r="R6" s="3458"/>
      <c r="S6" s="3459"/>
      <c r="T6" s="3460"/>
      <c r="U6" s="3461"/>
      <c r="V6" s="3432"/>
      <c r="W6" s="3432"/>
      <c r="X6" s="1265"/>
      <c r="Y6" s="3460"/>
      <c r="Z6" s="3461"/>
      <c r="AA6" s="3445"/>
      <c r="AB6" s="3445"/>
      <c r="AC6" s="3445"/>
    </row>
    <row r="7" spans="1:29" s="102" customFormat="1" ht="15.75" thickBot="1">
      <c r="A7" s="352" t="s">
        <v>1679</v>
      </c>
      <c r="B7" s="353"/>
      <c r="C7" s="354">
        <f>'数据-取费表'!B2</f>
        <v>0</v>
      </c>
      <c r="D7" s="355">
        <v>100</v>
      </c>
      <c r="E7" s="356"/>
      <c r="F7" s="357">
        <f>SUMIF(46:46,YEAR(E7)&amp;"-"&amp;MONTH(E7),47:47)</f>
        <v>100</v>
      </c>
      <c r="G7" s="1822"/>
      <c r="H7" s="355">
        <f>SUMIF(46:46,YEAR(G7)&amp;"-"&amp;MONTH(G7),47:47)</f>
        <v>100</v>
      </c>
      <c r="I7" s="356"/>
      <c r="J7" s="355">
        <f>SUMIF(46:46,YEAR(I7)&amp;"-"&amp;MONTH(I7),47:47)</f>
        <v>100</v>
      </c>
      <c r="K7" s="38"/>
      <c r="L7" s="2489"/>
      <c r="M7" s="2440"/>
      <c r="N7" s="2440"/>
      <c r="O7" s="2440"/>
      <c r="P7" s="3466" t="s">
        <v>1680</v>
      </c>
      <c r="Q7" s="3468"/>
      <c r="R7" s="664" t="s">
        <v>14</v>
      </c>
      <c r="S7" s="665">
        <f t="shared" ref="S7:S14" si="0">F7</f>
        <v>100</v>
      </c>
      <c r="T7" s="664" t="s">
        <v>14</v>
      </c>
      <c r="U7" s="665">
        <f t="shared" ref="U7:U14" si="1">H7</f>
        <v>100</v>
      </c>
      <c r="V7" s="664" t="s">
        <v>14</v>
      </c>
      <c r="W7" s="665">
        <f t="shared" ref="W7:W14" si="2">J7</f>
        <v>100</v>
      </c>
      <c r="X7" s="666"/>
      <c r="Y7" s="3466" t="s">
        <v>1680</v>
      </c>
      <c r="Z7" s="3467"/>
      <c r="AA7" s="50">
        <f>D7/F7</f>
        <v>1</v>
      </c>
      <c r="AB7" s="50">
        <f>D7/H7</f>
        <v>1</v>
      </c>
      <c r="AC7" s="50">
        <f>D7/J7</f>
        <v>1</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66" t="s">
        <v>1683</v>
      </c>
      <c r="Q8" s="3467"/>
      <c r="R8" s="664" t="s">
        <v>14</v>
      </c>
      <c r="S8" s="665">
        <f t="shared" si="0"/>
        <v>100</v>
      </c>
      <c r="T8" s="664" t="s">
        <v>14</v>
      </c>
      <c r="U8" s="665">
        <f t="shared" si="1"/>
        <v>100</v>
      </c>
      <c r="V8" s="664" t="s">
        <v>14</v>
      </c>
      <c r="W8" s="665">
        <f t="shared" si="2"/>
        <v>100</v>
      </c>
      <c r="X8" s="666"/>
      <c r="Y8" s="3466" t="s">
        <v>1683</v>
      </c>
      <c r="Z8" s="346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31" t="s">
        <v>1686</v>
      </c>
      <c r="Q9" s="530" t="str">
        <f t="shared" ref="Q9:Q14" si="6">B9</f>
        <v>用途</v>
      </c>
      <c r="R9" s="664" t="s">
        <v>14</v>
      </c>
      <c r="S9" s="665">
        <f t="shared" si="0"/>
        <v>100</v>
      </c>
      <c r="T9" s="664" t="s">
        <v>14</v>
      </c>
      <c r="U9" s="665">
        <f t="shared" si="1"/>
        <v>100</v>
      </c>
      <c r="V9" s="664" t="s">
        <v>14</v>
      </c>
      <c r="W9" s="665">
        <f t="shared" si="2"/>
        <v>100</v>
      </c>
      <c r="X9" s="666"/>
      <c r="Y9" s="3306"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31"/>
      <c r="Q10" s="530" t="str">
        <f t="shared" si="6"/>
        <v>土地使用年限（年）</v>
      </c>
      <c r="R10" s="664" t="s">
        <v>14</v>
      </c>
      <c r="S10" s="665">
        <f t="shared" si="0"/>
        <v>100</v>
      </c>
      <c r="T10" s="664" t="s">
        <v>14</v>
      </c>
      <c r="U10" s="665">
        <f t="shared" si="1"/>
        <v>100</v>
      </c>
      <c r="V10" s="664" t="s">
        <v>14</v>
      </c>
      <c r="W10" s="665">
        <f t="shared" si="2"/>
        <v>100</v>
      </c>
      <c r="X10" s="666"/>
      <c r="Y10" s="330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31"/>
      <c r="Q11" s="530">
        <f t="shared" si="6"/>
        <v>111</v>
      </c>
      <c r="R11" s="664" t="s">
        <v>14</v>
      </c>
      <c r="S11" s="665">
        <f t="shared" si="0"/>
        <v>100</v>
      </c>
      <c r="T11" s="664" t="s">
        <v>14</v>
      </c>
      <c r="U11" s="665">
        <f t="shared" si="1"/>
        <v>100</v>
      </c>
      <c r="V11" s="664" t="s">
        <v>14</v>
      </c>
      <c r="W11" s="665">
        <f t="shared" si="2"/>
        <v>100</v>
      </c>
      <c r="X11" s="666"/>
      <c r="Y11" s="330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31"/>
      <c r="Q12" s="530">
        <f t="shared" si="6"/>
        <v>111</v>
      </c>
      <c r="R12" s="664" t="s">
        <v>14</v>
      </c>
      <c r="S12" s="665">
        <f t="shared" si="0"/>
        <v>100</v>
      </c>
      <c r="T12" s="664" t="s">
        <v>14</v>
      </c>
      <c r="U12" s="665">
        <f t="shared" si="1"/>
        <v>100</v>
      </c>
      <c r="V12" s="664" t="s">
        <v>14</v>
      </c>
      <c r="W12" s="665">
        <f t="shared" si="2"/>
        <v>100</v>
      </c>
      <c r="X12" s="666"/>
      <c r="Y12" s="3306"/>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31"/>
      <c r="Q13" s="530">
        <f t="shared" si="6"/>
        <v>111</v>
      </c>
      <c r="R13" s="664" t="s">
        <v>14</v>
      </c>
      <c r="S13" s="665">
        <f t="shared" si="0"/>
        <v>100</v>
      </c>
      <c r="T13" s="664" t="s">
        <v>14</v>
      </c>
      <c r="U13" s="665">
        <f t="shared" si="1"/>
        <v>100</v>
      </c>
      <c r="V13" s="664" t="s">
        <v>14</v>
      </c>
      <c r="W13" s="665">
        <f t="shared" si="2"/>
        <v>100</v>
      </c>
      <c r="X13" s="666"/>
      <c r="Y13" s="3306"/>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33" t="s">
        <v>1691</v>
      </c>
      <c r="Q14" s="1263" t="str">
        <f t="shared" si="6"/>
        <v>交通便捷度</v>
      </c>
      <c r="R14" s="667" t="s">
        <v>14</v>
      </c>
      <c r="S14" s="668">
        <f t="shared" si="0"/>
        <v>100</v>
      </c>
      <c r="T14" s="667" t="s">
        <v>14</v>
      </c>
      <c r="U14" s="668">
        <f t="shared" si="1"/>
        <v>100</v>
      </c>
      <c r="V14" s="667" t="s">
        <v>14</v>
      </c>
      <c r="W14" s="668">
        <f t="shared" si="2"/>
        <v>100</v>
      </c>
      <c r="X14" s="1265"/>
      <c r="Y14" s="343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34"/>
      <c r="Q15" s="1263"/>
      <c r="R15" s="667"/>
      <c r="S15" s="668"/>
      <c r="T15" s="667"/>
      <c r="U15" s="668"/>
      <c r="V15" s="667"/>
      <c r="W15" s="668"/>
      <c r="X15" s="1265"/>
      <c r="Y15" s="3434"/>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34"/>
      <c r="Q16" s="1263" t="str">
        <f>B16</f>
        <v>公共配套设施</v>
      </c>
      <c r="R16" s="667" t="s">
        <v>14</v>
      </c>
      <c r="S16" s="668">
        <f>F16</f>
        <v>100</v>
      </c>
      <c r="T16" s="667" t="s">
        <v>14</v>
      </c>
      <c r="U16" s="668">
        <f>H16</f>
        <v>100</v>
      </c>
      <c r="V16" s="667" t="s">
        <v>14</v>
      </c>
      <c r="W16" s="668">
        <f>J16</f>
        <v>100</v>
      </c>
      <c r="X16" s="1265"/>
      <c r="Y16" s="343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34"/>
      <c r="Q17" s="1263"/>
      <c r="R17" s="667"/>
      <c r="S17" s="668"/>
      <c r="T17" s="667"/>
      <c r="U17" s="668"/>
      <c r="V17" s="667"/>
      <c r="W17" s="668"/>
      <c r="X17" s="1265"/>
      <c r="Y17" s="3434"/>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34"/>
      <c r="Q18" s="1263" t="str">
        <f>B18</f>
        <v>基础设施水平</v>
      </c>
      <c r="R18" s="667" t="s">
        <v>14</v>
      </c>
      <c r="S18" s="668">
        <f>F18</f>
        <v>100</v>
      </c>
      <c r="T18" s="667" t="s">
        <v>14</v>
      </c>
      <c r="U18" s="668">
        <f>H18</f>
        <v>100</v>
      </c>
      <c r="V18" s="667" t="s">
        <v>14</v>
      </c>
      <c r="W18" s="668">
        <f>J18</f>
        <v>100</v>
      </c>
      <c r="X18" s="1265"/>
      <c r="Y18" s="343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34"/>
      <c r="Q19" s="1263"/>
      <c r="R19" s="667"/>
      <c r="S19" s="668"/>
      <c r="T19" s="667"/>
      <c r="U19" s="668"/>
      <c r="V19" s="667"/>
      <c r="W19" s="668"/>
      <c r="X19" s="1265"/>
      <c r="Y19" s="3434"/>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34"/>
      <c r="Q20" s="1263" t="str">
        <f>B20</f>
        <v>自然及人文环境</v>
      </c>
      <c r="R20" s="667" t="s">
        <v>14</v>
      </c>
      <c r="S20" s="668">
        <f>F20</f>
        <v>100</v>
      </c>
      <c r="T20" s="667" t="s">
        <v>14</v>
      </c>
      <c r="U20" s="668">
        <f>H20</f>
        <v>100</v>
      </c>
      <c r="V20" s="667" t="s">
        <v>14</v>
      </c>
      <c r="W20" s="668">
        <f>J20</f>
        <v>100</v>
      </c>
      <c r="X20" s="1265"/>
      <c r="Y20" s="343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34"/>
      <c r="Q21" s="1263"/>
      <c r="R21" s="667"/>
      <c r="S21" s="668"/>
      <c r="T21" s="667"/>
      <c r="U21" s="668"/>
      <c r="V21" s="667"/>
      <c r="W21" s="668"/>
      <c r="X21" s="1265"/>
      <c r="Y21" s="343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34"/>
      <c r="Q22" s="1263" t="str">
        <f>B22</f>
        <v>楼层</v>
      </c>
      <c r="R22" s="667" t="s">
        <v>14</v>
      </c>
      <c r="S22" s="668">
        <f>F22</f>
        <v>100</v>
      </c>
      <c r="T22" s="667" t="s">
        <v>14</v>
      </c>
      <c r="U22" s="668">
        <f>H22</f>
        <v>100</v>
      </c>
      <c r="V22" s="667" t="s">
        <v>14</v>
      </c>
      <c r="W22" s="668">
        <f>J22</f>
        <v>100</v>
      </c>
      <c r="X22" s="1265"/>
      <c r="Y22" s="343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34"/>
      <c r="Q23" s="1263">
        <f>B23</f>
        <v>111</v>
      </c>
      <c r="R23" s="667" t="s">
        <v>14</v>
      </c>
      <c r="S23" s="668">
        <f>F23</f>
        <v>100</v>
      </c>
      <c r="T23" s="667" t="s">
        <v>14</v>
      </c>
      <c r="U23" s="668">
        <f>H23</f>
        <v>100</v>
      </c>
      <c r="V23" s="667" t="s">
        <v>14</v>
      </c>
      <c r="W23" s="668">
        <f>J23</f>
        <v>100</v>
      </c>
      <c r="X23" s="1265"/>
      <c r="Y23" s="343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34"/>
      <c r="Q24" s="1263">
        <f t="shared" ref="Q24:Q34" si="11">B24</f>
        <v>111</v>
      </c>
      <c r="R24" s="667" t="s">
        <v>14</v>
      </c>
      <c r="S24" s="668">
        <f>F24</f>
        <v>100</v>
      </c>
      <c r="T24" s="667" t="s">
        <v>14</v>
      </c>
      <c r="U24" s="668">
        <f>H24</f>
        <v>100</v>
      </c>
      <c r="V24" s="667" t="s">
        <v>14</v>
      </c>
      <c r="W24" s="668">
        <f>J24</f>
        <v>100</v>
      </c>
      <c r="X24" s="1265"/>
      <c r="Y24" s="3434"/>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34"/>
      <c r="Q25" s="530">
        <f t="shared" si="11"/>
        <v>111</v>
      </c>
      <c r="R25" s="664" t="s">
        <v>14</v>
      </c>
      <c r="S25" s="665">
        <f>F25</f>
        <v>100</v>
      </c>
      <c r="T25" s="664" t="s">
        <v>14</v>
      </c>
      <c r="U25" s="665">
        <f>H25</f>
        <v>100</v>
      </c>
      <c r="V25" s="664" t="s">
        <v>14</v>
      </c>
      <c r="W25" s="665">
        <f>J25</f>
        <v>100</v>
      </c>
      <c r="X25" s="666"/>
      <c r="Y25" s="3434"/>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8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8"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38"/>
      <c r="Q27" s="531" t="str">
        <f t="shared" si="11"/>
        <v>成新率</v>
      </c>
      <c r="R27" s="669" t="s">
        <v>14</v>
      </c>
      <c r="S27" s="670" t="e">
        <f t="shared" si="12"/>
        <v>#N/A</v>
      </c>
      <c r="T27" s="669" t="s">
        <v>14</v>
      </c>
      <c r="U27" s="670" t="e">
        <f t="shared" si="13"/>
        <v>#N/A</v>
      </c>
      <c r="V27" s="669" t="s">
        <v>14</v>
      </c>
      <c r="W27" s="670" t="e">
        <f t="shared" si="14"/>
        <v>#N/A</v>
      </c>
      <c r="X27" s="671"/>
      <c r="Y27" s="3438"/>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38"/>
      <c r="Q28" s="1263" t="str">
        <f t="shared" si="11"/>
        <v>物业等级</v>
      </c>
      <c r="R28" s="667" t="s">
        <v>14</v>
      </c>
      <c r="S28" s="668">
        <f t="shared" si="12"/>
        <v>100</v>
      </c>
      <c r="T28" s="667" t="s">
        <v>14</v>
      </c>
      <c r="U28" s="668">
        <f t="shared" si="13"/>
        <v>100</v>
      </c>
      <c r="V28" s="667" t="s">
        <v>14</v>
      </c>
      <c r="W28" s="668">
        <f t="shared" si="14"/>
        <v>100</v>
      </c>
      <c r="X28" s="1265"/>
      <c r="Y28" s="3438"/>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38"/>
      <c r="Q29" s="1263" t="str">
        <f t="shared" si="11"/>
        <v>有无电梯</v>
      </c>
      <c r="R29" s="667" t="s">
        <v>14</v>
      </c>
      <c r="S29" s="668">
        <f t="shared" si="12"/>
        <v>100</v>
      </c>
      <c r="T29" s="667" t="s">
        <v>14</v>
      </c>
      <c r="U29" s="668">
        <f t="shared" si="13"/>
        <v>100</v>
      </c>
      <c r="V29" s="667" t="s">
        <v>14</v>
      </c>
      <c r="W29" s="668">
        <f t="shared" si="14"/>
        <v>100</v>
      </c>
      <c r="X29" s="1265"/>
      <c r="Y29" s="3438"/>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38"/>
      <c r="Q30" s="1263" t="str">
        <f t="shared" si="11"/>
        <v>建筑面积</v>
      </c>
      <c r="R30" s="667" t="s">
        <v>14</v>
      </c>
      <c r="S30" s="668" t="e">
        <f t="shared" si="12"/>
        <v>#N/A</v>
      </c>
      <c r="T30" s="667" t="s">
        <v>14</v>
      </c>
      <c r="U30" s="668" t="e">
        <f t="shared" si="13"/>
        <v>#N/A</v>
      </c>
      <c r="V30" s="667" t="s">
        <v>14</v>
      </c>
      <c r="W30" s="668" t="e">
        <f t="shared" si="14"/>
        <v>#N/A</v>
      </c>
      <c r="X30" s="1265"/>
      <c r="Y30" s="3438"/>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38"/>
      <c r="Q31" s="530" t="str">
        <f t="shared" si="11"/>
        <v>是否封闭</v>
      </c>
      <c r="R31" s="664" t="s">
        <v>14</v>
      </c>
      <c r="S31" s="665">
        <f t="shared" si="12"/>
        <v>100</v>
      </c>
      <c r="T31" s="664" t="s">
        <v>14</v>
      </c>
      <c r="U31" s="665">
        <f t="shared" si="13"/>
        <v>100</v>
      </c>
      <c r="V31" s="664" t="s">
        <v>14</v>
      </c>
      <c r="W31" s="665">
        <f t="shared" si="14"/>
        <v>100</v>
      </c>
      <c r="X31" s="666"/>
      <c r="Y31" s="343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38" t="s">
        <v>1696</v>
      </c>
      <c r="Q32" s="1263">
        <f t="shared" si="11"/>
        <v>111</v>
      </c>
      <c r="R32" s="667" t="s">
        <v>14</v>
      </c>
      <c r="S32" s="668">
        <f t="shared" si="12"/>
        <v>100</v>
      </c>
      <c r="T32" s="667" t="s">
        <v>14</v>
      </c>
      <c r="U32" s="668">
        <f t="shared" si="13"/>
        <v>100</v>
      </c>
      <c r="V32" s="667" t="s">
        <v>14</v>
      </c>
      <c r="W32" s="668">
        <f t="shared" si="14"/>
        <v>100</v>
      </c>
      <c r="X32" s="1265"/>
      <c r="Y32" s="3438"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38"/>
      <c r="Q33" s="1263">
        <f t="shared" si="11"/>
        <v>111</v>
      </c>
      <c r="R33" s="667" t="s">
        <v>14</v>
      </c>
      <c r="S33" s="668">
        <f t="shared" si="12"/>
        <v>100</v>
      </c>
      <c r="T33" s="667" t="s">
        <v>14</v>
      </c>
      <c r="U33" s="668">
        <f t="shared" si="13"/>
        <v>100</v>
      </c>
      <c r="V33" s="667" t="s">
        <v>14</v>
      </c>
      <c r="W33" s="668">
        <f t="shared" si="14"/>
        <v>100</v>
      </c>
      <c r="X33" s="1265"/>
      <c r="Y33" s="3438"/>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38"/>
      <c r="Q34" s="1263">
        <f t="shared" si="11"/>
        <v>111</v>
      </c>
      <c r="R34" s="667" t="s">
        <v>14</v>
      </c>
      <c r="S34" s="668">
        <f t="shared" si="12"/>
        <v>100</v>
      </c>
      <c r="T34" s="667" t="s">
        <v>14</v>
      </c>
      <c r="U34" s="668">
        <f t="shared" si="13"/>
        <v>100</v>
      </c>
      <c r="V34" s="667" t="s">
        <v>14</v>
      </c>
      <c r="W34" s="668">
        <f t="shared" si="14"/>
        <v>100</v>
      </c>
      <c r="X34" s="1265"/>
      <c r="Y34" s="3438"/>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31" t="str">
        <f>A35</f>
        <v>成交单价（元/平方米）</v>
      </c>
      <c r="Q35" s="3431"/>
      <c r="R35" s="3432">
        <f>E35</f>
        <v>0</v>
      </c>
      <c r="S35" s="3432"/>
      <c r="T35" s="3432">
        <f>G35</f>
        <v>0</v>
      </c>
      <c r="U35" s="3432"/>
      <c r="V35" s="3432">
        <f>I35</f>
        <v>0</v>
      </c>
      <c r="W35" s="3432"/>
      <c r="X35" s="385"/>
      <c r="Y35" s="673"/>
      <c r="Z35" s="385"/>
      <c r="AA35" s="385"/>
      <c r="AB35" s="385"/>
      <c r="AC35" s="385"/>
    </row>
    <row r="36" spans="1:30" ht="15.75" thickBot="1">
      <c r="A36" s="423" t="s">
        <v>1793</v>
      </c>
      <c r="B36" s="424"/>
      <c r="C36" s="1082" t="e">
        <f>R37</f>
        <v>#N/A</v>
      </c>
      <c r="D36" s="2141" t="s">
        <v>2138</v>
      </c>
      <c r="E36" s="1083" t="e">
        <f>R36</f>
        <v>#N/A</v>
      </c>
      <c r="F36" s="2142"/>
      <c r="G36" s="1082" t="e">
        <f>T36</f>
        <v>#N/A</v>
      </c>
      <c r="H36" s="2142"/>
      <c r="I36" s="1083" t="e">
        <f>V36</f>
        <v>#N/A</v>
      </c>
      <c r="J36" s="2142"/>
      <c r="K36" s="2144">
        <f>F36+H36+J36</f>
        <v>0</v>
      </c>
      <c r="L36" s="2495"/>
      <c r="M36" s="2488"/>
      <c r="N36" s="2488"/>
      <c r="O36" s="2488"/>
      <c r="P36" s="3431" t="str">
        <f>A36</f>
        <v>比较价值（元/平方米）</v>
      </c>
      <c r="Q36" s="3431"/>
      <c r="R36" s="3432" t="e">
        <f>IF(F1="售价",ROUND(PRODUCT(R35,AA7:AA34),0),ROUND(PRODUCT(R35,AA7:AA34),1))</f>
        <v>#N/A</v>
      </c>
      <c r="S36" s="3432"/>
      <c r="T36" s="3432" t="e">
        <f>IF(F1="售价",ROUND(PRODUCT(T35,AB7:AB34),0),ROUND(PRODUCT(T35,AB7:AB34),1))</f>
        <v>#N/A</v>
      </c>
      <c r="U36" s="3432"/>
      <c r="V36" s="3432" t="e">
        <f>IF(F1="售价",ROUND(PRODUCT(V35,AC7:AC34),0),ROUND(PRODUCT(V35,AC7:AC34),1))</f>
        <v>#N/A</v>
      </c>
      <c r="W36" s="3432"/>
      <c r="X36" s="385"/>
      <c r="Y36" s="385"/>
      <c r="Z36" s="385"/>
      <c r="AA36" s="385"/>
      <c r="AB36" s="385"/>
      <c r="AC36" s="385"/>
    </row>
    <row r="37" spans="1:30" ht="15.75" thickBot="1">
      <c r="A37" s="427" t="s">
        <v>1794</v>
      </c>
      <c r="B37" s="428"/>
      <c r="C37" s="351" t="e">
        <f>R37</f>
        <v>#N/A</v>
      </c>
      <c r="D37" s="351"/>
      <c r="E37" s="351"/>
      <c r="F37" s="351"/>
      <c r="G37" s="351"/>
      <c r="H37" s="351"/>
      <c r="I37" s="351"/>
      <c r="J37" s="351"/>
      <c r="K37" s="675"/>
      <c r="L37" s="2495"/>
      <c r="M37" s="2488"/>
      <c r="N37" s="2488"/>
      <c r="O37" s="2488"/>
      <c r="P37" s="3428" t="str">
        <f>A37</f>
        <v>估价对象XX用房的比较价值（楼面单价，元/平方米）</v>
      </c>
      <c r="Q37" s="3429"/>
      <c r="R37" s="3489" t="e">
        <f>IF(F1="售价",ROUND(IF(D36="简单平均",AVERAGE(R36:W36),R36*F36+T36*H36+V36*J36),0),ROUND(IF(D36="简单平均",AVERAGE(R36:V36),R36*F36+T36*H36+V36*J36),1))</f>
        <v>#N/A</v>
      </c>
      <c r="S37" s="3489"/>
      <c r="T37" s="3489"/>
      <c r="U37" s="3489"/>
      <c r="V37" s="3489"/>
      <c r="W37" s="3489"/>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#N/A</v>
      </c>
      <c r="F40" s="435" t="e">
        <f>IF(OR(E40&gt;=0.3,E40&lt;=-0.3),"超过30%","")</f>
        <v>#N/A</v>
      </c>
      <c r="G40" s="434" t="e">
        <f>IF(G35&lt;G36,G36/G35-1,G35/G36-1)</f>
        <v>#N/A</v>
      </c>
      <c r="H40" s="435" t="e">
        <f>IF(OR(G40&gt;=0.3,G40&lt;=-0.3),"超过30%","")</f>
        <v>#N/A</v>
      </c>
      <c r="I40" s="434" t="e">
        <f>IF(I35&lt;I36,I36/I35-1,I35/I36-1)</f>
        <v>#N/A</v>
      </c>
      <c r="J40" s="435" t="e">
        <f>IF(OR(I40&gt;=0.3,I40&lt;=-0.3),"超过30%","")</f>
        <v>#N/A</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#N/A</v>
      </c>
      <c r="F41" s="435" t="e">
        <f>IF(OR(E41&gt;=0.2,E41&lt;=-0.2),"超过20%","")</f>
        <v>#N/A</v>
      </c>
      <c r="G41" s="434" t="e">
        <f>IF(G36&lt;I36,I36/G36-1,G36/I36-1)</f>
        <v>#N/A</v>
      </c>
      <c r="H41" s="435" t="e">
        <f>IF(OR(G41&gt;=0.2,G41&lt;=-0.2),"超过20%","")</f>
        <v>#N/A</v>
      </c>
      <c r="I41" s="434" t="e">
        <f>IF(I36&lt;E36,E36/I36-1,I36/E36-1)</f>
        <v>#N/A</v>
      </c>
      <c r="J41" s="435" t="e">
        <f>IF(OR(I41&gt;=0.2,I41&lt;=-0.2),"超过20%","")</f>
        <v>#N/A</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1900-1</v>
      </c>
      <c r="D46" s="1104" t="e">
        <f>EDATE(C46,-1)</f>
        <v>#NUM!</v>
      </c>
      <c r="E46" s="1104" t="e">
        <f t="shared" ref="E46:O46" si="16">EDATE(D46,-1)</f>
        <v>#NUM!</v>
      </c>
      <c r="F46" s="1104" t="e">
        <f t="shared" si="16"/>
        <v>#NUM!</v>
      </c>
      <c r="G46" s="1104" t="e">
        <f t="shared" si="16"/>
        <v>#NUM!</v>
      </c>
      <c r="H46" s="1104" t="e">
        <f t="shared" si="16"/>
        <v>#NUM!</v>
      </c>
      <c r="I46" s="1104" t="e">
        <f t="shared" si="16"/>
        <v>#NUM!</v>
      </c>
      <c r="J46" s="1104" t="e">
        <f t="shared" si="16"/>
        <v>#NUM!</v>
      </c>
      <c r="K46" s="1104" t="e">
        <f t="shared" si="16"/>
        <v>#NUM!</v>
      </c>
      <c r="L46" s="1104" t="e">
        <f t="shared" si="16"/>
        <v>#NUM!</v>
      </c>
      <c r="M46" s="1104" t="e">
        <f t="shared" si="16"/>
        <v>#NUM!</v>
      </c>
      <c r="N46" s="1104" t="e">
        <f t="shared" si="16"/>
        <v>#NUM!</v>
      </c>
      <c r="O46" s="1104" t="e">
        <f t="shared" si="16"/>
        <v>#NUM!</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90" priority="13" stopIfTrue="1">
      <formula>$F$40="超过30%"</formula>
    </cfRule>
  </conditionalFormatting>
  <conditionalFormatting sqref="E41">
    <cfRule type="expression" dxfId="89" priority="11" stopIfTrue="1">
      <formula>$F$41="超过20%"</formula>
    </cfRule>
  </conditionalFormatting>
  <conditionalFormatting sqref="E42">
    <cfRule type="expression" dxfId="88" priority="10" stopIfTrue="1">
      <formula>$F$42="超过30%"</formula>
    </cfRule>
  </conditionalFormatting>
  <conditionalFormatting sqref="F7:F34 H7:H34 J7:J34">
    <cfRule type="cellIs" dxfId="87" priority="1" operator="notEqual">
      <formula>100</formula>
    </cfRule>
  </conditionalFormatting>
  <conditionalFormatting sqref="F36">
    <cfRule type="expression" dxfId="86" priority="4">
      <formula>$D$36="简单平均"</formula>
    </cfRule>
  </conditionalFormatting>
  <conditionalFormatting sqref="F40:F42 H40:H42 J40:J42">
    <cfRule type="containsText" dxfId="85" priority="14" stopIfTrue="1" operator="containsText" text="超过">
      <formula>NOT(ISERROR(SEARCH("超过",F40)))</formula>
    </cfRule>
  </conditionalFormatting>
  <conditionalFormatting sqref="G40">
    <cfRule type="expression" dxfId="84" priority="9" stopIfTrue="1">
      <formula>$H$52+$H$40="超过30%"</formula>
    </cfRule>
  </conditionalFormatting>
  <conditionalFormatting sqref="G41">
    <cfRule type="expression" dxfId="83" priority="8" stopIfTrue="1">
      <formula>$H$53+$H$41="超过20%"</formula>
    </cfRule>
  </conditionalFormatting>
  <conditionalFormatting sqref="G42">
    <cfRule type="expression" dxfId="82" priority="12" stopIfTrue="1">
      <formula>$H$54+$H$42="超过30%"</formula>
    </cfRule>
  </conditionalFormatting>
  <conditionalFormatting sqref="H36">
    <cfRule type="expression" dxfId="81" priority="3">
      <formula>$D$36="简单平均"</formula>
    </cfRule>
  </conditionalFormatting>
  <conditionalFormatting sqref="I40">
    <cfRule type="expression" dxfId="80" priority="7" stopIfTrue="1">
      <formula>$J$40="超过30%"</formula>
    </cfRule>
  </conditionalFormatting>
  <conditionalFormatting sqref="I41">
    <cfRule type="expression" dxfId="79" priority="6" stopIfTrue="1">
      <formula>$J$41="超过20%"</formula>
    </cfRule>
  </conditionalFormatting>
  <conditionalFormatting sqref="I42">
    <cfRule type="expression" dxfId="78" priority="5" stopIfTrue="1">
      <formula>$J$42="超过30%"</formula>
    </cfRule>
  </conditionalFormatting>
  <conditionalFormatting sqref="J36">
    <cfRule type="expression" dxfId="77"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46" t="s">
        <v>1770</v>
      </c>
      <c r="D4" s="3447"/>
      <c r="E4" s="3448" t="s">
        <v>1771</v>
      </c>
      <c r="F4" s="3449"/>
      <c r="G4" s="3446" t="s">
        <v>1772</v>
      </c>
      <c r="H4" s="3447"/>
      <c r="I4" s="3446" t="s">
        <v>1773</v>
      </c>
      <c r="J4" s="3447"/>
      <c r="K4" s="537" t="s">
        <v>1774</v>
      </c>
      <c r="L4" s="2487"/>
      <c r="M4" s="2488"/>
      <c r="N4" s="2488"/>
      <c r="O4" s="2488"/>
      <c r="P4" s="3450" t="s">
        <v>1775</v>
      </c>
      <c r="Q4" s="3451"/>
      <c r="R4" s="3456" t="s">
        <v>1771</v>
      </c>
      <c r="S4" s="3457"/>
      <c r="T4" s="3456" t="s">
        <v>1772</v>
      </c>
      <c r="U4" s="3457"/>
      <c r="V4" s="3432" t="s">
        <v>1773</v>
      </c>
      <c r="W4" s="3432"/>
      <c r="X4" s="1265"/>
      <c r="Y4" s="3456" t="s">
        <v>1775</v>
      </c>
      <c r="Z4" s="3457"/>
      <c r="AA4" s="3443" t="s">
        <v>1771</v>
      </c>
      <c r="AB4" s="3444" t="s">
        <v>1772</v>
      </c>
      <c r="AC4" s="3443" t="s">
        <v>1773</v>
      </c>
    </row>
    <row r="5" spans="1:29" ht="15">
      <c r="A5" s="348"/>
      <c r="B5" s="349"/>
      <c r="C5" s="3464" t="s">
        <v>1673</v>
      </c>
      <c r="D5" s="3465"/>
      <c r="E5" s="3471" t="s">
        <v>1674</v>
      </c>
      <c r="F5" s="3472"/>
      <c r="G5" s="3464" t="s">
        <v>1675</v>
      </c>
      <c r="H5" s="3465"/>
      <c r="I5" s="3464" t="s">
        <v>1676</v>
      </c>
      <c r="J5" s="3465"/>
      <c r="K5" s="537"/>
      <c r="L5" s="2487"/>
      <c r="M5" s="2488"/>
      <c r="N5" s="2488"/>
      <c r="O5" s="2488"/>
      <c r="P5" s="3452"/>
      <c r="Q5" s="3453"/>
      <c r="R5" s="3458"/>
      <c r="S5" s="3459"/>
      <c r="T5" s="3458"/>
      <c r="U5" s="3459"/>
      <c r="V5" s="3432"/>
      <c r="W5" s="3432"/>
      <c r="X5" s="1265"/>
      <c r="Y5" s="3458"/>
      <c r="Z5" s="3459"/>
      <c r="AA5" s="3444"/>
      <c r="AB5" s="3444"/>
      <c r="AC5" s="3444"/>
    </row>
    <row r="6" spans="1:29" ht="15.75" thickBot="1">
      <c r="A6" s="350"/>
      <c r="B6" s="351"/>
      <c r="C6" s="3462" t="s">
        <v>1677</v>
      </c>
      <c r="D6" s="3463"/>
      <c r="E6" s="3469" t="s">
        <v>1677</v>
      </c>
      <c r="F6" s="3470"/>
      <c r="G6" s="3462" t="s">
        <v>1677</v>
      </c>
      <c r="H6" s="3463"/>
      <c r="I6" s="3462" t="s">
        <v>1677</v>
      </c>
      <c r="J6" s="3463"/>
      <c r="K6" s="537" t="s">
        <v>1678</v>
      </c>
      <c r="L6" s="2487"/>
      <c r="M6" s="2488"/>
      <c r="N6" s="2488"/>
      <c r="O6" s="2488"/>
      <c r="P6" s="3454"/>
      <c r="Q6" s="3455"/>
      <c r="R6" s="3458"/>
      <c r="S6" s="3459"/>
      <c r="T6" s="3460"/>
      <c r="U6" s="3461"/>
      <c r="V6" s="3432"/>
      <c r="W6" s="3432"/>
      <c r="X6" s="1265"/>
      <c r="Y6" s="3460"/>
      <c r="Z6" s="3461"/>
      <c r="AA6" s="3445"/>
      <c r="AB6" s="3445"/>
      <c r="AC6" s="3445"/>
    </row>
    <row r="7" spans="1:29" s="102" customFormat="1" ht="15.75" thickBot="1">
      <c r="A7" s="352" t="s">
        <v>1679</v>
      </c>
      <c r="B7" s="353"/>
      <c r="C7" s="354">
        <f>'数据-取费表'!B2</f>
        <v>0</v>
      </c>
      <c r="D7" s="355">
        <v>100</v>
      </c>
      <c r="E7" s="356"/>
      <c r="F7" s="357">
        <f>SUMIF(69:69,YEAR(E7)&amp;"-"&amp;INT((MONTH(E7)+2)/3),70:70)</f>
        <v>100</v>
      </c>
      <c r="G7" s="1822"/>
      <c r="H7" s="355">
        <f>SUMIF(69:69,YEAR(G7)&amp;"-"&amp;INT((MONTH(G7)+2)/3),70:70)</f>
        <v>100</v>
      </c>
      <c r="I7" s="1822"/>
      <c r="J7" s="355">
        <f>SUMIF(69:69,YEAR(I7)&amp;"-"&amp;INT((MONTH(I7)+2)/3),70:70)</f>
        <v>100</v>
      </c>
      <c r="K7" s="38"/>
      <c r="L7" s="2489"/>
      <c r="M7" s="2440"/>
      <c r="N7" s="2440"/>
      <c r="O7" s="2440"/>
      <c r="P7" s="3466" t="s">
        <v>1680</v>
      </c>
      <c r="Q7" s="3468"/>
      <c r="R7" s="664" t="s">
        <v>14</v>
      </c>
      <c r="S7" s="665">
        <f t="shared" ref="S7:S15" si="0">F7</f>
        <v>100</v>
      </c>
      <c r="T7" s="664" t="s">
        <v>14</v>
      </c>
      <c r="U7" s="665">
        <f t="shared" ref="U7:U15" si="1">H7</f>
        <v>100</v>
      </c>
      <c r="V7" s="664" t="s">
        <v>14</v>
      </c>
      <c r="W7" s="665">
        <f t="shared" ref="W7:W15" si="2">J7</f>
        <v>100</v>
      </c>
      <c r="X7" s="666"/>
      <c r="Y7" s="3466" t="s">
        <v>1680</v>
      </c>
      <c r="Z7" s="3467"/>
      <c r="AA7" s="50">
        <f>D7/F7</f>
        <v>1</v>
      </c>
      <c r="AB7" s="50">
        <f>D7/H7</f>
        <v>1</v>
      </c>
      <c r="AC7" s="50">
        <f>D7/J7</f>
        <v>1</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66" t="s">
        <v>1683</v>
      </c>
      <c r="Q8" s="3467"/>
      <c r="R8" s="664" t="s">
        <v>14</v>
      </c>
      <c r="S8" s="665">
        <f t="shared" si="0"/>
        <v>0</v>
      </c>
      <c r="T8" s="664" t="s">
        <v>14</v>
      </c>
      <c r="U8" s="665">
        <f t="shared" si="1"/>
        <v>0</v>
      </c>
      <c r="V8" s="664" t="s">
        <v>14</v>
      </c>
      <c r="W8" s="665">
        <f t="shared" si="2"/>
        <v>0</v>
      </c>
      <c r="X8" s="666"/>
      <c r="Y8" s="3466" t="s">
        <v>1683</v>
      </c>
      <c r="Z8" s="3467"/>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31" t="s">
        <v>1686</v>
      </c>
      <c r="Q9" s="530" t="str">
        <f t="shared" ref="Q9:Q15" si="6">B9</f>
        <v>用途</v>
      </c>
      <c r="R9" s="664" t="s">
        <v>14</v>
      </c>
      <c r="S9" s="665">
        <f t="shared" si="0"/>
        <v>100</v>
      </c>
      <c r="T9" s="664" t="s">
        <v>14</v>
      </c>
      <c r="U9" s="665">
        <f t="shared" si="1"/>
        <v>100</v>
      </c>
      <c r="V9" s="664" t="s">
        <v>14</v>
      </c>
      <c r="W9" s="665">
        <f t="shared" si="2"/>
        <v>100</v>
      </c>
      <c r="X9" s="666"/>
      <c r="Y9" s="330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90"/>
      <c r="M10" s="2491"/>
      <c r="N10" s="2491"/>
      <c r="O10" s="2542"/>
      <c r="P10" s="3431"/>
      <c r="Q10" s="530" t="str">
        <f t="shared" si="6"/>
        <v>土地使用年限（年）</v>
      </c>
      <c r="R10" s="664" t="s">
        <v>14</v>
      </c>
      <c r="S10" s="665" t="e">
        <f t="shared" si="0"/>
        <v>#DIV/0!</v>
      </c>
      <c r="T10" s="664" t="s">
        <v>14</v>
      </c>
      <c r="U10" s="665" t="e">
        <f t="shared" si="1"/>
        <v>#DIV/0!</v>
      </c>
      <c r="V10" s="664" t="s">
        <v>14</v>
      </c>
      <c r="W10" s="665" t="e">
        <f t="shared" si="2"/>
        <v>#DIV/0!</v>
      </c>
      <c r="X10" s="666"/>
      <c r="Y10" s="3306"/>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31"/>
      <c r="Q11" s="530" t="str">
        <f t="shared" si="6"/>
        <v>容积率</v>
      </c>
      <c r="R11" s="664" t="s">
        <v>14</v>
      </c>
      <c r="S11" s="665" t="e">
        <f t="shared" si="0"/>
        <v>#N/A</v>
      </c>
      <c r="T11" s="664" t="s">
        <v>14</v>
      </c>
      <c r="U11" s="665" t="e">
        <f t="shared" si="1"/>
        <v>#N/A</v>
      </c>
      <c r="V11" s="664" t="s">
        <v>14</v>
      </c>
      <c r="W11" s="665" t="e">
        <f t="shared" si="2"/>
        <v>#N/A</v>
      </c>
      <c r="X11" s="666"/>
      <c r="Y11" s="330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31"/>
      <c r="Q12" s="530" t="str">
        <f t="shared" si="6"/>
        <v>配建</v>
      </c>
      <c r="R12" s="664" t="s">
        <v>14</v>
      </c>
      <c r="S12" s="665">
        <f t="shared" si="0"/>
        <v>100</v>
      </c>
      <c r="T12" s="664" t="s">
        <v>14</v>
      </c>
      <c r="U12" s="665">
        <f t="shared" si="1"/>
        <v>100</v>
      </c>
      <c r="V12" s="664" t="s">
        <v>14</v>
      </c>
      <c r="W12" s="665">
        <f t="shared" si="2"/>
        <v>100</v>
      </c>
      <c r="X12" s="666"/>
      <c r="Y12" s="330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31"/>
      <c r="Q13" s="530">
        <f t="shared" si="6"/>
        <v>111</v>
      </c>
      <c r="R13" s="664" t="s">
        <v>14</v>
      </c>
      <c r="S13" s="665">
        <f t="shared" si="0"/>
        <v>100</v>
      </c>
      <c r="T13" s="664" t="s">
        <v>14</v>
      </c>
      <c r="U13" s="665">
        <f t="shared" si="1"/>
        <v>100</v>
      </c>
      <c r="V13" s="664" t="s">
        <v>14</v>
      </c>
      <c r="W13" s="665">
        <f t="shared" si="2"/>
        <v>100</v>
      </c>
      <c r="X13" s="666"/>
      <c r="Y13" s="3306"/>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31"/>
      <c r="Q14" s="530">
        <f t="shared" si="6"/>
        <v>111</v>
      </c>
      <c r="R14" s="664" t="s">
        <v>14</v>
      </c>
      <c r="S14" s="665">
        <f t="shared" si="0"/>
        <v>100</v>
      </c>
      <c r="T14" s="664" t="s">
        <v>14</v>
      </c>
      <c r="U14" s="665">
        <f t="shared" si="1"/>
        <v>100</v>
      </c>
      <c r="V14" s="664" t="s">
        <v>14</v>
      </c>
      <c r="W14" s="665">
        <f t="shared" si="2"/>
        <v>100</v>
      </c>
      <c r="X14" s="666"/>
      <c r="Y14" s="3306"/>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33" t="s">
        <v>1691</v>
      </c>
      <c r="Q15" s="1263" t="str">
        <f t="shared" si="6"/>
        <v>居住社区成熟度</v>
      </c>
      <c r="R15" s="667" t="s">
        <v>14</v>
      </c>
      <c r="S15" s="668">
        <f t="shared" si="0"/>
        <v>100</v>
      </c>
      <c r="T15" s="667" t="s">
        <v>14</v>
      </c>
      <c r="U15" s="668">
        <f t="shared" si="1"/>
        <v>100</v>
      </c>
      <c r="V15" s="667" t="s">
        <v>14</v>
      </c>
      <c r="W15" s="668">
        <f t="shared" si="2"/>
        <v>100</v>
      </c>
      <c r="X15" s="1265"/>
      <c r="Y15" s="343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34"/>
      <c r="Q16" s="1263"/>
      <c r="R16" s="667"/>
      <c r="S16" s="668"/>
      <c r="T16" s="667"/>
      <c r="U16" s="668"/>
      <c r="V16" s="667"/>
      <c r="W16" s="668"/>
      <c r="X16" s="1265"/>
      <c r="Y16" s="3434"/>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34"/>
      <c r="Q17" s="1263" t="str">
        <f>B17</f>
        <v>商业繁华度</v>
      </c>
      <c r="R17" s="667" t="s">
        <v>14</v>
      </c>
      <c r="S17" s="668">
        <f>F17</f>
        <v>100</v>
      </c>
      <c r="T17" s="667" t="s">
        <v>14</v>
      </c>
      <c r="U17" s="668">
        <f>H17</f>
        <v>100</v>
      </c>
      <c r="V17" s="667" t="s">
        <v>14</v>
      </c>
      <c r="W17" s="668">
        <f>J17</f>
        <v>100</v>
      </c>
      <c r="X17" s="1265"/>
      <c r="Y17" s="343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34"/>
      <c r="Q18" s="1263"/>
      <c r="R18" s="667"/>
      <c r="S18" s="668"/>
      <c r="T18" s="667"/>
      <c r="U18" s="668"/>
      <c r="V18" s="667"/>
      <c r="W18" s="668"/>
      <c r="X18" s="1265"/>
      <c r="Y18" s="3434"/>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34"/>
      <c r="Q19" s="1263" t="str">
        <f>B19</f>
        <v>办公集聚程度</v>
      </c>
      <c r="R19" s="667" t="s">
        <v>14</v>
      </c>
      <c r="S19" s="668">
        <f>F19</f>
        <v>100</v>
      </c>
      <c r="T19" s="667" t="s">
        <v>14</v>
      </c>
      <c r="U19" s="668">
        <f>H19</f>
        <v>100</v>
      </c>
      <c r="V19" s="667" t="s">
        <v>14</v>
      </c>
      <c r="W19" s="668">
        <f>J19</f>
        <v>100</v>
      </c>
      <c r="X19" s="1265"/>
      <c r="Y19" s="343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34"/>
      <c r="Q20" s="1263"/>
      <c r="R20" s="667"/>
      <c r="S20" s="668"/>
      <c r="T20" s="667"/>
      <c r="U20" s="668"/>
      <c r="V20" s="667"/>
      <c r="W20" s="668"/>
      <c r="X20" s="1265"/>
      <c r="Y20" s="3434"/>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34"/>
      <c r="Q21" s="1263" t="str">
        <f>B21</f>
        <v>交通便捷度</v>
      </c>
      <c r="R21" s="667" t="s">
        <v>14</v>
      </c>
      <c r="S21" s="668">
        <f>F21</f>
        <v>100</v>
      </c>
      <c r="T21" s="667" t="s">
        <v>14</v>
      </c>
      <c r="U21" s="668">
        <f>H21</f>
        <v>100</v>
      </c>
      <c r="V21" s="667" t="s">
        <v>14</v>
      </c>
      <c r="W21" s="668">
        <f>J21</f>
        <v>100</v>
      </c>
      <c r="X21" s="1265"/>
      <c r="Y21" s="343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34"/>
      <c r="Q22" s="1263"/>
      <c r="R22" s="667"/>
      <c r="S22" s="668"/>
      <c r="T22" s="667"/>
      <c r="U22" s="668"/>
      <c r="V22" s="667"/>
      <c r="W22" s="668"/>
      <c r="X22" s="1265"/>
      <c r="Y22" s="3434"/>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34"/>
      <c r="Q23" s="1263" t="str">
        <f t="shared" ref="Q23:Q37" si="8">B23</f>
        <v>区域土地利用方向</v>
      </c>
      <c r="R23" s="667" t="s">
        <v>14</v>
      </c>
      <c r="S23" s="668">
        <f>F23</f>
        <v>100</v>
      </c>
      <c r="T23" s="667" t="s">
        <v>14</v>
      </c>
      <c r="U23" s="668">
        <f>H23</f>
        <v>100</v>
      </c>
      <c r="V23" s="667" t="s">
        <v>14</v>
      </c>
      <c r="W23" s="668">
        <f>J23</f>
        <v>100</v>
      </c>
      <c r="X23" s="1265"/>
      <c r="Y23" s="343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34"/>
      <c r="Q24" s="1263"/>
      <c r="R24" s="667"/>
      <c r="S24" s="668"/>
      <c r="T24" s="667"/>
      <c r="U24" s="668"/>
      <c r="V24" s="667"/>
      <c r="W24" s="668"/>
      <c r="X24" s="1265"/>
      <c r="Y24" s="3434"/>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34"/>
      <c r="Q25" s="1263" t="str">
        <f t="shared" si="8"/>
        <v>自然及人文环境状况</v>
      </c>
      <c r="R25" s="667" t="s">
        <v>14</v>
      </c>
      <c r="S25" s="668">
        <f>F25</f>
        <v>100</v>
      </c>
      <c r="T25" s="667" t="s">
        <v>14</v>
      </c>
      <c r="U25" s="668">
        <f>H25</f>
        <v>100</v>
      </c>
      <c r="V25" s="667" t="s">
        <v>14</v>
      </c>
      <c r="W25" s="668">
        <f>J25</f>
        <v>100</v>
      </c>
      <c r="X25" s="1265"/>
      <c r="Y25" s="343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34"/>
      <c r="Q26" s="1263"/>
      <c r="R26" s="667"/>
      <c r="S26" s="668"/>
      <c r="T26" s="667"/>
      <c r="U26" s="668"/>
      <c r="V26" s="667"/>
      <c r="W26" s="668"/>
      <c r="X26" s="1265"/>
      <c r="Y26" s="3434"/>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34"/>
      <c r="Q27" s="530" t="str">
        <f t="shared" si="8"/>
        <v>公共配套设施</v>
      </c>
      <c r="R27" s="664" t="s">
        <v>14</v>
      </c>
      <c r="S27" s="665">
        <f>F27</f>
        <v>100</v>
      </c>
      <c r="T27" s="664" t="s">
        <v>14</v>
      </c>
      <c r="U27" s="665">
        <f>H27</f>
        <v>100</v>
      </c>
      <c r="V27" s="664" t="s">
        <v>14</v>
      </c>
      <c r="W27" s="665">
        <f>J27</f>
        <v>100</v>
      </c>
      <c r="X27" s="666"/>
      <c r="Y27" s="343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34"/>
      <c r="Q28" s="530"/>
      <c r="R28" s="664"/>
      <c r="S28" s="665"/>
      <c r="T28" s="664"/>
      <c r="U28" s="665"/>
      <c r="V28" s="664"/>
      <c r="W28" s="665"/>
      <c r="X28" s="666"/>
      <c r="Y28" s="3434"/>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34"/>
      <c r="Q29" s="530" t="str">
        <f t="shared" ref="Q29" si="9">B29</f>
        <v>基础设施水平</v>
      </c>
      <c r="R29" s="664" t="s">
        <v>14</v>
      </c>
      <c r="S29" s="665">
        <f>F29</f>
        <v>100</v>
      </c>
      <c r="T29" s="664" t="s">
        <v>14</v>
      </c>
      <c r="U29" s="665">
        <f>H29</f>
        <v>100</v>
      </c>
      <c r="V29" s="664" t="s">
        <v>14</v>
      </c>
      <c r="W29" s="665">
        <f>J29</f>
        <v>100</v>
      </c>
      <c r="X29" s="666"/>
      <c r="Y29" s="343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34"/>
      <c r="Q30" s="530"/>
      <c r="R30" s="664"/>
      <c r="S30" s="665"/>
      <c r="T30" s="664"/>
      <c r="U30" s="665"/>
      <c r="V30" s="664"/>
      <c r="W30" s="665"/>
      <c r="X30" s="666"/>
      <c r="Y30" s="343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3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34"/>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34"/>
      <c r="Q32" s="1263" t="str">
        <f t="shared" si="8"/>
        <v>毗邻道路的类型与等级</v>
      </c>
      <c r="R32" s="667" t="s">
        <v>14</v>
      </c>
      <c r="S32" s="668">
        <f t="shared" si="10"/>
        <v>100</v>
      </c>
      <c r="T32" s="667" t="s">
        <v>14</v>
      </c>
      <c r="U32" s="668">
        <f t="shared" si="11"/>
        <v>100</v>
      </c>
      <c r="V32" s="667" t="s">
        <v>14</v>
      </c>
      <c r="W32" s="668">
        <f t="shared" si="12"/>
        <v>100</v>
      </c>
      <c r="X32" s="1265"/>
      <c r="Y32" s="343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34"/>
      <c r="Q33" s="1263"/>
      <c r="R33" s="667"/>
      <c r="S33" s="668"/>
      <c r="T33" s="667"/>
      <c r="U33" s="668"/>
      <c r="V33" s="667"/>
      <c r="W33" s="668"/>
      <c r="X33" s="1265"/>
      <c r="Y33" s="343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34"/>
      <c r="Q34" s="1263" t="str">
        <f t="shared" si="8"/>
        <v>土地级别</v>
      </c>
      <c r="R34" s="667" t="s">
        <v>14</v>
      </c>
      <c r="S34" s="668">
        <f t="shared" si="10"/>
        <v>100</v>
      </c>
      <c r="T34" s="667" t="s">
        <v>14</v>
      </c>
      <c r="U34" s="668">
        <f t="shared" si="11"/>
        <v>100</v>
      </c>
      <c r="V34" s="667" t="s">
        <v>14</v>
      </c>
      <c r="W34" s="668">
        <f t="shared" si="12"/>
        <v>100</v>
      </c>
      <c r="X34" s="1265"/>
      <c r="Y34" s="343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34"/>
      <c r="Q35" s="1263">
        <f t="shared" si="8"/>
        <v>111</v>
      </c>
      <c r="R35" s="667" t="s">
        <v>14</v>
      </c>
      <c r="S35" s="668">
        <f t="shared" si="10"/>
        <v>100</v>
      </c>
      <c r="T35" s="667" t="s">
        <v>14</v>
      </c>
      <c r="U35" s="668">
        <f t="shared" si="11"/>
        <v>100</v>
      </c>
      <c r="V35" s="667" t="s">
        <v>14</v>
      </c>
      <c r="W35" s="668">
        <f t="shared" si="12"/>
        <v>100</v>
      </c>
      <c r="X35" s="1265"/>
      <c r="Y35" s="343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88" t="s">
        <v>1696</v>
      </c>
      <c r="Q36" s="1263">
        <f t="shared" si="8"/>
        <v>111</v>
      </c>
      <c r="R36" s="667" t="s">
        <v>14</v>
      </c>
      <c r="S36" s="668">
        <f t="shared" si="10"/>
        <v>100</v>
      </c>
      <c r="T36" s="667" t="s">
        <v>14</v>
      </c>
      <c r="U36" s="668">
        <f t="shared" si="11"/>
        <v>100</v>
      </c>
      <c r="V36" s="667" t="s">
        <v>14</v>
      </c>
      <c r="W36" s="668">
        <f t="shared" si="12"/>
        <v>100</v>
      </c>
      <c r="X36" s="1265"/>
      <c r="Y36" s="3438"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38"/>
      <c r="Q37" s="1263">
        <f t="shared" si="8"/>
        <v>111</v>
      </c>
      <c r="R37" s="669" t="s">
        <v>14</v>
      </c>
      <c r="S37" s="670">
        <f t="shared" si="10"/>
        <v>100</v>
      </c>
      <c r="T37" s="669" t="s">
        <v>14</v>
      </c>
      <c r="U37" s="670">
        <f t="shared" si="11"/>
        <v>100</v>
      </c>
      <c r="V37" s="669" t="s">
        <v>14</v>
      </c>
      <c r="W37" s="670">
        <f t="shared" si="12"/>
        <v>100</v>
      </c>
      <c r="X37" s="671"/>
      <c r="Y37" s="3438"/>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38"/>
      <c r="Q38" s="1263" t="str">
        <f>B38</f>
        <v>宗地面积</v>
      </c>
      <c r="R38" s="667" t="s">
        <v>14</v>
      </c>
      <c r="S38" s="668" t="e">
        <f t="shared" si="10"/>
        <v>#N/A</v>
      </c>
      <c r="T38" s="667" t="s">
        <v>14</v>
      </c>
      <c r="U38" s="668" t="e">
        <f t="shared" si="11"/>
        <v>#N/A</v>
      </c>
      <c r="V38" s="667" t="s">
        <v>14</v>
      </c>
      <c r="W38" s="668" t="e">
        <f t="shared" si="12"/>
        <v>#N/A</v>
      </c>
      <c r="X38" s="1265"/>
      <c r="Y38" s="3438"/>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38"/>
      <c r="Q39" s="1263" t="str">
        <f t="shared" ref="Q39:Q45" si="14">B39</f>
        <v>宗地形状</v>
      </c>
      <c r="R39" s="667" t="s">
        <v>14</v>
      </c>
      <c r="S39" s="668">
        <f t="shared" si="10"/>
        <v>100</v>
      </c>
      <c r="T39" s="667" t="s">
        <v>14</v>
      </c>
      <c r="U39" s="668">
        <f t="shared" si="11"/>
        <v>100</v>
      </c>
      <c r="V39" s="667" t="s">
        <v>14</v>
      </c>
      <c r="W39" s="668">
        <f t="shared" si="12"/>
        <v>100</v>
      </c>
      <c r="X39" s="1265"/>
      <c r="Y39" s="3438"/>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38"/>
      <c r="Q40" s="1263" t="str">
        <f t="shared" si="14"/>
        <v>临街宽度及深度</v>
      </c>
      <c r="R40" s="667" t="s">
        <v>14</v>
      </c>
      <c r="S40" s="668">
        <f t="shared" si="10"/>
        <v>100</v>
      </c>
      <c r="T40" s="667" t="s">
        <v>14</v>
      </c>
      <c r="U40" s="668">
        <f t="shared" si="11"/>
        <v>100</v>
      </c>
      <c r="V40" s="667" t="s">
        <v>14</v>
      </c>
      <c r="W40" s="668">
        <f t="shared" si="12"/>
        <v>100</v>
      </c>
      <c r="X40" s="1265"/>
      <c r="Y40" s="3438"/>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38"/>
      <c r="Q41" s="1263" t="str">
        <f t="shared" si="14"/>
        <v>宗地开发程度</v>
      </c>
      <c r="R41" s="664" t="s">
        <v>14</v>
      </c>
      <c r="S41" s="665">
        <f t="shared" si="10"/>
        <v>100</v>
      </c>
      <c r="T41" s="664" t="s">
        <v>14</v>
      </c>
      <c r="U41" s="665">
        <f t="shared" si="11"/>
        <v>100</v>
      </c>
      <c r="V41" s="664" t="s">
        <v>14</v>
      </c>
      <c r="W41" s="665">
        <f t="shared" si="12"/>
        <v>100</v>
      </c>
      <c r="X41" s="666"/>
      <c r="Y41" s="3438"/>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38" t="s">
        <v>1696</v>
      </c>
      <c r="Q42" s="1263" t="str">
        <f t="shared" si="14"/>
        <v>工程地质条件</v>
      </c>
      <c r="R42" s="667" t="s">
        <v>14</v>
      </c>
      <c r="S42" s="668">
        <f t="shared" si="10"/>
        <v>100</v>
      </c>
      <c r="T42" s="667" t="s">
        <v>14</v>
      </c>
      <c r="U42" s="668">
        <f t="shared" si="11"/>
        <v>100</v>
      </c>
      <c r="V42" s="667" t="s">
        <v>14</v>
      </c>
      <c r="W42" s="668">
        <f t="shared" si="12"/>
        <v>100</v>
      </c>
      <c r="X42" s="1265"/>
      <c r="Y42" s="343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38"/>
      <c r="Q43" s="1263">
        <f t="shared" si="14"/>
        <v>111</v>
      </c>
      <c r="R43" s="667" t="s">
        <v>14</v>
      </c>
      <c r="S43" s="668">
        <f t="shared" si="10"/>
        <v>100</v>
      </c>
      <c r="T43" s="667" t="s">
        <v>14</v>
      </c>
      <c r="U43" s="668">
        <f t="shared" si="11"/>
        <v>100</v>
      </c>
      <c r="V43" s="667" t="s">
        <v>14</v>
      </c>
      <c r="W43" s="668">
        <f t="shared" si="12"/>
        <v>100</v>
      </c>
      <c r="X43" s="1265"/>
      <c r="Y43" s="343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38"/>
      <c r="Q44" s="1263">
        <f t="shared" si="14"/>
        <v>111</v>
      </c>
      <c r="R44" s="667" t="s">
        <v>14</v>
      </c>
      <c r="S44" s="668">
        <f t="shared" si="10"/>
        <v>100</v>
      </c>
      <c r="T44" s="667" t="s">
        <v>14</v>
      </c>
      <c r="U44" s="668">
        <f t="shared" si="11"/>
        <v>100</v>
      </c>
      <c r="V44" s="667" t="s">
        <v>14</v>
      </c>
      <c r="W44" s="668">
        <f t="shared" si="12"/>
        <v>100</v>
      </c>
      <c r="X44" s="1265"/>
      <c r="Y44" s="3438"/>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38"/>
      <c r="Q45" s="1263">
        <f t="shared" si="14"/>
        <v>111</v>
      </c>
      <c r="R45" s="669" t="s">
        <v>14</v>
      </c>
      <c r="S45" s="670">
        <f t="shared" si="10"/>
        <v>100</v>
      </c>
      <c r="T45" s="669" t="s">
        <v>14</v>
      </c>
      <c r="U45" s="670">
        <f t="shared" si="11"/>
        <v>100</v>
      </c>
      <c r="V45" s="669" t="s">
        <v>14</v>
      </c>
      <c r="W45" s="670">
        <f t="shared" si="12"/>
        <v>100</v>
      </c>
      <c r="X45" s="671"/>
      <c r="Y45" s="3438"/>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31" t="str">
        <f>A46</f>
        <v>成交单价</v>
      </c>
      <c r="Q46" s="3431"/>
      <c r="R46" s="3432">
        <f>E46</f>
        <v>0</v>
      </c>
      <c r="S46" s="3432"/>
      <c r="T46" s="3432">
        <f>G46</f>
        <v>0</v>
      </c>
      <c r="U46" s="3432"/>
      <c r="V46" s="3432">
        <f>I46</f>
        <v>0</v>
      </c>
      <c r="W46" s="3432"/>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31" t="str">
        <f>A47</f>
        <v>比较价值（元/平方米）</v>
      </c>
      <c r="Q47" s="3431"/>
      <c r="R47" s="3490" t="e">
        <f>ROUND(PRODUCT(R46,AA7:AA45),0)</f>
        <v>#DIV/0!</v>
      </c>
      <c r="S47" s="3490"/>
      <c r="T47" s="3490" t="e">
        <f>ROUND(PRODUCT(T46,AB7:AB45),0)</f>
        <v>#DIV/0!</v>
      </c>
      <c r="U47" s="3490"/>
      <c r="V47" s="3490" t="e">
        <f>ROUND(PRODUCT(V46,AC7:AC45),0)</f>
        <v>#DIV/0!</v>
      </c>
      <c r="W47" s="3490"/>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28" t="str">
        <f>A48</f>
        <v>估价对象XX用房的比较价值（楼面单价，元/平方米）</v>
      </c>
      <c r="Q48" s="3429"/>
      <c r="R48" s="3491" t="e">
        <f>ROUND(IF(D47="简单平均",AVERAGE(R47:W47),R47*F47+T47*H47+V47*J47),0)</f>
        <v>#DIV/0!</v>
      </c>
      <c r="S48" s="3491"/>
      <c r="T48" s="3491"/>
      <c r="U48" s="3491"/>
      <c r="V48" s="3491"/>
      <c r="W48" s="3491"/>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46" t="s">
        <v>1887</v>
      </c>
      <c r="H55" s="3492"/>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0</v>
      </c>
      <c r="F56" s="833" t="e">
        <f t="shared" ref="F56:F64" si="15">ROUND(B56*E56/10000,0)</f>
        <v>#DIV/0!</v>
      </c>
      <c r="G56" s="3442"/>
      <c r="H56" s="3431"/>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0</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1900-1-1</v>
      </c>
      <c r="D67" s="656" t="e">
        <f>EDATE(C67,-3)</f>
        <v>#NUM!</v>
      </c>
      <c r="E67" s="656" t="e">
        <f>EDATE(D67,-3)</f>
        <v>#NUM!</v>
      </c>
      <c r="F67" s="656" t="e">
        <f t="shared" ref="F67:O67" si="18">EDATE(E67,-3)</f>
        <v>#NUM!</v>
      </c>
      <c r="G67" s="656" t="e">
        <f t="shared" si="18"/>
        <v>#NUM!</v>
      </c>
      <c r="H67" s="656" t="e">
        <f t="shared" si="18"/>
        <v>#NUM!</v>
      </c>
      <c r="I67" s="656" t="e">
        <f t="shared" si="18"/>
        <v>#NUM!</v>
      </c>
      <c r="J67" s="656" t="e">
        <f t="shared" si="18"/>
        <v>#NUM!</v>
      </c>
      <c r="K67" s="656" t="e">
        <f t="shared" si="18"/>
        <v>#NUM!</v>
      </c>
      <c r="L67" s="656" t="e">
        <f t="shared" si="18"/>
        <v>#NUM!</v>
      </c>
      <c r="M67" s="656" t="e">
        <f t="shared" si="18"/>
        <v>#NUM!</v>
      </c>
      <c r="N67" s="656" t="e">
        <f t="shared" si="18"/>
        <v>#NUM!</v>
      </c>
      <c r="O67" s="656" t="e">
        <f t="shared" si="18"/>
        <v>#NUM!</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1900-1</v>
      </c>
      <c r="D69" s="1101" t="e">
        <f>YEAR(D67)&amp;"-"&amp;ROUNDUP(MONTH(D67)/3,0)</f>
        <v>#NUM!</v>
      </c>
      <c r="E69" s="1101" t="e">
        <f t="shared" ref="E69:O69" si="19">YEAR(E67)&amp;"-"&amp;ROUNDUP(MONTH(E67)/3,0)</f>
        <v>#NUM!</v>
      </c>
      <c r="F69" s="1101" t="e">
        <f t="shared" si="19"/>
        <v>#NUM!</v>
      </c>
      <c r="G69" s="1101" t="e">
        <f t="shared" si="19"/>
        <v>#NUM!</v>
      </c>
      <c r="H69" s="1101" t="e">
        <f t="shared" si="19"/>
        <v>#NUM!</v>
      </c>
      <c r="I69" s="1101" t="e">
        <f t="shared" si="19"/>
        <v>#NUM!</v>
      </c>
      <c r="J69" s="1101" t="e">
        <f t="shared" si="19"/>
        <v>#NUM!</v>
      </c>
      <c r="K69" s="1101" t="e">
        <f t="shared" si="19"/>
        <v>#NUM!</v>
      </c>
      <c r="L69" s="1101" t="e">
        <f t="shared" si="19"/>
        <v>#NUM!</v>
      </c>
      <c r="M69" s="1101" t="e">
        <f t="shared" si="19"/>
        <v>#NUM!</v>
      </c>
      <c r="N69" s="1101" t="e">
        <f t="shared" si="19"/>
        <v>#NUM!</v>
      </c>
      <c r="O69" s="1101" t="e">
        <f t="shared" si="19"/>
        <v>#NUM!</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76" priority="13" stopIfTrue="1">
      <formula>$F$51="超过30%"</formula>
    </cfRule>
  </conditionalFormatting>
  <conditionalFormatting sqref="E52">
    <cfRule type="expression" dxfId="75" priority="11" stopIfTrue="1">
      <formula>$F$52="超过20%"</formula>
    </cfRule>
  </conditionalFormatting>
  <conditionalFormatting sqref="E53">
    <cfRule type="expression" dxfId="74" priority="10" stopIfTrue="1">
      <formula>$F$53="超过30%"</formula>
    </cfRule>
  </conditionalFormatting>
  <conditionalFormatting sqref="F7:F45 H7:H45 J7:J45">
    <cfRule type="cellIs" dxfId="73" priority="1" operator="notEqual">
      <formula>100</formula>
    </cfRule>
  </conditionalFormatting>
  <conditionalFormatting sqref="F47">
    <cfRule type="expression" dxfId="72" priority="4">
      <formula>$D$47="简单平均"</formula>
    </cfRule>
  </conditionalFormatting>
  <conditionalFormatting sqref="F51:F53 H51:H53 J51:J53">
    <cfRule type="containsText" dxfId="71" priority="14" stopIfTrue="1" operator="containsText" text="超过">
      <formula>NOT(ISERROR(SEARCH("超过",F51)))</formula>
    </cfRule>
  </conditionalFormatting>
  <conditionalFormatting sqref="G51">
    <cfRule type="expression" dxfId="70" priority="9" stopIfTrue="1">
      <formula>$H$53+$H$51="超过30%"</formula>
    </cfRule>
  </conditionalFormatting>
  <conditionalFormatting sqref="G52">
    <cfRule type="expression" dxfId="69" priority="8" stopIfTrue="1">
      <formula>$H$52="超过20%"</formula>
    </cfRule>
  </conditionalFormatting>
  <conditionalFormatting sqref="G53">
    <cfRule type="expression" dxfId="68" priority="12" stopIfTrue="1">
      <formula>$H$53="超过30%"</formula>
    </cfRule>
  </conditionalFormatting>
  <conditionalFormatting sqref="H47">
    <cfRule type="expression" dxfId="67" priority="3">
      <formula>$D$47="简单平均"</formula>
    </cfRule>
  </conditionalFormatting>
  <conditionalFormatting sqref="I51">
    <cfRule type="expression" dxfId="66" priority="7" stopIfTrue="1">
      <formula>$J$51="超过30%"</formula>
    </cfRule>
  </conditionalFormatting>
  <conditionalFormatting sqref="I52">
    <cfRule type="expression" dxfId="65" priority="6" stopIfTrue="1">
      <formula>$J$52="超过20%"</formula>
    </cfRule>
  </conditionalFormatting>
  <conditionalFormatting sqref="I53">
    <cfRule type="expression" dxfId="64" priority="5" stopIfTrue="1">
      <formula>$J$53="超过30%"</formula>
    </cfRule>
  </conditionalFormatting>
  <conditionalFormatting sqref="J47">
    <cfRule type="expression" dxfId="63"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46" t="s">
        <v>1770</v>
      </c>
      <c r="D4" s="3447"/>
      <c r="E4" s="3448" t="s">
        <v>1771</v>
      </c>
      <c r="F4" s="3449"/>
      <c r="G4" s="3446" t="s">
        <v>1772</v>
      </c>
      <c r="H4" s="3447"/>
      <c r="I4" s="3446" t="s">
        <v>1773</v>
      </c>
      <c r="J4" s="3447"/>
      <c r="K4" s="537" t="s">
        <v>1774</v>
      </c>
      <c r="L4" s="2487"/>
      <c r="M4" s="2488"/>
      <c r="N4" s="2488"/>
      <c r="O4" s="2488"/>
      <c r="P4" s="3450" t="s">
        <v>1775</v>
      </c>
      <c r="Q4" s="3451"/>
      <c r="R4" s="3456" t="s">
        <v>1771</v>
      </c>
      <c r="S4" s="3457"/>
      <c r="T4" s="3456" t="s">
        <v>1772</v>
      </c>
      <c r="U4" s="3457"/>
      <c r="V4" s="3432" t="s">
        <v>1773</v>
      </c>
      <c r="W4" s="3432"/>
      <c r="X4" s="1265"/>
      <c r="Y4" s="3456" t="s">
        <v>1775</v>
      </c>
      <c r="Z4" s="3457"/>
      <c r="AA4" s="3443" t="s">
        <v>1771</v>
      </c>
      <c r="AB4" s="3444" t="s">
        <v>1772</v>
      </c>
      <c r="AC4" s="3443" t="s">
        <v>1773</v>
      </c>
    </row>
    <row r="5" spans="1:29" ht="15">
      <c r="A5" s="348"/>
      <c r="B5" s="349"/>
      <c r="C5" s="3464" t="s">
        <v>1673</v>
      </c>
      <c r="D5" s="3465"/>
      <c r="E5" s="3471" t="s">
        <v>1674</v>
      </c>
      <c r="F5" s="3472"/>
      <c r="G5" s="3464" t="s">
        <v>1675</v>
      </c>
      <c r="H5" s="3465"/>
      <c r="I5" s="3464" t="s">
        <v>1676</v>
      </c>
      <c r="J5" s="3465"/>
      <c r="K5" s="537"/>
      <c r="L5" s="2487"/>
      <c r="M5" s="2488"/>
      <c r="N5" s="2488"/>
      <c r="O5" s="2488"/>
      <c r="P5" s="3452"/>
      <c r="Q5" s="3453"/>
      <c r="R5" s="3458"/>
      <c r="S5" s="3459"/>
      <c r="T5" s="3458"/>
      <c r="U5" s="3459"/>
      <c r="V5" s="3432"/>
      <c r="W5" s="3432"/>
      <c r="X5" s="1265"/>
      <c r="Y5" s="3458"/>
      <c r="Z5" s="3459"/>
      <c r="AA5" s="3444"/>
      <c r="AB5" s="3444"/>
      <c r="AC5" s="3444"/>
    </row>
    <row r="6" spans="1:29" ht="15.75" thickBot="1">
      <c r="A6" s="350"/>
      <c r="B6" s="351"/>
      <c r="C6" s="3493" t="s">
        <v>1919</v>
      </c>
      <c r="D6" s="3494"/>
      <c r="E6" s="3495" t="s">
        <v>1919</v>
      </c>
      <c r="F6" s="3496"/>
      <c r="G6" s="3493" t="s">
        <v>1919</v>
      </c>
      <c r="H6" s="3494"/>
      <c r="I6" s="3493" t="s">
        <v>1919</v>
      </c>
      <c r="J6" s="3494"/>
      <c r="K6" s="537" t="s">
        <v>1678</v>
      </c>
      <c r="L6" s="2487"/>
      <c r="M6" s="2488"/>
      <c r="N6" s="2488"/>
      <c r="O6" s="2488"/>
      <c r="P6" s="3454"/>
      <c r="Q6" s="3455"/>
      <c r="R6" s="3458"/>
      <c r="S6" s="3459"/>
      <c r="T6" s="3460"/>
      <c r="U6" s="3461"/>
      <c r="V6" s="3432"/>
      <c r="W6" s="3432"/>
      <c r="X6" s="1265"/>
      <c r="Y6" s="3460"/>
      <c r="Z6" s="3461"/>
      <c r="AA6" s="3445"/>
      <c r="AB6" s="3445"/>
      <c r="AC6" s="3445"/>
    </row>
    <row r="7" spans="1:29" s="102" customFormat="1" ht="15.75" thickBot="1">
      <c r="A7" s="352" t="s">
        <v>1679</v>
      </c>
      <c r="B7" s="353"/>
      <c r="C7" s="354">
        <f>'数据-取费表'!B2</f>
        <v>0</v>
      </c>
      <c r="D7" s="355">
        <v>100</v>
      </c>
      <c r="E7" s="356"/>
      <c r="F7" s="357">
        <f>SUMIF(65:65,YEAR(E7)&amp;"-"&amp;INT((MONTH(E7)+2)/3),66:66)</f>
        <v>100</v>
      </c>
      <c r="G7" s="1822"/>
      <c r="H7" s="355">
        <f>SUMIF(65:65,YEAR(G7)&amp;"-"&amp;INT((MONTH(G7)+2)/3),66:66)</f>
        <v>100</v>
      </c>
      <c r="I7" s="1822"/>
      <c r="J7" s="355">
        <f>SUMIF(65:65,YEAR(I7)&amp;"-"&amp;INT((MONTH(I7)+2)/3),66:66)</f>
        <v>100</v>
      </c>
      <c r="K7" s="38"/>
      <c r="L7" s="2489"/>
      <c r="M7" s="2440"/>
      <c r="N7" s="2440"/>
      <c r="O7" s="2440"/>
      <c r="P7" s="3466" t="s">
        <v>1680</v>
      </c>
      <c r="Q7" s="3468"/>
      <c r="R7" s="664" t="s">
        <v>14</v>
      </c>
      <c r="S7" s="665">
        <f t="shared" ref="S7:S15" si="0">F7</f>
        <v>100</v>
      </c>
      <c r="T7" s="664" t="s">
        <v>14</v>
      </c>
      <c r="U7" s="665">
        <f t="shared" ref="U7:U15" si="1">H7</f>
        <v>100</v>
      </c>
      <c r="V7" s="664" t="s">
        <v>14</v>
      </c>
      <c r="W7" s="665">
        <f t="shared" ref="W7:W15" si="2">J7</f>
        <v>100</v>
      </c>
      <c r="X7" s="666"/>
      <c r="Y7" s="3466" t="s">
        <v>1680</v>
      </c>
      <c r="Z7" s="3467"/>
      <c r="AA7" s="50">
        <f>D7/F7</f>
        <v>1</v>
      </c>
      <c r="AB7" s="50">
        <f>D7/H7</f>
        <v>1</v>
      </c>
      <c r="AC7" s="50">
        <f>D7/J7</f>
        <v>1</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66" t="s">
        <v>1683</v>
      </c>
      <c r="Q8" s="3467"/>
      <c r="R8" s="664" t="s">
        <v>14</v>
      </c>
      <c r="S8" s="665">
        <f t="shared" si="0"/>
        <v>0</v>
      </c>
      <c r="T8" s="664" t="s">
        <v>14</v>
      </c>
      <c r="U8" s="665">
        <f t="shared" si="1"/>
        <v>0</v>
      </c>
      <c r="V8" s="664" t="s">
        <v>14</v>
      </c>
      <c r="W8" s="665">
        <f t="shared" si="2"/>
        <v>0</v>
      </c>
      <c r="X8" s="666"/>
      <c r="Y8" s="3466" t="s">
        <v>1683</v>
      </c>
      <c r="Z8" s="3467"/>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31" t="s">
        <v>1686</v>
      </c>
      <c r="Q9" s="530" t="str">
        <f t="shared" ref="Q9:Q15" si="6">B9</f>
        <v>用途</v>
      </c>
      <c r="R9" s="664" t="s">
        <v>14</v>
      </c>
      <c r="S9" s="665">
        <f t="shared" si="0"/>
        <v>100</v>
      </c>
      <c r="T9" s="664" t="s">
        <v>14</v>
      </c>
      <c r="U9" s="665">
        <f t="shared" si="1"/>
        <v>100</v>
      </c>
      <c r="V9" s="664" t="s">
        <v>14</v>
      </c>
      <c r="W9" s="665">
        <f t="shared" si="2"/>
        <v>100</v>
      </c>
      <c r="X9" s="666"/>
      <c r="Y9" s="330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90"/>
      <c r="M10" s="2491"/>
      <c r="N10" s="2491"/>
      <c r="O10" s="2542"/>
      <c r="P10" s="3431"/>
      <c r="Q10" s="530" t="str">
        <f t="shared" si="6"/>
        <v>土地使用年限（年）</v>
      </c>
      <c r="R10" s="664" t="s">
        <v>14</v>
      </c>
      <c r="S10" s="665" t="e">
        <f t="shared" si="0"/>
        <v>#DIV/0!</v>
      </c>
      <c r="T10" s="664" t="s">
        <v>14</v>
      </c>
      <c r="U10" s="665" t="e">
        <f t="shared" si="1"/>
        <v>#DIV/0!</v>
      </c>
      <c r="V10" s="664" t="s">
        <v>14</v>
      </c>
      <c r="W10" s="665" t="e">
        <f t="shared" si="2"/>
        <v>#DIV/0!</v>
      </c>
      <c r="X10" s="666"/>
      <c r="Y10" s="3306"/>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31"/>
      <c r="Q11" s="530" t="str">
        <f t="shared" si="6"/>
        <v>容积率</v>
      </c>
      <c r="R11" s="664" t="s">
        <v>14</v>
      </c>
      <c r="S11" s="665" t="e">
        <f t="shared" si="0"/>
        <v>#N/A</v>
      </c>
      <c r="T11" s="664" t="s">
        <v>14</v>
      </c>
      <c r="U11" s="665" t="e">
        <f t="shared" si="1"/>
        <v>#N/A</v>
      </c>
      <c r="V11" s="664" t="s">
        <v>14</v>
      </c>
      <c r="W11" s="665" t="e">
        <f t="shared" si="2"/>
        <v>#N/A</v>
      </c>
      <c r="X11" s="666"/>
      <c r="Y11" s="330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31"/>
      <c r="Q12" s="530">
        <f t="shared" si="6"/>
        <v>111</v>
      </c>
      <c r="R12" s="664" t="s">
        <v>14</v>
      </c>
      <c r="S12" s="665">
        <f t="shared" si="0"/>
        <v>100</v>
      </c>
      <c r="T12" s="664" t="s">
        <v>14</v>
      </c>
      <c r="U12" s="665">
        <f t="shared" si="1"/>
        <v>100</v>
      </c>
      <c r="V12" s="664" t="s">
        <v>14</v>
      </c>
      <c r="W12" s="665">
        <f t="shared" si="2"/>
        <v>100</v>
      </c>
      <c r="X12" s="666"/>
      <c r="Y12" s="330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31"/>
      <c r="Q13" s="530">
        <f t="shared" si="6"/>
        <v>111</v>
      </c>
      <c r="R13" s="664" t="s">
        <v>14</v>
      </c>
      <c r="S13" s="665">
        <f t="shared" si="0"/>
        <v>100</v>
      </c>
      <c r="T13" s="664" t="s">
        <v>14</v>
      </c>
      <c r="U13" s="665">
        <f t="shared" si="1"/>
        <v>100</v>
      </c>
      <c r="V13" s="664" t="s">
        <v>14</v>
      </c>
      <c r="W13" s="665">
        <f t="shared" si="2"/>
        <v>100</v>
      </c>
      <c r="X13" s="666"/>
      <c r="Y13" s="3306"/>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31"/>
      <c r="Q14" s="530">
        <f t="shared" si="6"/>
        <v>111</v>
      </c>
      <c r="R14" s="664" t="s">
        <v>14</v>
      </c>
      <c r="S14" s="665">
        <f t="shared" si="0"/>
        <v>100</v>
      </c>
      <c r="T14" s="664" t="s">
        <v>14</v>
      </c>
      <c r="U14" s="665">
        <f t="shared" si="1"/>
        <v>100</v>
      </c>
      <c r="V14" s="664" t="s">
        <v>14</v>
      </c>
      <c r="W14" s="665">
        <f t="shared" si="2"/>
        <v>100</v>
      </c>
      <c r="X14" s="666"/>
      <c r="Y14" s="3306"/>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33" t="s">
        <v>1691</v>
      </c>
      <c r="Q15" s="1263" t="str">
        <f t="shared" si="6"/>
        <v>产业集聚程度</v>
      </c>
      <c r="R15" s="667" t="s">
        <v>14</v>
      </c>
      <c r="S15" s="668">
        <f t="shared" si="0"/>
        <v>100</v>
      </c>
      <c r="T15" s="667" t="s">
        <v>14</v>
      </c>
      <c r="U15" s="668">
        <f t="shared" si="1"/>
        <v>100</v>
      </c>
      <c r="V15" s="667" t="s">
        <v>14</v>
      </c>
      <c r="W15" s="668">
        <f t="shared" si="2"/>
        <v>100</v>
      </c>
      <c r="X15" s="1265"/>
      <c r="Y15" s="343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34"/>
      <c r="Q16" s="1263"/>
      <c r="R16" s="667"/>
      <c r="S16" s="668"/>
      <c r="T16" s="667"/>
      <c r="U16" s="668"/>
      <c r="V16" s="667"/>
      <c r="W16" s="668"/>
      <c r="X16" s="1265"/>
      <c r="Y16" s="3434"/>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34"/>
      <c r="Q17" s="1263" t="str">
        <f>B17</f>
        <v>交通便捷度</v>
      </c>
      <c r="R17" s="667" t="s">
        <v>14</v>
      </c>
      <c r="S17" s="668">
        <f>F17</f>
        <v>100</v>
      </c>
      <c r="T17" s="667" t="s">
        <v>14</v>
      </c>
      <c r="U17" s="668">
        <f>H17</f>
        <v>100</v>
      </c>
      <c r="V17" s="667" t="s">
        <v>14</v>
      </c>
      <c r="W17" s="668">
        <f>J17</f>
        <v>100</v>
      </c>
      <c r="X17" s="1265"/>
      <c r="Y17" s="343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34"/>
      <c r="Q18" s="1263"/>
      <c r="R18" s="667"/>
      <c r="S18" s="668"/>
      <c r="T18" s="667"/>
      <c r="U18" s="668"/>
      <c r="V18" s="667"/>
      <c r="W18" s="668"/>
      <c r="X18" s="1265"/>
      <c r="Y18" s="3434"/>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34"/>
      <c r="Q19" s="1263" t="str">
        <f t="shared" ref="Q19:Q33" si="8">B19</f>
        <v>区域土地利用方向</v>
      </c>
      <c r="R19" s="667" t="s">
        <v>14</v>
      </c>
      <c r="S19" s="668">
        <f>F19</f>
        <v>100</v>
      </c>
      <c r="T19" s="667" t="s">
        <v>14</v>
      </c>
      <c r="U19" s="668">
        <f>H19</f>
        <v>100</v>
      </c>
      <c r="V19" s="667" t="s">
        <v>14</v>
      </c>
      <c r="W19" s="668">
        <f>J19</f>
        <v>100</v>
      </c>
      <c r="X19" s="1265"/>
      <c r="Y19" s="343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34"/>
      <c r="Q20" s="1263"/>
      <c r="R20" s="667"/>
      <c r="S20" s="668"/>
      <c r="T20" s="667"/>
      <c r="U20" s="668"/>
      <c r="V20" s="667"/>
      <c r="W20" s="668"/>
      <c r="X20" s="1265"/>
      <c r="Y20" s="3434"/>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34"/>
      <c r="Q21" s="1263" t="str">
        <f t="shared" si="8"/>
        <v>环境状况</v>
      </c>
      <c r="R21" s="667" t="s">
        <v>14</v>
      </c>
      <c r="S21" s="668">
        <f>F21</f>
        <v>100</v>
      </c>
      <c r="T21" s="667" t="s">
        <v>14</v>
      </c>
      <c r="U21" s="668">
        <f>H21</f>
        <v>100</v>
      </c>
      <c r="V21" s="667" t="s">
        <v>14</v>
      </c>
      <c r="W21" s="668">
        <f>J21</f>
        <v>100</v>
      </c>
      <c r="X21" s="1265"/>
      <c r="Y21" s="343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34"/>
      <c r="Q22" s="1263"/>
      <c r="R22" s="667"/>
      <c r="S22" s="668"/>
      <c r="T22" s="667"/>
      <c r="U22" s="668"/>
      <c r="V22" s="667"/>
      <c r="W22" s="668"/>
      <c r="X22" s="1265"/>
      <c r="Y22" s="3434"/>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34"/>
      <c r="Q23" s="530" t="str">
        <f t="shared" si="8"/>
        <v>公共配套设施</v>
      </c>
      <c r="R23" s="664" t="s">
        <v>14</v>
      </c>
      <c r="S23" s="665">
        <f>F23</f>
        <v>100</v>
      </c>
      <c r="T23" s="664" t="s">
        <v>14</v>
      </c>
      <c r="U23" s="665">
        <f>H23</f>
        <v>100</v>
      </c>
      <c r="V23" s="664" t="s">
        <v>14</v>
      </c>
      <c r="W23" s="665">
        <f>J23</f>
        <v>100</v>
      </c>
      <c r="X23" s="666"/>
      <c r="Y23" s="343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34"/>
      <c r="Q24" s="530"/>
      <c r="R24" s="664"/>
      <c r="S24" s="665"/>
      <c r="T24" s="664"/>
      <c r="U24" s="665"/>
      <c r="V24" s="664"/>
      <c r="W24" s="665"/>
      <c r="X24" s="666"/>
      <c r="Y24" s="3434"/>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34"/>
      <c r="Q25" s="530" t="str">
        <f t="shared" ref="Q25" si="9">B25</f>
        <v>基础设施水平</v>
      </c>
      <c r="R25" s="664" t="s">
        <v>14</v>
      </c>
      <c r="S25" s="665">
        <f>F25</f>
        <v>100</v>
      </c>
      <c r="T25" s="664" t="s">
        <v>14</v>
      </c>
      <c r="U25" s="665">
        <f>H25</f>
        <v>100</v>
      </c>
      <c r="V25" s="664" t="s">
        <v>14</v>
      </c>
      <c r="W25" s="665">
        <f>J25</f>
        <v>100</v>
      </c>
      <c r="X25" s="666"/>
      <c r="Y25" s="343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34"/>
      <c r="Q26" s="530"/>
      <c r="R26" s="664"/>
      <c r="S26" s="665"/>
      <c r="T26" s="664"/>
      <c r="U26" s="665"/>
      <c r="V26" s="664"/>
      <c r="W26" s="665"/>
      <c r="X26" s="666"/>
      <c r="Y26" s="343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3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34"/>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34"/>
      <c r="Q28" s="1263" t="str">
        <f t="shared" si="8"/>
        <v>毗邻道路的类型与等级</v>
      </c>
      <c r="R28" s="667" t="s">
        <v>14</v>
      </c>
      <c r="S28" s="668">
        <f t="shared" si="10"/>
        <v>100</v>
      </c>
      <c r="T28" s="667" t="s">
        <v>14</v>
      </c>
      <c r="U28" s="668">
        <f t="shared" si="11"/>
        <v>100</v>
      </c>
      <c r="V28" s="667" t="s">
        <v>14</v>
      </c>
      <c r="W28" s="668">
        <f t="shared" si="12"/>
        <v>100</v>
      </c>
      <c r="X28" s="1265"/>
      <c r="Y28" s="343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34"/>
      <c r="Q29" s="1263"/>
      <c r="R29" s="667"/>
      <c r="S29" s="668"/>
      <c r="T29" s="667"/>
      <c r="U29" s="668"/>
      <c r="V29" s="667"/>
      <c r="W29" s="668"/>
      <c r="X29" s="1265"/>
      <c r="Y29" s="343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34"/>
      <c r="Q30" s="1263" t="str">
        <f t="shared" si="8"/>
        <v>土地级别</v>
      </c>
      <c r="R30" s="667" t="s">
        <v>14</v>
      </c>
      <c r="S30" s="668">
        <f t="shared" si="10"/>
        <v>100</v>
      </c>
      <c r="T30" s="667" t="s">
        <v>14</v>
      </c>
      <c r="U30" s="668">
        <f t="shared" si="11"/>
        <v>100</v>
      </c>
      <c r="V30" s="667" t="s">
        <v>14</v>
      </c>
      <c r="W30" s="668">
        <f t="shared" si="12"/>
        <v>100</v>
      </c>
      <c r="X30" s="1265"/>
      <c r="Y30" s="343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34"/>
      <c r="Q31" s="1263">
        <f t="shared" si="8"/>
        <v>111</v>
      </c>
      <c r="R31" s="667" t="s">
        <v>14</v>
      </c>
      <c r="S31" s="668">
        <f t="shared" si="10"/>
        <v>100</v>
      </c>
      <c r="T31" s="667" t="s">
        <v>14</v>
      </c>
      <c r="U31" s="668">
        <f t="shared" si="11"/>
        <v>100</v>
      </c>
      <c r="V31" s="667" t="s">
        <v>14</v>
      </c>
      <c r="W31" s="668">
        <f t="shared" si="12"/>
        <v>100</v>
      </c>
      <c r="X31" s="1265"/>
      <c r="Y31" s="343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88" t="s">
        <v>1696</v>
      </c>
      <c r="Q32" s="1263">
        <f t="shared" si="8"/>
        <v>111</v>
      </c>
      <c r="R32" s="667" t="s">
        <v>14</v>
      </c>
      <c r="S32" s="668">
        <f t="shared" si="10"/>
        <v>100</v>
      </c>
      <c r="T32" s="667" t="s">
        <v>14</v>
      </c>
      <c r="U32" s="668">
        <f t="shared" si="11"/>
        <v>100</v>
      </c>
      <c r="V32" s="667" t="s">
        <v>14</v>
      </c>
      <c r="W32" s="668">
        <f t="shared" si="12"/>
        <v>100</v>
      </c>
      <c r="X32" s="1265"/>
      <c r="Y32" s="3438"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38"/>
      <c r="Q33" s="1263">
        <f t="shared" si="8"/>
        <v>111</v>
      </c>
      <c r="R33" s="669" t="s">
        <v>14</v>
      </c>
      <c r="S33" s="670">
        <f t="shared" si="10"/>
        <v>100</v>
      </c>
      <c r="T33" s="669" t="s">
        <v>14</v>
      </c>
      <c r="U33" s="670">
        <f t="shared" si="11"/>
        <v>100</v>
      </c>
      <c r="V33" s="669" t="s">
        <v>14</v>
      </c>
      <c r="W33" s="670">
        <f t="shared" si="12"/>
        <v>100</v>
      </c>
      <c r="X33" s="671"/>
      <c r="Y33" s="3438"/>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38"/>
      <c r="Q34" s="1263" t="str">
        <f>B34</f>
        <v>宗地面积</v>
      </c>
      <c r="R34" s="667" t="s">
        <v>14</v>
      </c>
      <c r="S34" s="668" t="e">
        <f t="shared" si="10"/>
        <v>#N/A</v>
      </c>
      <c r="T34" s="667" t="s">
        <v>14</v>
      </c>
      <c r="U34" s="668" t="e">
        <f t="shared" si="11"/>
        <v>#N/A</v>
      </c>
      <c r="V34" s="667" t="s">
        <v>14</v>
      </c>
      <c r="W34" s="668" t="e">
        <f t="shared" si="12"/>
        <v>#N/A</v>
      </c>
      <c r="X34" s="1265"/>
      <c r="Y34" s="3438"/>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38"/>
      <c r="Q35" s="1263" t="str">
        <f t="shared" ref="Q35:Q40" si="14">B35</f>
        <v>宗地形状</v>
      </c>
      <c r="R35" s="667" t="s">
        <v>14</v>
      </c>
      <c r="S35" s="668">
        <f t="shared" si="10"/>
        <v>100</v>
      </c>
      <c r="T35" s="667" t="s">
        <v>14</v>
      </c>
      <c r="U35" s="668">
        <f t="shared" si="11"/>
        <v>100</v>
      </c>
      <c r="V35" s="667" t="s">
        <v>14</v>
      </c>
      <c r="W35" s="668">
        <f t="shared" si="12"/>
        <v>100</v>
      </c>
      <c r="X35" s="1265"/>
      <c r="Y35" s="3438"/>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38"/>
      <c r="Q36" s="1263" t="str">
        <f t="shared" si="14"/>
        <v>宗地开发程度</v>
      </c>
      <c r="R36" s="664" t="s">
        <v>14</v>
      </c>
      <c r="S36" s="665">
        <f t="shared" si="10"/>
        <v>100</v>
      </c>
      <c r="T36" s="664" t="s">
        <v>14</v>
      </c>
      <c r="U36" s="665">
        <f t="shared" si="11"/>
        <v>100</v>
      </c>
      <c r="V36" s="664" t="s">
        <v>14</v>
      </c>
      <c r="W36" s="665">
        <f t="shared" si="12"/>
        <v>100</v>
      </c>
      <c r="X36" s="666"/>
      <c r="Y36" s="3438"/>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38" t="s">
        <v>1696</v>
      </c>
      <c r="Q37" s="1263" t="str">
        <f t="shared" si="14"/>
        <v>工程地质条件</v>
      </c>
      <c r="R37" s="667" t="s">
        <v>14</v>
      </c>
      <c r="S37" s="668">
        <f t="shared" si="10"/>
        <v>100</v>
      </c>
      <c r="T37" s="667" t="s">
        <v>14</v>
      </c>
      <c r="U37" s="668">
        <f t="shared" si="11"/>
        <v>100</v>
      </c>
      <c r="V37" s="667" t="s">
        <v>14</v>
      </c>
      <c r="W37" s="668">
        <f t="shared" si="12"/>
        <v>100</v>
      </c>
      <c r="X37" s="1265"/>
      <c r="Y37" s="343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38"/>
      <c r="Q38" s="1263">
        <f t="shared" si="14"/>
        <v>111</v>
      </c>
      <c r="R38" s="667" t="s">
        <v>14</v>
      </c>
      <c r="S38" s="668">
        <f t="shared" si="10"/>
        <v>100</v>
      </c>
      <c r="T38" s="667" t="s">
        <v>14</v>
      </c>
      <c r="U38" s="668">
        <f t="shared" si="11"/>
        <v>100</v>
      </c>
      <c r="V38" s="667" t="s">
        <v>14</v>
      </c>
      <c r="W38" s="668">
        <f t="shared" si="12"/>
        <v>100</v>
      </c>
      <c r="X38" s="1265"/>
      <c r="Y38" s="343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38"/>
      <c r="Q39" s="1263">
        <f t="shared" si="14"/>
        <v>111</v>
      </c>
      <c r="R39" s="667" t="s">
        <v>14</v>
      </c>
      <c r="S39" s="668">
        <f t="shared" si="10"/>
        <v>100</v>
      </c>
      <c r="T39" s="667" t="s">
        <v>14</v>
      </c>
      <c r="U39" s="668">
        <f t="shared" si="11"/>
        <v>100</v>
      </c>
      <c r="V39" s="667" t="s">
        <v>14</v>
      </c>
      <c r="W39" s="668">
        <f t="shared" si="12"/>
        <v>100</v>
      </c>
      <c r="X39" s="1265"/>
      <c r="Y39" s="3438"/>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38"/>
      <c r="Q40" s="1263">
        <f t="shared" si="14"/>
        <v>111</v>
      </c>
      <c r="R40" s="669" t="s">
        <v>14</v>
      </c>
      <c r="S40" s="670">
        <f t="shared" si="10"/>
        <v>100</v>
      </c>
      <c r="T40" s="669" t="s">
        <v>14</v>
      </c>
      <c r="U40" s="670">
        <f t="shared" si="11"/>
        <v>100</v>
      </c>
      <c r="V40" s="669" t="s">
        <v>14</v>
      </c>
      <c r="W40" s="670">
        <f t="shared" si="12"/>
        <v>100</v>
      </c>
      <c r="X40" s="671"/>
      <c r="Y40" s="3438"/>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31" t="str">
        <f>A41</f>
        <v>成交单价</v>
      </c>
      <c r="Q41" s="3431"/>
      <c r="R41" s="3432">
        <f>E41</f>
        <v>0</v>
      </c>
      <c r="S41" s="3432"/>
      <c r="T41" s="3432">
        <f>G41</f>
        <v>0</v>
      </c>
      <c r="U41" s="3432"/>
      <c r="V41" s="3432">
        <f>I41</f>
        <v>0</v>
      </c>
      <c r="W41" s="3432"/>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31" t="str">
        <f>A42</f>
        <v>比较价值（元/平方米）</v>
      </c>
      <c r="Q42" s="3431"/>
      <c r="R42" s="3490" t="e">
        <f>ROUND(PRODUCT(R41,AA7:AA40),0)</f>
        <v>#DIV/0!</v>
      </c>
      <c r="S42" s="3490"/>
      <c r="T42" s="3490" t="e">
        <f>ROUND(PRODUCT(T41,AB7:AB40),0)</f>
        <v>#DIV/0!</v>
      </c>
      <c r="U42" s="3490"/>
      <c r="V42" s="3490" t="e">
        <f>ROUND(PRODUCT(V41,AC7:AC40),0)</f>
        <v>#DIV/0!</v>
      </c>
      <c r="W42" s="3490"/>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28" t="str">
        <f>A43</f>
        <v>估价对象XX用房的比较价值（楼面单价，元/平方米）</v>
      </c>
      <c r="Q43" s="3429"/>
      <c r="R43" s="3491" t="e">
        <f>ROUND(IF(D42="简单平均",AVERAGE(R42:W42),R42*F42+T42*H42+V42*J42),0)</f>
        <v>#DIV/0!</v>
      </c>
      <c r="S43" s="3491"/>
      <c r="T43" s="3491"/>
      <c r="U43" s="3491"/>
      <c r="V43" s="3491"/>
      <c r="W43" s="3491"/>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46" t="s">
        <v>1887</v>
      </c>
      <c r="H50" s="3492"/>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0</v>
      </c>
      <c r="F51" s="611" t="e">
        <f t="shared" ref="F51:F60" si="15">ROUND(B51*E51/10000,0)</f>
        <v>#DIV/0!</v>
      </c>
      <c r="G51" s="3442"/>
      <c r="H51" s="3431"/>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t="e">
        <f>IF(B41="楼面地价",SUM(E51:E60),'数据-汇总表'!D3)</f>
        <v>#DIV/0!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1900-1-1</v>
      </c>
      <c r="D63" s="656" t="e">
        <f>EDATE(C63,-3)</f>
        <v>#NUM!</v>
      </c>
      <c r="E63" s="656" t="e">
        <f>EDATE(D63,-3)</f>
        <v>#NUM!</v>
      </c>
      <c r="F63" s="656" t="e">
        <f t="shared" ref="F63:O63" si="18">EDATE(E63,-3)</f>
        <v>#NUM!</v>
      </c>
      <c r="G63" s="656" t="e">
        <f t="shared" si="18"/>
        <v>#NUM!</v>
      </c>
      <c r="H63" s="656" t="e">
        <f t="shared" si="18"/>
        <v>#NUM!</v>
      </c>
      <c r="I63" s="656" t="e">
        <f t="shared" si="18"/>
        <v>#NUM!</v>
      </c>
      <c r="J63" s="656" t="e">
        <f t="shared" si="18"/>
        <v>#NUM!</v>
      </c>
      <c r="K63" s="656" t="e">
        <f t="shared" si="18"/>
        <v>#NUM!</v>
      </c>
      <c r="L63" s="656" t="e">
        <f t="shared" si="18"/>
        <v>#NUM!</v>
      </c>
      <c r="M63" s="656" t="e">
        <f t="shared" si="18"/>
        <v>#NUM!</v>
      </c>
      <c r="N63" s="656" t="e">
        <f t="shared" si="18"/>
        <v>#NUM!</v>
      </c>
      <c r="O63" s="656" t="e">
        <f t="shared" si="18"/>
        <v>#NUM!</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1900-1</v>
      </c>
      <c r="D65" s="1101" t="e">
        <f t="shared" ref="D65:O65" si="19">YEAR(D63)&amp;"-"&amp;ROUNDUP(MONTH(D63)/3,0)</f>
        <v>#NUM!</v>
      </c>
      <c r="E65" s="1101" t="e">
        <f t="shared" si="19"/>
        <v>#NUM!</v>
      </c>
      <c r="F65" s="1101" t="e">
        <f t="shared" si="19"/>
        <v>#NUM!</v>
      </c>
      <c r="G65" s="1101" t="e">
        <f t="shared" si="19"/>
        <v>#NUM!</v>
      </c>
      <c r="H65" s="1101" t="e">
        <f t="shared" si="19"/>
        <v>#NUM!</v>
      </c>
      <c r="I65" s="1101" t="e">
        <f t="shared" si="19"/>
        <v>#NUM!</v>
      </c>
      <c r="J65" s="1101" t="e">
        <f t="shared" si="19"/>
        <v>#NUM!</v>
      </c>
      <c r="K65" s="1101" t="e">
        <f t="shared" si="19"/>
        <v>#NUM!</v>
      </c>
      <c r="L65" s="1101" t="e">
        <f t="shared" si="19"/>
        <v>#NUM!</v>
      </c>
      <c r="M65" s="1101" t="e">
        <f t="shared" si="19"/>
        <v>#NUM!</v>
      </c>
      <c r="N65" s="1101" t="e">
        <f t="shared" si="19"/>
        <v>#NUM!</v>
      </c>
      <c r="O65" s="1101" t="e">
        <f t="shared" si="19"/>
        <v>#NUM!</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62" priority="13" stopIfTrue="1">
      <formula>$F$46="超过30%"</formula>
    </cfRule>
  </conditionalFormatting>
  <conditionalFormatting sqref="E47">
    <cfRule type="expression" dxfId="61" priority="53" stopIfTrue="1">
      <formula>#REF!+$F$47="超过20%"</formula>
    </cfRule>
  </conditionalFormatting>
  <conditionalFormatting sqref="E48">
    <cfRule type="expression" dxfId="60" priority="10" stopIfTrue="1">
      <formula>$F$48="超过30%"</formula>
    </cfRule>
  </conditionalFormatting>
  <conditionalFormatting sqref="F7:F40 H7:H40 J7:J40">
    <cfRule type="cellIs" dxfId="59" priority="1" operator="notEqual">
      <formula>100</formula>
    </cfRule>
  </conditionalFormatting>
  <conditionalFormatting sqref="F42">
    <cfRule type="expression" dxfId="58" priority="4">
      <formula>$D$42="简单平均"</formula>
    </cfRule>
  </conditionalFormatting>
  <conditionalFormatting sqref="F46:F48 H46:H48 J46:J48">
    <cfRule type="containsText" dxfId="57" priority="14" stopIfTrue="1" operator="containsText" text="超过">
      <formula>NOT(ISERROR(SEARCH("超过",F46)))</formula>
    </cfRule>
  </conditionalFormatting>
  <conditionalFormatting sqref="G46">
    <cfRule type="expression" dxfId="56" priority="9" stopIfTrue="1">
      <formula>$H$46="超过30%"</formula>
    </cfRule>
  </conditionalFormatting>
  <conditionalFormatting sqref="G47">
    <cfRule type="expression" dxfId="55" priority="8" stopIfTrue="1">
      <formula>$H$47="超过20%"</formula>
    </cfRule>
  </conditionalFormatting>
  <conditionalFormatting sqref="G48">
    <cfRule type="expression" dxfId="54" priority="12" stopIfTrue="1">
      <formula>$H$48="超过30%"</formula>
    </cfRule>
  </conditionalFormatting>
  <conditionalFormatting sqref="H42">
    <cfRule type="expression" dxfId="53" priority="3">
      <formula>$D$42="简单平均"</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J42">
    <cfRule type="expression" dxfId="49"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500" t="s">
        <v>2084</v>
      </c>
      <c r="D1" s="3501"/>
      <c r="E1" s="3501"/>
      <c r="F1" s="3501"/>
      <c r="G1" s="3501"/>
      <c r="H1" s="3501"/>
      <c r="I1" s="3501"/>
      <c r="J1" s="3501"/>
      <c r="K1" s="3501"/>
      <c r="L1" s="3501"/>
      <c r="M1" s="3501"/>
      <c r="N1" s="3501"/>
      <c r="O1" s="3501"/>
      <c r="P1" s="3501"/>
      <c r="Q1" s="3501"/>
      <c r="R1" s="3501"/>
      <c r="S1" s="350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97" t="s">
        <v>27</v>
      </c>
      <c r="D22" s="3498"/>
      <c r="E22" s="3498"/>
      <c r="F22" s="3498"/>
      <c r="G22" s="3498"/>
      <c r="H22" s="3498"/>
      <c r="I22" s="3498"/>
      <c r="J22" s="3498"/>
      <c r="K22" s="3498"/>
      <c r="L22" s="3498"/>
      <c r="M22" s="3498"/>
      <c r="N22" s="3498"/>
      <c r="O22" s="3498"/>
      <c r="P22" s="3498"/>
      <c r="Q22" s="349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48"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510"/>
      <c r="B4" s="3511"/>
      <c r="C4" s="3511"/>
      <c r="D4" s="3512"/>
      <c r="E4" s="3512"/>
      <c r="F4" s="3512"/>
      <c r="G4" s="3512"/>
      <c r="H4" s="3512"/>
      <c r="I4" s="3512"/>
      <c r="J4" s="351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507" t="s">
        <v>1960</v>
      </c>
      <c r="X8" s="350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509"/>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509"/>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t="e">
        <f>ROUND(G18/I18,2)</f>
        <v>#DIV/0!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514" t="s">
        <v>3254</v>
      </c>
      <c r="B20" s="159" t="s">
        <v>1994</v>
      </c>
      <c r="C20" s="3032" t="e">
        <f>ROUND(IF(F21="与级别开发程度一致",0,(G21-E21)/C21),0)</f>
        <v>#DIV/0!</v>
      </c>
      <c r="D20" s="3047" t="s">
        <v>1998</v>
      </c>
      <c r="E20" s="3048"/>
      <c r="F20" s="3520" t="s">
        <v>1995</v>
      </c>
      <c r="G20" s="3521"/>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515"/>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SUMIF(修正!C20:C53,E3,修正!E20:E53)</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15.7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0</v>
      </c>
      <c r="H23" s="3049"/>
      <c r="I23" s="3050" t="str">
        <f>IF(H23="季度增幅（自定义）",SUMIF(N25:N28,E2,O25:O28),"")</f>
        <v/>
      </c>
      <c r="J23" s="3142"/>
      <c r="K23" s="1061"/>
      <c r="L23" s="1897" t="s">
        <v>2004</v>
      </c>
      <c r="M23" s="1241">
        <f>ROUND(SUMIF(地价!B2:G2,E2,地价!B16:G16),0)</f>
        <v>0</v>
      </c>
      <c r="N23" s="1898" t="s">
        <v>2005</v>
      </c>
      <c r="O23" s="719" t="e">
        <f>ROUNDDOWN(DATEDIF(E23,G23,"M")/3,0)</f>
        <v>#NUM!</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3333</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3263</v>
      </c>
      <c r="L36" s="3143">
        <f ca="1">'数据-取费表'!B40</f>
        <v>0</v>
      </c>
      <c r="M36" s="2366">
        <f ca="1">ROUND($L$36*(1+M31),3)</f>
        <v>0</v>
      </c>
      <c r="N36" s="2366">
        <f ca="1">ROUND($L$36*(1+N31),3)</f>
        <v>0</v>
      </c>
      <c r="O36" s="2366">
        <f ca="1">ROUND($L$36*(1+O31),3)</f>
        <v>0</v>
      </c>
      <c r="P36" s="2366">
        <f ca="1">ROUND($L$36*(1+P31),3)</f>
        <v>0</v>
      </c>
      <c r="Q36" s="2366">
        <f ca="1">ROUND($L$36*(1+Q31),3)</f>
        <v>0</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18"/>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5"/>
      <c r="K37" s="3062" t="s">
        <v>3264</v>
      </c>
      <c r="L37" s="1964">
        <f ca="1">L36+K38</f>
        <v>5.0000000000000001E-3</v>
      </c>
      <c r="M37" s="2366">
        <f ca="1">ROUND($L$37*(1+M31),3)</f>
        <v>6.0000000000000001E-3</v>
      </c>
      <c r="N37" s="2366">
        <f t="shared" ref="N37:Q37" ca="1" si="3">ROUND($L$37*(1+N31),3)</f>
        <v>6.0000000000000001E-3</v>
      </c>
      <c r="O37" s="2366">
        <f t="shared" ca="1" si="3"/>
        <v>6.0000000000000001E-3</v>
      </c>
      <c r="P37" s="2366">
        <f t="shared" ca="1" si="3"/>
        <v>6.0000000000000001E-3</v>
      </c>
      <c r="Q37" s="2366">
        <f t="shared" ca="1" si="3"/>
        <v>6.0000000000000001E-3</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19"/>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19"/>
      <c r="B39" s="1884" t="s">
        <v>3257</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2612</v>
      </c>
      <c r="B91" s="3080">
        <f>1+E93</f>
        <v>1</v>
      </c>
      <c r="C91" s="3073"/>
      <c r="D91" s="3074"/>
      <c r="E91" s="1675"/>
      <c r="F91" s="1675"/>
      <c r="G91" s="3075"/>
      <c r="H91" s="3076"/>
      <c r="I91" s="3077"/>
      <c r="J91" s="3078"/>
      <c r="K91" s="3078"/>
      <c r="L91" s="3078"/>
      <c r="M91" s="3078"/>
      <c r="N91" s="3078"/>
    </row>
    <row r="92" spans="1:37" ht="24.75">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4">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516" t="s">
        <v>3292</v>
      </c>
      <c r="B103" s="3516"/>
      <c r="C103" s="3516"/>
      <c r="D103" s="3516"/>
      <c r="E103" s="3516"/>
      <c r="F103" s="3516"/>
      <c r="G103" s="3516"/>
      <c r="H103" s="3516"/>
      <c r="I103" s="3516"/>
      <c r="J103" s="3516"/>
      <c r="K103" s="1667"/>
      <c r="L103" s="1667"/>
      <c r="M103" s="1667"/>
      <c r="N103" s="1667"/>
    </row>
    <row r="104" spans="1:14">
      <c r="A104" s="3517" t="s">
        <v>3293</v>
      </c>
      <c r="B104" s="3517" t="s">
        <v>3294</v>
      </c>
      <c r="C104" s="3091" t="s">
        <v>3295</v>
      </c>
      <c r="D104" s="3092"/>
      <c r="E104" s="3092"/>
      <c r="F104" s="3092"/>
      <c r="G104" s="3092"/>
      <c r="H104" s="3092"/>
      <c r="I104" s="3092"/>
      <c r="J104" s="3093"/>
      <c r="K104" s="3094"/>
      <c r="L104" s="3094"/>
      <c r="M104" s="3094"/>
      <c r="N104" s="3094"/>
    </row>
    <row r="105" spans="1:14">
      <c r="A105" s="3517"/>
      <c r="B105" s="3517"/>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503"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504"/>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504"/>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504"/>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504"/>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504"/>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505"/>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506" t="s">
        <v>3309</v>
      </c>
      <c r="B113" s="3506"/>
      <c r="C113" s="3506"/>
      <c r="D113" s="3506"/>
      <c r="E113" s="3506"/>
      <c r="F113" s="3506"/>
      <c r="G113" s="3506"/>
      <c r="H113" s="3506"/>
      <c r="I113" s="3506"/>
      <c r="J113" s="3506"/>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3310</v>
      </c>
      <c r="B116" s="3115">
        <f>G3</f>
        <v>0</v>
      </c>
      <c r="C116" s="3100" t="s">
        <v>3311</v>
      </c>
      <c r="D116" s="3101">
        <f>SUMPRODUCT((A118:A122=F116)*(B117:M117=H116)*B118:M122)</f>
        <v>0</v>
      </c>
      <c r="E116" s="162" t="s">
        <v>3312</v>
      </c>
      <c r="F116" s="3102">
        <f>E2</f>
        <v>0</v>
      </c>
      <c r="G116" s="162" t="s">
        <v>3313</v>
      </c>
      <c r="H116" s="3102">
        <f>G2</f>
        <v>0</v>
      </c>
      <c r="I116" s="162"/>
      <c r="J116" s="3103"/>
      <c r="K116" s="3103"/>
      <c r="L116" s="3103"/>
      <c r="M116" s="3103"/>
      <c r="N116" s="3098"/>
    </row>
    <row r="117" spans="1:14">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c r="A118" s="3058" t="s">
        <v>3326</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3327</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3328</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3329</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2612</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47" priority="6" stopIfTrue="1" operator="notEqual">
      <formula>"——"</formula>
    </cfRule>
  </conditionalFormatting>
  <conditionalFormatting sqref="F61">
    <cfRule type="cellIs" dxfId="46" priority="5" stopIfTrue="1" operator="notEqual">
      <formula>"——"</formula>
    </cfRule>
  </conditionalFormatting>
  <conditionalFormatting sqref="F72">
    <cfRule type="cellIs" dxfId="45" priority="4" stopIfTrue="1" operator="notEqual">
      <formula>"——"</formula>
    </cfRule>
  </conditionalFormatting>
  <conditionalFormatting sqref="F83">
    <cfRule type="cellIs" dxfId="44" priority="3" stopIfTrue="1" operator="notEqual">
      <formula>"——"</formula>
    </cfRule>
  </conditionalFormatting>
  <conditionalFormatting sqref="H50:H58 H61:H69 H72:H80 H83:H91">
    <cfRule type="cellIs" dxfId="43" priority="2" operator="notEqual">
      <formula>"——"</formula>
    </cfRule>
  </conditionalFormatting>
  <conditionalFormatting sqref="H93:H101">
    <cfRule type="cellIs" dxfId="42"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533" t="s">
        <v>2607</v>
      </c>
      <c r="B20" s="3526" t="s">
        <v>2628</v>
      </c>
      <c r="C20" s="3169" t="s">
        <v>2439</v>
      </c>
      <c r="D20" s="3169"/>
      <c r="E20" s="2845">
        <v>1</v>
      </c>
      <c r="F20" s="2846" t="s">
        <v>2440</v>
      </c>
      <c r="G20" s="2846"/>
    </row>
    <row r="21" spans="1:13" ht="19.5" customHeight="1">
      <c r="A21" s="3534"/>
      <c r="B21" s="3522"/>
      <c r="C21" s="2858" t="s">
        <v>2441</v>
      </c>
      <c r="D21" s="2858"/>
      <c r="E21" s="2849">
        <v>1</v>
      </c>
      <c r="F21" s="2846" t="s">
        <v>2442</v>
      </c>
      <c r="G21" s="2846"/>
    </row>
    <row r="22" spans="1:13" ht="19.5" customHeight="1">
      <c r="A22" s="3534"/>
      <c r="B22" s="3522"/>
      <c r="C22" s="2858" t="s">
        <v>2443</v>
      </c>
      <c r="D22" s="2858"/>
      <c r="E22" s="2849">
        <v>0.9</v>
      </c>
      <c r="F22" s="2846" t="s">
        <v>2444</v>
      </c>
      <c r="G22" s="2846"/>
    </row>
    <row r="23" spans="1:13" ht="19.5" customHeight="1">
      <c r="A23" s="3534"/>
      <c r="B23" s="3522"/>
      <c r="C23" s="2858" t="s">
        <v>2445</v>
      </c>
      <c r="D23" s="2858"/>
      <c r="E23" s="2849">
        <v>0.9</v>
      </c>
      <c r="F23" s="2846" t="s">
        <v>2446</v>
      </c>
      <c r="G23" s="2846"/>
    </row>
    <row r="24" spans="1:13" ht="19.5" customHeight="1">
      <c r="A24" s="3534"/>
      <c r="B24" s="3522"/>
      <c r="C24" s="2858" t="s">
        <v>2447</v>
      </c>
      <c r="D24" s="2858"/>
      <c r="E24" s="2849">
        <v>0.8</v>
      </c>
      <c r="F24" s="2846" t="s">
        <v>2448</v>
      </c>
      <c r="G24" s="2846"/>
    </row>
    <row r="25" spans="1:13" ht="19.5" customHeight="1">
      <c r="A25" s="3534"/>
      <c r="B25" s="3522"/>
      <c r="C25" s="2858" t="s">
        <v>2449</v>
      </c>
      <c r="D25" s="2858"/>
      <c r="E25" s="2849">
        <v>0.8</v>
      </c>
      <c r="F25" s="2846"/>
      <c r="G25" s="2846"/>
    </row>
    <row r="26" spans="1:13" ht="19.5" customHeight="1">
      <c r="A26" s="3534"/>
      <c r="B26" s="3522"/>
      <c r="C26" s="2858" t="s">
        <v>3407</v>
      </c>
      <c r="D26" s="2858"/>
      <c r="E26" s="2849">
        <v>0.43</v>
      </c>
      <c r="F26" s="2846"/>
      <c r="G26" s="2846"/>
    </row>
    <row r="27" spans="1:13" ht="19.5" customHeight="1" thickBot="1">
      <c r="A27" s="3535"/>
      <c r="B27" s="3527"/>
      <c r="C27" s="3165" t="s">
        <v>3408</v>
      </c>
      <c r="D27" s="3165"/>
      <c r="E27" s="2852">
        <f>E26*0.9</f>
        <v>0.38700000000000001</v>
      </c>
      <c r="F27" s="2846" t="s">
        <v>2450</v>
      </c>
      <c r="G27" s="2846"/>
    </row>
    <row r="28" spans="1:13" ht="19.5" customHeight="1" thickBot="1">
      <c r="A28" s="3164" t="s">
        <v>2629</v>
      </c>
      <c r="B28" s="3163" t="s">
        <v>2628</v>
      </c>
      <c r="C28" s="3166" t="s">
        <v>2630</v>
      </c>
      <c r="D28" s="3167"/>
      <c r="E28" s="3168">
        <v>1</v>
      </c>
      <c r="F28" s="2846" t="s">
        <v>2451</v>
      </c>
      <c r="G28" s="2846"/>
    </row>
    <row r="29" spans="1:13" ht="19.5" customHeight="1">
      <c r="A29" s="3528" t="s">
        <v>2631</v>
      </c>
      <c r="B29" s="3531" t="s">
        <v>2612</v>
      </c>
      <c r="C29" s="2843" t="s">
        <v>2452</v>
      </c>
      <c r="D29" s="2844"/>
      <c r="E29" s="2845">
        <v>1</v>
      </c>
      <c r="F29" s="2846" t="s">
        <v>2453</v>
      </c>
      <c r="G29" s="2846"/>
    </row>
    <row r="30" spans="1:13" ht="19.5" customHeight="1">
      <c r="A30" s="3529"/>
      <c r="B30" s="3525"/>
      <c r="C30" s="2847" t="s">
        <v>2454</v>
      </c>
      <c r="D30" s="2848"/>
      <c r="E30" s="2849">
        <v>1</v>
      </c>
      <c r="F30" s="2846" t="s">
        <v>2455</v>
      </c>
      <c r="G30" s="2846"/>
    </row>
    <row r="31" spans="1:13" ht="19.5" customHeight="1">
      <c r="A31" s="3529"/>
      <c r="B31" s="3525"/>
      <c r="C31" s="2847" t="s">
        <v>2456</v>
      </c>
      <c r="D31" s="2848"/>
      <c r="E31" s="2849">
        <v>0.8</v>
      </c>
      <c r="F31" s="2846" t="s">
        <v>2457</v>
      </c>
      <c r="G31" s="2846"/>
    </row>
    <row r="32" spans="1:13" ht="19.5" customHeight="1">
      <c r="A32" s="3529"/>
      <c r="B32" s="3525"/>
      <c r="C32" s="2847" t="s">
        <v>2458</v>
      </c>
      <c r="D32" s="2848"/>
      <c r="E32" s="2849">
        <v>0.8</v>
      </c>
      <c r="F32" s="2846" t="s">
        <v>2459</v>
      </c>
      <c r="G32" s="2846"/>
    </row>
    <row r="33" spans="1:7" ht="19.5" customHeight="1">
      <c r="A33" s="3529"/>
      <c r="B33" s="3525"/>
      <c r="C33" s="2847" t="s">
        <v>2460</v>
      </c>
      <c r="D33" s="2848"/>
      <c r="E33" s="2849">
        <v>0.8</v>
      </c>
      <c r="F33" s="2846" t="s">
        <v>2461</v>
      </c>
      <c r="G33" s="2846"/>
    </row>
    <row r="34" spans="1:7" ht="19.5" customHeight="1">
      <c r="A34" s="3529"/>
      <c r="B34" s="3525"/>
      <c r="C34" s="2847" t="s">
        <v>2462</v>
      </c>
      <c r="D34" s="2848"/>
      <c r="E34" s="2849">
        <v>0.7</v>
      </c>
      <c r="F34" s="2846" t="s">
        <v>2463</v>
      </c>
      <c r="G34" s="2846"/>
    </row>
    <row r="35" spans="1:7" ht="19.5" customHeight="1">
      <c r="A35" s="3529"/>
      <c r="B35" s="3525"/>
      <c r="C35" s="2847" t="s">
        <v>2464</v>
      </c>
      <c r="D35" s="2848"/>
      <c r="E35" s="2849">
        <v>0.8</v>
      </c>
      <c r="F35" s="2846" t="s">
        <v>2465</v>
      </c>
      <c r="G35" s="2846"/>
    </row>
    <row r="36" spans="1:7" ht="19.5" customHeight="1">
      <c r="A36" s="3529"/>
      <c r="B36" s="3525"/>
      <c r="C36" s="2847" t="s">
        <v>2466</v>
      </c>
      <c r="D36" s="2848"/>
      <c r="E36" s="2849">
        <v>0.6</v>
      </c>
      <c r="F36" s="2846" t="s">
        <v>2467</v>
      </c>
      <c r="G36" s="2846"/>
    </row>
    <row r="37" spans="1:7" ht="19.5" customHeight="1">
      <c r="A37" s="3529"/>
      <c r="B37" s="3525"/>
      <c r="C37" s="2847" t="s">
        <v>2468</v>
      </c>
      <c r="D37" s="2848"/>
      <c r="E37" s="2849">
        <v>0.2</v>
      </c>
      <c r="F37" s="2846" t="s">
        <v>2469</v>
      </c>
      <c r="G37" s="2846"/>
    </row>
    <row r="38" spans="1:7" ht="19.5" customHeight="1">
      <c r="A38" s="3529"/>
      <c r="B38" s="3525"/>
      <c r="C38" s="2847" t="s">
        <v>2470</v>
      </c>
      <c r="D38" s="2848"/>
      <c r="E38" s="2849">
        <v>0.2</v>
      </c>
      <c r="F38" s="2846" t="s">
        <v>2471</v>
      </c>
      <c r="G38" s="2846"/>
    </row>
    <row r="39" spans="1:7" ht="19.5" customHeight="1">
      <c r="A39" s="3529"/>
      <c r="B39" s="3523" t="s">
        <v>2632</v>
      </c>
      <c r="C39" s="2847" t="s">
        <v>2472</v>
      </c>
      <c r="D39" s="2848"/>
      <c r="E39" s="2849">
        <v>0.6</v>
      </c>
      <c r="F39" s="2846" t="s">
        <v>2473</v>
      </c>
      <c r="G39" s="2846"/>
    </row>
    <row r="40" spans="1:7" ht="19.5" customHeight="1">
      <c r="A40" s="3529"/>
      <c r="B40" s="3525"/>
      <c r="C40" s="2847" t="s">
        <v>2474</v>
      </c>
      <c r="D40" s="2848"/>
      <c r="E40" s="2849">
        <v>0.6</v>
      </c>
      <c r="F40" s="2846" t="s">
        <v>2475</v>
      </c>
      <c r="G40" s="2846"/>
    </row>
    <row r="41" spans="1:7" ht="19.5" customHeight="1" thickBot="1">
      <c r="A41" s="3530"/>
      <c r="B41" s="3532"/>
      <c r="C41" s="2850" t="s">
        <v>2476</v>
      </c>
      <c r="D41" s="2851"/>
      <c r="E41" s="2852">
        <v>0.6</v>
      </c>
      <c r="F41" s="2846" t="s">
        <v>2477</v>
      </c>
      <c r="G41" s="2846"/>
    </row>
    <row r="42" spans="1:7" ht="19.5" customHeight="1" thickBot="1">
      <c r="A42" s="2853" t="s">
        <v>2609</v>
      </c>
      <c r="B42" s="2854" t="s">
        <v>2609</v>
      </c>
      <c r="C42" s="2855" t="s">
        <v>2633</v>
      </c>
      <c r="D42" s="2856"/>
      <c r="E42" s="2857">
        <v>1</v>
      </c>
      <c r="F42" s="2846" t="s">
        <v>2478</v>
      </c>
      <c r="G42" s="2846"/>
    </row>
    <row r="43" spans="1:7" ht="19.5" customHeight="1">
      <c r="A43" s="3533" t="s">
        <v>2610</v>
      </c>
      <c r="B43" s="3531" t="s">
        <v>2634</v>
      </c>
      <c r="C43" s="2843" t="s">
        <v>2479</v>
      </c>
      <c r="D43" s="2844"/>
      <c r="E43" s="2845">
        <v>1</v>
      </c>
      <c r="F43" s="2846" t="s">
        <v>2480</v>
      </c>
      <c r="G43" s="2846"/>
    </row>
    <row r="44" spans="1:7" ht="19.5" customHeight="1">
      <c r="A44" s="3534"/>
      <c r="B44" s="3525"/>
      <c r="C44" s="2847" t="s">
        <v>2481</v>
      </c>
      <c r="D44" s="2848"/>
      <c r="E44" s="2849">
        <v>1</v>
      </c>
      <c r="F44" s="2846" t="s">
        <v>2482</v>
      </c>
      <c r="G44" s="2846"/>
    </row>
    <row r="45" spans="1:7" ht="19.5" customHeight="1">
      <c r="A45" s="3534"/>
      <c r="B45" s="3524"/>
      <c r="C45" s="2847" t="s">
        <v>2483</v>
      </c>
      <c r="D45" s="2848"/>
      <c r="E45" s="2849">
        <v>1.5</v>
      </c>
      <c r="F45" s="2846" t="s">
        <v>2484</v>
      </c>
      <c r="G45" s="2846"/>
    </row>
    <row r="46" spans="1:7" ht="19.5" customHeight="1">
      <c r="A46" s="3534"/>
      <c r="B46" s="2858" t="s">
        <v>2635</v>
      </c>
      <c r="C46" s="2847" t="s">
        <v>2636</v>
      </c>
      <c r="D46" s="2848"/>
      <c r="E46" s="2849">
        <v>2</v>
      </c>
      <c r="F46" s="2846" t="s">
        <v>2485</v>
      </c>
      <c r="G46" s="2846"/>
    </row>
    <row r="47" spans="1:7" ht="19.5" customHeight="1">
      <c r="A47" s="3534"/>
      <c r="B47" s="3523" t="s">
        <v>2637</v>
      </c>
      <c r="C47" s="2847" t="s">
        <v>2486</v>
      </c>
      <c r="D47" s="2848"/>
      <c r="E47" s="2849">
        <v>1</v>
      </c>
      <c r="F47" s="2846" t="s">
        <v>2487</v>
      </c>
      <c r="G47" s="2846"/>
    </row>
    <row r="48" spans="1:7" ht="19.5" customHeight="1">
      <c r="A48" s="3534"/>
      <c r="B48" s="3525"/>
      <c r="C48" s="2847" t="s">
        <v>2488</v>
      </c>
      <c r="D48" s="2848"/>
      <c r="E48" s="2849">
        <v>1</v>
      </c>
      <c r="F48" s="2846" t="s">
        <v>2489</v>
      </c>
      <c r="G48" s="2846"/>
    </row>
    <row r="49" spans="1:7" ht="19.5" customHeight="1">
      <c r="A49" s="3534"/>
      <c r="B49" s="3525"/>
      <c r="C49" s="2847" t="s">
        <v>2490</v>
      </c>
      <c r="D49" s="2848"/>
      <c r="E49" s="2849">
        <v>1</v>
      </c>
      <c r="F49" s="2846" t="s">
        <v>2491</v>
      </c>
      <c r="G49" s="2846"/>
    </row>
    <row r="50" spans="1:7" ht="19.5" customHeight="1">
      <c r="A50" s="3534"/>
      <c r="B50" s="3525"/>
      <c r="C50" s="2847" t="s">
        <v>2492</v>
      </c>
      <c r="D50" s="2848"/>
      <c r="E50" s="2849">
        <v>1</v>
      </c>
      <c r="F50" s="2846" t="s">
        <v>2493</v>
      </c>
      <c r="G50" s="2846"/>
    </row>
    <row r="51" spans="1:7" ht="19.5" customHeight="1">
      <c r="A51" s="3534"/>
      <c r="B51" s="3525"/>
      <c r="C51" s="2847" t="s">
        <v>2494</v>
      </c>
      <c r="D51" s="2848"/>
      <c r="E51" s="2849">
        <v>1</v>
      </c>
      <c r="F51" s="2846" t="s">
        <v>2495</v>
      </c>
      <c r="G51" s="2846"/>
    </row>
    <row r="52" spans="1:7" ht="19.5" customHeight="1">
      <c r="A52" s="3534"/>
      <c r="B52" s="3525"/>
      <c r="C52" s="2847" t="s">
        <v>2496</v>
      </c>
      <c r="D52" s="2848"/>
      <c r="E52" s="2849">
        <v>1</v>
      </c>
      <c r="F52" s="2846" t="s">
        <v>2497</v>
      </c>
      <c r="G52" s="2846"/>
    </row>
    <row r="53" spans="1:7" ht="19.5" customHeight="1" thickBot="1">
      <c r="A53" s="3535"/>
      <c r="B53" s="3532"/>
      <c r="C53" s="2850" t="s">
        <v>2498</v>
      </c>
      <c r="D53" s="2851"/>
      <c r="E53" s="2852">
        <v>1</v>
      </c>
      <c r="F53" s="2846" t="s">
        <v>2499</v>
      </c>
      <c r="G53" s="2846"/>
    </row>
    <row r="54" spans="1:7" ht="19.5" customHeight="1">
      <c r="A54" s="2859"/>
      <c r="B54" s="2859"/>
      <c r="C54" s="2859"/>
      <c r="D54" s="2859"/>
      <c r="E54" s="2859"/>
      <c r="F54" s="2859"/>
      <c r="G54" s="2859"/>
    </row>
    <row r="56" spans="1:7" ht="19.5" customHeight="1">
      <c r="A56" s="2860"/>
      <c r="B56" s="2832" t="s">
        <v>2638</v>
      </c>
      <c r="C56" s="2832" t="s">
        <v>2638</v>
      </c>
      <c r="D56" s="2832" t="s">
        <v>2638</v>
      </c>
      <c r="E56" s="2835" t="s">
        <v>2638</v>
      </c>
      <c r="F56" s="2835" t="s">
        <v>2639</v>
      </c>
      <c r="G56" s="2835" t="s">
        <v>2640</v>
      </c>
    </row>
    <row r="57" spans="1:7" ht="19.5" customHeight="1">
      <c r="A57" s="2861"/>
      <c r="B57" s="2835" t="s">
        <v>2607</v>
      </c>
      <c r="C57" s="2835" t="s">
        <v>2607</v>
      </c>
      <c r="D57" s="2835" t="s">
        <v>2607</v>
      </c>
      <c r="E57" s="2832" t="s">
        <v>2608</v>
      </c>
      <c r="F57" s="2832" t="s">
        <v>2610</v>
      </c>
      <c r="G57" s="2832" t="s">
        <v>2641</v>
      </c>
    </row>
    <row r="58" spans="1:7" ht="19.5" customHeight="1">
      <c r="A58" s="2862"/>
      <c r="B58" s="2832">
        <v>1</v>
      </c>
      <c r="C58" s="2832">
        <v>2</v>
      </c>
      <c r="D58" s="2832">
        <v>3</v>
      </c>
      <c r="E58" s="2863" t="s">
        <v>2642</v>
      </c>
      <c r="F58" s="2863" t="s">
        <v>2642</v>
      </c>
      <c r="G58" s="2863" t="s">
        <v>2642</v>
      </c>
    </row>
    <row r="59" spans="1:7" ht="19.5" customHeight="1">
      <c r="A59" s="2864" t="s">
        <v>2595</v>
      </c>
      <c r="B59" s="2832">
        <v>0.7</v>
      </c>
      <c r="C59" s="2832">
        <v>0.4</v>
      </c>
      <c r="D59" s="2832">
        <v>0.3</v>
      </c>
      <c r="E59" s="2863">
        <v>0.3</v>
      </c>
      <c r="F59" s="2832">
        <v>0.3</v>
      </c>
      <c r="G59" s="2832">
        <v>0.2</v>
      </c>
    </row>
    <row r="60" spans="1:7" ht="19.5" customHeight="1">
      <c r="A60" s="2864" t="s">
        <v>2596</v>
      </c>
      <c r="B60" s="2832">
        <v>0.7</v>
      </c>
      <c r="C60" s="2832">
        <v>0.4</v>
      </c>
      <c r="D60" s="2832">
        <v>0.3</v>
      </c>
      <c r="E60" s="2832">
        <v>0.3</v>
      </c>
      <c r="F60" s="2832">
        <v>0.3</v>
      </c>
      <c r="G60" s="2832">
        <v>0.2</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0.6</v>
      </c>
      <c r="C64" s="2832">
        <v>0.3</v>
      </c>
      <c r="D64" s="2832">
        <v>0.25</v>
      </c>
      <c r="E64" s="2832">
        <v>0.25</v>
      </c>
      <c r="F64" s="2832">
        <v>0.25</v>
      </c>
      <c r="G64" s="2832">
        <v>0.15</v>
      </c>
    </row>
    <row r="65" spans="1:7" ht="19.5" customHeight="1">
      <c r="A65" s="2864" t="s">
        <v>2601</v>
      </c>
      <c r="B65" s="2832">
        <v>0.6</v>
      </c>
      <c r="C65" s="2832">
        <v>0.3</v>
      </c>
      <c r="D65" s="2832">
        <v>0.25</v>
      </c>
      <c r="E65" s="2832">
        <v>0.25</v>
      </c>
      <c r="F65" s="2832">
        <v>0.25</v>
      </c>
      <c r="G65" s="2832">
        <v>0.15</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69" spans="1:7" ht="19.5" customHeight="1">
      <c r="A69" s="2864" t="s">
        <v>2605</v>
      </c>
      <c r="B69" s="2832">
        <v>0.5</v>
      </c>
      <c r="C69" s="2832">
        <v>0.2</v>
      </c>
      <c r="D69" s="2832">
        <v>0.2</v>
      </c>
      <c r="E69" s="2832">
        <v>0.2</v>
      </c>
      <c r="F69" s="2832">
        <v>0.2</v>
      </c>
      <c r="G69" s="2832">
        <v>0.1</v>
      </c>
    </row>
    <row r="70" spans="1:7" ht="19.5" customHeight="1">
      <c r="A70" s="2864" t="s">
        <v>2606</v>
      </c>
      <c r="B70" s="2832">
        <v>0.5</v>
      </c>
      <c r="C70" s="2832">
        <v>0.2</v>
      </c>
      <c r="D70" s="2832">
        <v>0.2</v>
      </c>
      <c r="E70" s="2832">
        <v>0.2</v>
      </c>
      <c r="F70" s="2832">
        <v>0.2</v>
      </c>
      <c r="G70" s="2832">
        <v>0.1</v>
      </c>
    </row>
    <row r="72" spans="1:7" ht="19.5" customHeight="1">
      <c r="A72" s="2846"/>
      <c r="B72" s="2865"/>
      <c r="C72" s="2865"/>
      <c r="D72" s="2865" t="s">
        <v>2643</v>
      </c>
      <c r="E72" s="2865"/>
      <c r="F72" s="2865"/>
    </row>
    <row r="73" spans="1:7" ht="19.5" customHeight="1">
      <c r="A73" s="2858" t="s">
        <v>2644</v>
      </c>
      <c r="B73" s="2858" t="s">
        <v>2645</v>
      </c>
      <c r="C73" s="2858" t="s">
        <v>2646</v>
      </c>
      <c r="D73" s="2858" t="s">
        <v>2647</v>
      </c>
      <c r="E73" s="2858" t="s">
        <v>2648</v>
      </c>
      <c r="F73" s="2858" t="s">
        <v>2649</v>
      </c>
    </row>
    <row r="74" spans="1:7" ht="13.5">
      <c r="A74" s="2858"/>
      <c r="B74" s="2858"/>
      <c r="C74" s="2858" t="s">
        <v>2650</v>
      </c>
      <c r="D74" s="2858"/>
      <c r="E74" s="2858" t="s">
        <v>2621</v>
      </c>
      <c r="F74" s="2858" t="s">
        <v>2621</v>
      </c>
    </row>
    <row r="75" spans="1:7" ht="13.5">
      <c r="A75" s="2858">
        <v>1</v>
      </c>
      <c r="B75" s="3523" t="s">
        <v>2651</v>
      </c>
      <c r="C75" s="2832" t="s">
        <v>2652</v>
      </c>
      <c r="D75" s="2832" t="s">
        <v>2653</v>
      </c>
      <c r="E75" s="2858">
        <v>0.2</v>
      </c>
      <c r="F75" s="2858">
        <v>25</v>
      </c>
    </row>
    <row r="76" spans="1:7" ht="24">
      <c r="A76" s="2858">
        <v>2</v>
      </c>
      <c r="B76" s="3525"/>
      <c r="C76" s="2832" t="s">
        <v>2654</v>
      </c>
      <c r="D76" s="2832" t="s">
        <v>2655</v>
      </c>
      <c r="E76" s="2858">
        <v>0.2</v>
      </c>
      <c r="F76" s="2858">
        <v>25</v>
      </c>
    </row>
    <row r="77" spans="1:7" ht="24">
      <c r="A77" s="2858">
        <v>3</v>
      </c>
      <c r="B77" s="3525"/>
      <c r="C77" s="2832" t="s">
        <v>2656</v>
      </c>
      <c r="D77" s="2832" t="s">
        <v>2657</v>
      </c>
      <c r="E77" s="2858">
        <v>0.2</v>
      </c>
      <c r="F77" s="2858">
        <v>25</v>
      </c>
    </row>
    <row r="78" spans="1:7" ht="13.5">
      <c r="A78" s="2858">
        <v>4</v>
      </c>
      <c r="B78" s="3525"/>
      <c r="C78" s="2832" t="s">
        <v>2658</v>
      </c>
      <c r="D78" s="2832" t="s">
        <v>2659</v>
      </c>
      <c r="E78" s="2858">
        <v>0.15</v>
      </c>
      <c r="F78" s="2858">
        <v>20</v>
      </c>
    </row>
    <row r="79" spans="1:7" ht="24">
      <c r="A79" s="2858">
        <v>5</v>
      </c>
      <c r="B79" s="3525"/>
      <c r="C79" s="2832" t="s">
        <v>2660</v>
      </c>
      <c r="D79" s="2832" t="s">
        <v>2661</v>
      </c>
      <c r="E79" s="2858">
        <v>0.15</v>
      </c>
      <c r="F79" s="2858">
        <v>20</v>
      </c>
    </row>
    <row r="80" spans="1:7" ht="24">
      <c r="A80" s="2858">
        <v>6</v>
      </c>
      <c r="B80" s="3525"/>
      <c r="C80" s="2832" t="s">
        <v>2662</v>
      </c>
      <c r="D80" s="2832" t="s">
        <v>2663</v>
      </c>
      <c r="E80" s="2858">
        <v>0.15</v>
      </c>
      <c r="F80" s="2858">
        <v>20</v>
      </c>
    </row>
    <row r="81" spans="1:6" ht="24">
      <c r="A81" s="2858">
        <v>7</v>
      </c>
      <c r="B81" s="3525"/>
      <c r="C81" s="2832" t="s">
        <v>2664</v>
      </c>
      <c r="D81" s="2832" t="s">
        <v>2665</v>
      </c>
      <c r="E81" s="2858">
        <v>0.15</v>
      </c>
      <c r="F81" s="2858">
        <v>20</v>
      </c>
    </row>
    <row r="82" spans="1:6" ht="24">
      <c r="A82" s="2858">
        <v>8</v>
      </c>
      <c r="B82" s="3525"/>
      <c r="C82" s="2832" t="s">
        <v>2666</v>
      </c>
      <c r="D82" s="2832" t="s">
        <v>2667</v>
      </c>
      <c r="E82" s="2858">
        <v>0.1</v>
      </c>
      <c r="F82" s="2858">
        <v>15</v>
      </c>
    </row>
    <row r="83" spans="1:6" ht="24">
      <c r="A83" s="2858">
        <v>9</v>
      </c>
      <c r="B83" s="3525"/>
      <c r="C83" s="2832" t="s">
        <v>2668</v>
      </c>
      <c r="D83" s="2832" t="s">
        <v>2669</v>
      </c>
      <c r="E83" s="2858">
        <v>0.1</v>
      </c>
      <c r="F83" s="2858">
        <v>15</v>
      </c>
    </row>
    <row r="84" spans="1:6" ht="24">
      <c r="A84" s="2858">
        <v>10</v>
      </c>
      <c r="B84" s="3525"/>
      <c r="C84" s="2832" t="s">
        <v>2670</v>
      </c>
      <c r="D84" s="2832" t="s">
        <v>2671</v>
      </c>
      <c r="E84" s="2858">
        <v>0.1</v>
      </c>
      <c r="F84" s="2858">
        <v>15</v>
      </c>
    </row>
    <row r="85" spans="1:6" ht="24">
      <c r="A85" s="2858">
        <v>11</v>
      </c>
      <c r="B85" s="3525"/>
      <c r="C85" s="2832" t="s">
        <v>2672</v>
      </c>
      <c r="D85" s="2832" t="s">
        <v>2673</v>
      </c>
      <c r="E85" s="2858">
        <v>0.1</v>
      </c>
      <c r="F85" s="2858">
        <v>15</v>
      </c>
    </row>
    <row r="86" spans="1:6" ht="24">
      <c r="A86" s="2858">
        <v>12</v>
      </c>
      <c r="B86" s="3525"/>
      <c r="C86" s="2832" t="s">
        <v>2674</v>
      </c>
      <c r="D86" s="2832" t="s">
        <v>2675</v>
      </c>
      <c r="E86" s="2858">
        <v>0.1</v>
      </c>
      <c r="F86" s="2858">
        <v>15</v>
      </c>
    </row>
    <row r="87" spans="1:6" ht="13.5">
      <c r="A87" s="2858">
        <v>13</v>
      </c>
      <c r="B87" s="3525"/>
      <c r="C87" s="2832" t="s">
        <v>2676</v>
      </c>
      <c r="D87" s="2832" t="s">
        <v>2677</v>
      </c>
      <c r="E87" s="2858">
        <v>0.1</v>
      </c>
      <c r="F87" s="2858">
        <v>15</v>
      </c>
    </row>
    <row r="88" spans="1:6" ht="13.5">
      <c r="A88" s="2858">
        <v>14</v>
      </c>
      <c r="B88" s="3525"/>
      <c r="C88" s="2832" t="s">
        <v>2678</v>
      </c>
      <c r="D88" s="2832" t="s">
        <v>2679</v>
      </c>
      <c r="E88" s="2858">
        <v>0.1</v>
      </c>
      <c r="F88" s="2858">
        <v>15</v>
      </c>
    </row>
    <row r="89" spans="1:6" ht="13.5">
      <c r="A89" s="2858">
        <v>15</v>
      </c>
      <c r="B89" s="3525"/>
      <c r="C89" s="2832" t="s">
        <v>2680</v>
      </c>
      <c r="D89" s="2832" t="s">
        <v>2681</v>
      </c>
      <c r="E89" s="2858">
        <v>0.1</v>
      </c>
      <c r="F89" s="2858">
        <v>15</v>
      </c>
    </row>
    <row r="90" spans="1:6" ht="24">
      <c r="A90" s="2858">
        <v>16</v>
      </c>
      <c r="B90" s="3525"/>
      <c r="C90" s="2832" t="s">
        <v>2682</v>
      </c>
      <c r="D90" s="2832" t="s">
        <v>2683</v>
      </c>
      <c r="E90" s="2858">
        <v>0.1</v>
      </c>
      <c r="F90" s="2858">
        <v>15</v>
      </c>
    </row>
    <row r="91" spans="1:6" ht="24">
      <c r="A91" s="2858">
        <v>17</v>
      </c>
      <c r="B91" s="3524"/>
      <c r="C91" s="2832" t="s">
        <v>2684</v>
      </c>
      <c r="D91" s="2832" t="s">
        <v>2685</v>
      </c>
      <c r="E91" s="2858">
        <v>0.1</v>
      </c>
      <c r="F91" s="2858">
        <v>15</v>
      </c>
    </row>
    <row r="92" spans="1:6" ht="13.5">
      <c r="A92" s="2858">
        <v>18</v>
      </c>
      <c r="B92" s="3523" t="s">
        <v>2686</v>
      </c>
      <c r="C92" s="2832" t="s">
        <v>2687</v>
      </c>
      <c r="D92" s="2832" t="s">
        <v>2688</v>
      </c>
      <c r="E92" s="2858">
        <v>0.2</v>
      </c>
      <c r="F92" s="2858">
        <v>25</v>
      </c>
    </row>
    <row r="93" spans="1:6" ht="24">
      <c r="A93" s="2858">
        <v>19</v>
      </c>
      <c r="B93" s="3525"/>
      <c r="C93" s="2832" t="s">
        <v>2689</v>
      </c>
      <c r="D93" s="2832" t="s">
        <v>2690</v>
      </c>
      <c r="E93" s="2858">
        <v>0.2</v>
      </c>
      <c r="F93" s="2858">
        <v>25</v>
      </c>
    </row>
    <row r="94" spans="1:6" ht="13.5">
      <c r="A94" s="2858">
        <v>20</v>
      </c>
      <c r="B94" s="3525"/>
      <c r="C94" s="2832" t="s">
        <v>2691</v>
      </c>
      <c r="D94" s="2832" t="s">
        <v>2692</v>
      </c>
      <c r="E94" s="2858">
        <v>0.15</v>
      </c>
      <c r="F94" s="2858">
        <v>20</v>
      </c>
    </row>
    <row r="95" spans="1:6" ht="13.5">
      <c r="A95" s="2858">
        <v>21</v>
      </c>
      <c r="B95" s="3525"/>
      <c r="C95" s="2832" t="s">
        <v>2693</v>
      </c>
      <c r="D95" s="2832" t="s">
        <v>2694</v>
      </c>
      <c r="E95" s="2858">
        <v>0.15</v>
      </c>
      <c r="F95" s="2858">
        <v>20</v>
      </c>
    </row>
    <row r="96" spans="1:6" ht="13.5">
      <c r="A96" s="2858">
        <v>22</v>
      </c>
      <c r="B96" s="3525"/>
      <c r="C96" s="2832" t="s">
        <v>2695</v>
      </c>
      <c r="D96" s="2832" t="s">
        <v>2696</v>
      </c>
      <c r="E96" s="2858">
        <v>0.15</v>
      </c>
      <c r="F96" s="2858">
        <v>20</v>
      </c>
    </row>
    <row r="97" spans="1:6" ht="36">
      <c r="A97" s="2858">
        <v>23</v>
      </c>
      <c r="B97" s="3525"/>
      <c r="C97" s="2832" t="s">
        <v>2697</v>
      </c>
      <c r="D97" s="2832" t="s">
        <v>2698</v>
      </c>
      <c r="E97" s="2858">
        <v>0.15</v>
      </c>
      <c r="F97" s="2858">
        <v>20</v>
      </c>
    </row>
    <row r="98" spans="1:6" ht="13.5">
      <c r="A98" s="2858">
        <v>24</v>
      </c>
      <c r="B98" s="3525"/>
      <c r="C98" s="2832" t="s">
        <v>2699</v>
      </c>
      <c r="D98" s="2832" t="s">
        <v>2700</v>
      </c>
      <c r="E98" s="2858">
        <v>0.1</v>
      </c>
      <c r="F98" s="2858">
        <v>15</v>
      </c>
    </row>
    <row r="99" spans="1:6" ht="13.5">
      <c r="A99" s="2858">
        <v>25</v>
      </c>
      <c r="B99" s="3525"/>
      <c r="C99" s="2832" t="s">
        <v>2701</v>
      </c>
      <c r="D99" s="2832" t="s">
        <v>2702</v>
      </c>
      <c r="E99" s="2858">
        <v>0.1</v>
      </c>
      <c r="F99" s="2858">
        <v>15</v>
      </c>
    </row>
    <row r="100" spans="1:6" ht="24">
      <c r="A100" s="2858">
        <v>26</v>
      </c>
      <c r="B100" s="3525"/>
      <c r="C100" s="2832" t="s">
        <v>2703</v>
      </c>
      <c r="D100" s="2832" t="s">
        <v>2704</v>
      </c>
      <c r="E100" s="2858">
        <v>0.1</v>
      </c>
      <c r="F100" s="2858">
        <v>15</v>
      </c>
    </row>
    <row r="101" spans="1:6" ht="24">
      <c r="A101" s="2858">
        <v>27</v>
      </c>
      <c r="B101" s="3525"/>
      <c r="C101" s="2832" t="s">
        <v>2705</v>
      </c>
      <c r="D101" s="2832" t="s">
        <v>2706</v>
      </c>
      <c r="E101" s="2858">
        <v>0.1</v>
      </c>
      <c r="F101" s="2858">
        <v>15</v>
      </c>
    </row>
    <row r="102" spans="1:6" ht="13.5">
      <c r="A102" s="2858">
        <v>28</v>
      </c>
      <c r="B102" s="3525"/>
      <c r="C102" s="2832" t="s">
        <v>2707</v>
      </c>
      <c r="D102" s="2832" t="s">
        <v>2708</v>
      </c>
      <c r="E102" s="2858">
        <v>0.1</v>
      </c>
      <c r="F102" s="2858">
        <v>15</v>
      </c>
    </row>
    <row r="103" spans="1:6" ht="13.5">
      <c r="A103" s="2858">
        <v>29</v>
      </c>
      <c r="B103" s="3525"/>
      <c r="C103" s="2832" t="s">
        <v>2709</v>
      </c>
      <c r="D103" s="2832" t="s">
        <v>2710</v>
      </c>
      <c r="E103" s="2858">
        <v>0.1</v>
      </c>
      <c r="F103" s="2858">
        <v>15</v>
      </c>
    </row>
    <row r="104" spans="1:6" ht="13.5">
      <c r="A104" s="2858">
        <v>30</v>
      </c>
      <c r="B104" s="3525"/>
      <c r="C104" s="2832" t="s">
        <v>2711</v>
      </c>
      <c r="D104" s="2832" t="s">
        <v>2712</v>
      </c>
      <c r="E104" s="2858">
        <v>0.1</v>
      </c>
      <c r="F104" s="2858">
        <v>15</v>
      </c>
    </row>
    <row r="105" spans="1:6" ht="24">
      <c r="A105" s="2858">
        <v>31</v>
      </c>
      <c r="B105" s="3525"/>
      <c r="C105" s="2832" t="s">
        <v>2713</v>
      </c>
      <c r="D105" s="2832" t="s">
        <v>2714</v>
      </c>
      <c r="E105" s="2858">
        <v>0.1</v>
      </c>
      <c r="F105" s="2858">
        <v>15</v>
      </c>
    </row>
    <row r="106" spans="1:6" ht="24">
      <c r="A106" s="2858">
        <v>32</v>
      </c>
      <c r="B106" s="3525"/>
      <c r="C106" s="2832" t="s">
        <v>2715</v>
      </c>
      <c r="D106" s="2832" t="s">
        <v>2716</v>
      </c>
      <c r="E106" s="2858">
        <v>0.1</v>
      </c>
      <c r="F106" s="2858">
        <v>15</v>
      </c>
    </row>
    <row r="107" spans="1:6" ht="24">
      <c r="A107" s="2858">
        <v>33</v>
      </c>
      <c r="B107" s="3525"/>
      <c r="C107" s="2832" t="s">
        <v>2717</v>
      </c>
      <c r="D107" s="2832" t="s">
        <v>2718</v>
      </c>
      <c r="E107" s="2858">
        <v>0.1</v>
      </c>
      <c r="F107" s="2858">
        <v>15</v>
      </c>
    </row>
    <row r="108" spans="1:6" ht="24">
      <c r="A108" s="2858">
        <v>34</v>
      </c>
      <c r="B108" s="3524"/>
      <c r="C108" s="2832" t="s">
        <v>2719</v>
      </c>
      <c r="D108" s="2832" t="s">
        <v>2720</v>
      </c>
      <c r="E108" s="2858">
        <v>0.1</v>
      </c>
      <c r="F108" s="2858">
        <v>15</v>
      </c>
    </row>
    <row r="109" spans="1:6" ht="24">
      <c r="A109" s="2858">
        <v>35</v>
      </c>
      <c r="B109" s="3523" t="s">
        <v>2721</v>
      </c>
      <c r="C109" s="2858" t="s">
        <v>2722</v>
      </c>
      <c r="D109" s="2832" t="s">
        <v>2723</v>
      </c>
      <c r="E109" s="2858">
        <v>0.15</v>
      </c>
      <c r="F109" s="2858">
        <v>20</v>
      </c>
    </row>
    <row r="110" spans="1:6" ht="13.5">
      <c r="A110" s="2858">
        <v>36</v>
      </c>
      <c r="B110" s="3525"/>
      <c r="C110" s="2858" t="s">
        <v>2724</v>
      </c>
      <c r="D110" s="2832" t="s">
        <v>2725</v>
      </c>
      <c r="E110" s="2858">
        <v>0.15</v>
      </c>
      <c r="F110" s="2858">
        <v>20</v>
      </c>
    </row>
    <row r="111" spans="1:6" ht="13.5">
      <c r="A111" s="2858">
        <v>37</v>
      </c>
      <c r="B111" s="3525"/>
      <c r="C111" s="2858" t="s">
        <v>2726</v>
      </c>
      <c r="D111" s="2832" t="s">
        <v>2727</v>
      </c>
      <c r="E111" s="2858">
        <v>0.15</v>
      </c>
      <c r="F111" s="2858">
        <v>20</v>
      </c>
    </row>
    <row r="112" spans="1:6" ht="13.5">
      <c r="A112" s="2858">
        <v>38</v>
      </c>
      <c r="B112" s="3525"/>
      <c r="C112" s="2858" t="s">
        <v>2728</v>
      </c>
      <c r="D112" s="2832" t="s">
        <v>2729</v>
      </c>
      <c r="E112" s="2858">
        <v>0.1</v>
      </c>
      <c r="F112" s="2858">
        <v>15</v>
      </c>
    </row>
    <row r="113" spans="1:6" ht="24">
      <c r="A113" s="2858">
        <v>39</v>
      </c>
      <c r="B113" s="3525"/>
      <c r="C113" s="2858" t="s">
        <v>2730</v>
      </c>
      <c r="D113" s="2832" t="s">
        <v>2731</v>
      </c>
      <c r="E113" s="2858">
        <v>0.1</v>
      </c>
      <c r="F113" s="2858">
        <v>15</v>
      </c>
    </row>
    <row r="114" spans="1:6" ht="24">
      <c r="A114" s="2858">
        <v>40</v>
      </c>
      <c r="B114" s="3524"/>
      <c r="C114" s="2858" t="s">
        <v>2732</v>
      </c>
      <c r="D114" s="2832" t="s">
        <v>2733</v>
      </c>
      <c r="E114" s="2858">
        <v>0.1</v>
      </c>
      <c r="F114" s="2858">
        <v>15</v>
      </c>
    </row>
    <row r="115" spans="1:6" ht="13.5">
      <c r="A115" s="2858">
        <v>41</v>
      </c>
      <c r="B115" s="3522" t="s">
        <v>2734</v>
      </c>
      <c r="C115" s="2858" t="s">
        <v>2735</v>
      </c>
      <c r="D115" s="2832" t="s">
        <v>2736</v>
      </c>
      <c r="E115" s="2858">
        <v>0.1</v>
      </c>
      <c r="F115" s="2858">
        <v>15</v>
      </c>
    </row>
    <row r="116" spans="1:6" ht="13.5">
      <c r="A116" s="2858">
        <v>42</v>
      </c>
      <c r="B116" s="3522"/>
      <c r="C116" s="2858" t="s">
        <v>2737</v>
      </c>
      <c r="D116" s="2832" t="s">
        <v>2738</v>
      </c>
      <c r="E116" s="2858">
        <v>0.1</v>
      </c>
      <c r="F116" s="2858">
        <v>15</v>
      </c>
    </row>
    <row r="117" spans="1:6" ht="24">
      <c r="A117" s="2858">
        <v>43</v>
      </c>
      <c r="B117" s="3522"/>
      <c r="C117" s="2858" t="s">
        <v>2739</v>
      </c>
      <c r="D117" s="2832" t="s">
        <v>2740</v>
      </c>
      <c r="E117" s="2858">
        <v>0.1</v>
      </c>
      <c r="F117" s="2858">
        <v>15</v>
      </c>
    </row>
    <row r="118" spans="1:6" ht="13.5">
      <c r="A118" s="2858">
        <v>44</v>
      </c>
      <c r="B118" s="3523" t="s">
        <v>2741</v>
      </c>
      <c r="C118" s="2858" t="s">
        <v>2742</v>
      </c>
      <c r="D118" s="2832" t="s">
        <v>2743</v>
      </c>
      <c r="E118" s="2858">
        <v>0.1</v>
      </c>
      <c r="F118" s="2858">
        <v>15</v>
      </c>
    </row>
    <row r="119" spans="1:6" ht="24">
      <c r="A119" s="2858">
        <v>45</v>
      </c>
      <c r="B119" s="3524"/>
      <c r="C119" s="2832" t="s">
        <v>2744</v>
      </c>
      <c r="D119" s="2832" t="s">
        <v>2745</v>
      </c>
      <c r="E119" s="2858">
        <v>0.1</v>
      </c>
      <c r="F119" s="2858">
        <v>15</v>
      </c>
    </row>
    <row r="120" spans="1:6" ht="24">
      <c r="A120" s="2858">
        <v>46</v>
      </c>
      <c r="B120" s="3523" t="s">
        <v>2746</v>
      </c>
      <c r="C120" s="2858" t="s">
        <v>2747</v>
      </c>
      <c r="D120" s="2832" t="s">
        <v>2748</v>
      </c>
      <c r="E120" s="2858">
        <v>0.1</v>
      </c>
      <c r="F120" s="2858">
        <v>15</v>
      </c>
    </row>
    <row r="121" spans="1:6" ht="24">
      <c r="A121" s="2858">
        <v>47</v>
      </c>
      <c r="B121" s="3524"/>
      <c r="C121" s="2858" t="s">
        <v>2749</v>
      </c>
      <c r="D121" s="2832" t="s">
        <v>2750</v>
      </c>
      <c r="E121" s="2858">
        <v>0.1</v>
      </c>
      <c r="F121" s="2858">
        <v>15</v>
      </c>
    </row>
    <row r="122" spans="1:6" ht="13.5">
      <c r="A122" s="2858">
        <v>48</v>
      </c>
      <c r="B122" s="3523" t="s">
        <v>2751</v>
      </c>
      <c r="C122" s="2858" t="s">
        <v>2752</v>
      </c>
      <c r="D122" s="2832" t="s">
        <v>2753</v>
      </c>
      <c r="E122" s="2858">
        <v>0.1</v>
      </c>
      <c r="F122" s="2858">
        <v>15</v>
      </c>
    </row>
    <row r="123" spans="1:6" ht="13.5">
      <c r="A123" s="2858">
        <v>49</v>
      </c>
      <c r="B123" s="3524"/>
      <c r="C123" s="2858" t="s">
        <v>2754</v>
      </c>
      <c r="D123" s="2832" t="s">
        <v>2755</v>
      </c>
      <c r="E123" s="2858">
        <v>0.1</v>
      </c>
      <c r="F123" s="2858">
        <v>15</v>
      </c>
    </row>
    <row r="124" spans="1:6" ht="24">
      <c r="A124" s="2858">
        <v>50</v>
      </c>
      <c r="B124" s="3522" t="s">
        <v>2756</v>
      </c>
      <c r="C124" s="2858" t="s">
        <v>2757</v>
      </c>
      <c r="D124" s="2832" t="s">
        <v>2758</v>
      </c>
      <c r="E124" s="2858">
        <v>0.1</v>
      </c>
      <c r="F124" s="2858">
        <v>15</v>
      </c>
    </row>
    <row r="125" spans="1:6" ht="24">
      <c r="A125" s="2858">
        <v>51</v>
      </c>
      <c r="B125" s="3522"/>
      <c r="C125" s="2858" t="s">
        <v>2759</v>
      </c>
      <c r="D125" s="2832" t="s">
        <v>2760</v>
      </c>
      <c r="E125" s="2858">
        <v>0.1</v>
      </c>
      <c r="F125" s="2858">
        <v>15</v>
      </c>
    </row>
    <row r="126" spans="1:6" ht="24">
      <c r="A126" s="2858">
        <v>52</v>
      </c>
      <c r="B126" s="3522" t="s">
        <v>2761</v>
      </c>
      <c r="C126" s="2858" t="s">
        <v>2762</v>
      </c>
      <c r="D126" s="2832" t="s">
        <v>2763</v>
      </c>
      <c r="E126" s="2858">
        <v>0.1</v>
      </c>
      <c r="F126" s="2858">
        <v>15</v>
      </c>
    </row>
    <row r="127" spans="1:6" ht="24">
      <c r="A127" s="2858">
        <v>53</v>
      </c>
      <c r="B127" s="3522"/>
      <c r="C127" s="2858" t="s">
        <v>2764</v>
      </c>
      <c r="D127" s="2832" t="s">
        <v>2765</v>
      </c>
      <c r="E127" s="2858">
        <v>0.1</v>
      </c>
      <c r="F127" s="2858">
        <v>15</v>
      </c>
    </row>
    <row r="128" spans="1:6" ht="13.5">
      <c r="A128" s="2858">
        <v>54</v>
      </c>
      <c r="B128" s="2858" t="s">
        <v>2766</v>
      </c>
      <c r="C128" s="2858" t="s">
        <v>2767</v>
      </c>
      <c r="D128" s="2832" t="s">
        <v>2768</v>
      </c>
      <c r="E128" s="2858">
        <v>0.1</v>
      </c>
      <c r="F128" s="2858">
        <v>15</v>
      </c>
    </row>
    <row r="129" spans="1:6" ht="13.5">
      <c r="A129" s="2858">
        <v>55</v>
      </c>
      <c r="B129" s="3522" t="s">
        <v>2769</v>
      </c>
      <c r="C129" s="2858" t="s">
        <v>2770</v>
      </c>
      <c r="D129" s="2832" t="s">
        <v>2771</v>
      </c>
      <c r="E129" s="2858">
        <v>0.1</v>
      </c>
      <c r="F129" s="2858">
        <v>15</v>
      </c>
    </row>
    <row r="130" spans="1:6" ht="13.5">
      <c r="A130" s="2858">
        <v>56</v>
      </c>
      <c r="B130" s="3522"/>
      <c r="C130" s="2858" t="s">
        <v>2772</v>
      </c>
      <c r="D130" s="2832" t="s">
        <v>2773</v>
      </c>
      <c r="E130" s="2858">
        <v>0.1</v>
      </c>
      <c r="F130" s="2858">
        <v>15</v>
      </c>
    </row>
    <row r="131" spans="1:6" ht="24">
      <c r="A131" s="2858">
        <v>57</v>
      </c>
      <c r="B131" s="3522"/>
      <c r="C131" s="2858" t="s">
        <v>2774</v>
      </c>
      <c r="D131" s="2832" t="s">
        <v>2775</v>
      </c>
      <c r="E131" s="2858">
        <v>0.1</v>
      </c>
      <c r="F131" s="2858">
        <v>15</v>
      </c>
    </row>
    <row r="132" spans="1:6" ht="24">
      <c r="A132" s="2858">
        <v>58</v>
      </c>
      <c r="B132" s="3522" t="s">
        <v>2776</v>
      </c>
      <c r="C132" s="2858" t="s">
        <v>2777</v>
      </c>
      <c r="D132" s="2832" t="s">
        <v>2778</v>
      </c>
      <c r="E132" s="2858">
        <v>0.1</v>
      </c>
      <c r="F132" s="2858">
        <v>15</v>
      </c>
    </row>
    <row r="133" spans="1:6" ht="13.5">
      <c r="A133" s="2858">
        <v>59</v>
      </c>
      <c r="B133" s="3522"/>
      <c r="C133" s="2858" t="s">
        <v>2779</v>
      </c>
      <c r="D133" s="2832" t="s">
        <v>2780</v>
      </c>
      <c r="E133" s="2858">
        <v>0.1</v>
      </c>
      <c r="F133" s="2858">
        <v>15</v>
      </c>
    </row>
    <row r="134" spans="1:6" ht="13.5">
      <c r="A134" s="2858">
        <v>60</v>
      </c>
      <c r="B134" s="3523" t="s">
        <v>2781</v>
      </c>
      <c r="C134" s="2858" t="s">
        <v>2782</v>
      </c>
      <c r="D134" s="2832" t="s">
        <v>2783</v>
      </c>
      <c r="E134" s="2858">
        <v>0.1</v>
      </c>
      <c r="F134" s="2858">
        <v>15</v>
      </c>
    </row>
    <row r="135" spans="1:6" ht="13.5">
      <c r="A135" s="2858">
        <v>61</v>
      </c>
      <c r="B135" s="3524"/>
      <c r="C135" s="2858" t="s">
        <v>2784</v>
      </c>
      <c r="D135" s="2832" t="s">
        <v>2785</v>
      </c>
      <c r="E135" s="2858">
        <v>0.1</v>
      </c>
      <c r="F135" s="2858">
        <v>15</v>
      </c>
    </row>
    <row r="136" spans="1:6" ht="24">
      <c r="A136" s="2858">
        <v>62</v>
      </c>
      <c r="B136" s="2858" t="s">
        <v>2786</v>
      </c>
      <c r="C136" s="2858" t="s">
        <v>2787</v>
      </c>
      <c r="D136" s="2832" t="s">
        <v>2788</v>
      </c>
      <c r="E136" s="2858">
        <v>0.1</v>
      </c>
      <c r="F136" s="2858">
        <v>15</v>
      </c>
    </row>
    <row r="137" spans="1:6" ht="13.5">
      <c r="A137" s="2858">
        <v>63</v>
      </c>
      <c r="B137" s="3522" t="s">
        <v>2789</v>
      </c>
      <c r="C137" s="2858" t="s">
        <v>2790</v>
      </c>
      <c r="D137" s="2832" t="s">
        <v>2791</v>
      </c>
      <c r="E137" s="2858">
        <v>0.1</v>
      </c>
      <c r="F137" s="2858">
        <v>15</v>
      </c>
    </row>
    <row r="138" spans="1:6" ht="13.5">
      <c r="A138" s="2858">
        <v>64</v>
      </c>
      <c r="B138" s="3522"/>
      <c r="C138" s="2858" t="s">
        <v>2792</v>
      </c>
      <c r="D138" s="2832" t="s">
        <v>2793</v>
      </c>
      <c r="E138" s="2858">
        <v>0.1</v>
      </c>
      <c r="F138" s="2858">
        <v>15</v>
      </c>
    </row>
    <row r="139" spans="1:6" ht="13.5">
      <c r="A139" s="2858">
        <v>65</v>
      </c>
      <c r="B139" s="2858" t="s">
        <v>2794</v>
      </c>
      <c r="C139" s="2858" t="s">
        <v>2795</v>
      </c>
      <c r="D139" s="2832" t="s">
        <v>2796</v>
      </c>
      <c r="E139" s="2858">
        <v>0.1</v>
      </c>
      <c r="F139" s="2858">
        <v>15</v>
      </c>
    </row>
    <row r="140" spans="1:6" ht="13.5">
      <c r="A140" s="2858"/>
      <c r="B140" s="2858"/>
      <c r="C140" s="2858"/>
      <c r="D140" s="2858"/>
      <c r="E140" s="2858" t="s">
        <v>2797</v>
      </c>
      <c r="F140" s="285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0</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2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2"/>
      <c r="C2" s="3222"/>
      <c r="D2" s="3222"/>
      <c r="E2" s="3222"/>
    </row>
    <row r="3" spans="1:5" ht="18">
      <c r="A3" s="3223" t="str">
        <f>IF(项目基本情况!B9="房地产市场价值","估价结果一览表（市场价值不需“结果表-1”）","估价结果一览表")</f>
        <v>估价结果一览表</v>
      </c>
      <c r="B3" s="3223"/>
      <c r="C3" s="3223"/>
      <c r="D3" s="3223"/>
      <c r="E3" s="3223"/>
    </row>
    <row r="4" spans="1:5" ht="19.5" thickBot="1">
      <c r="A4" s="1391"/>
      <c r="B4" s="3221" t="s">
        <v>917</v>
      </c>
      <c r="C4" s="3221"/>
      <c r="D4" s="3221"/>
      <c r="E4" s="1391"/>
    </row>
    <row r="5" spans="1:5" ht="16.5" thickTop="1">
      <c r="B5" s="3219" t="s">
        <v>909</v>
      </c>
      <c r="C5" s="1392" t="s">
        <v>910</v>
      </c>
      <c r="D5" s="797" t="e">
        <f ca="1">结果表!H101</f>
        <v>#REF!</v>
      </c>
    </row>
    <row r="6" spans="1:5" ht="15.75">
      <c r="B6" s="3219"/>
      <c r="C6" s="1392" t="s">
        <v>911</v>
      </c>
      <c r="D6" s="797" t="e">
        <f ca="1">NUMBERSTRING(INT(D5*10000),2)&amp;"元整"</f>
        <v>#REF!</v>
      </c>
    </row>
    <row r="7" spans="1:5" ht="15.75">
      <c r="B7" s="3224"/>
      <c r="C7" s="1393" t="s">
        <v>912</v>
      </c>
      <c r="D7" s="798" t="e">
        <f ca="1">结果表!H102</f>
        <v>#REF!</v>
      </c>
    </row>
    <row r="8" spans="1:5" ht="15.75">
      <c r="B8" s="3225" t="str">
        <f>结果表!E103</f>
        <v>2.估价师知悉的法定优先受偿款</v>
      </c>
      <c r="C8" s="1394" t="s">
        <v>913</v>
      </c>
      <c r="D8" s="798">
        <f>结果表!H103</f>
        <v>0</v>
      </c>
    </row>
    <row r="9" spans="1:5" ht="15.75">
      <c r="B9" s="3227"/>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18" t="str">
        <f>结果表!E107</f>
        <v>3.房地产抵押价值</v>
      </c>
      <c r="C13" s="1397" t="s">
        <v>910</v>
      </c>
      <c r="D13" s="800" t="e">
        <f ca="1">结果表!H107</f>
        <v>#REF!</v>
      </c>
    </row>
    <row r="14" spans="1:5" ht="15.75">
      <c r="B14" s="3219"/>
      <c r="C14" s="1392" t="s">
        <v>911</v>
      </c>
      <c r="D14" s="797" t="e">
        <f ca="1">NUMBERSTRING(INT(D13*10000),2)&amp;"元整"</f>
        <v>#REF!</v>
      </c>
    </row>
    <row r="15" spans="1:5" ht="15">
      <c r="B15" s="3224"/>
      <c r="C15" s="1393" t="s">
        <v>921</v>
      </c>
      <c r="D15" s="806" t="e">
        <f ca="1">结果表!H108</f>
        <v>#REF!</v>
      </c>
    </row>
    <row r="16" spans="1:5" ht="15">
      <c r="B16" s="3225" t="str">
        <f>结果表!E109</f>
        <v>——</v>
      </c>
      <c r="C16" s="1397" t="s">
        <v>922</v>
      </c>
      <c r="D16" s="1398" t="str">
        <f>结果表!H109</f>
        <v>——</v>
      </c>
    </row>
    <row r="17" spans="1:5" ht="15.75">
      <c r="B17" s="3226"/>
      <c r="C17" s="1392" t="s">
        <v>923</v>
      </c>
      <c r="D17" s="797" t="e">
        <f>NUMBERSTRING(INT(D16*10000),2)&amp;"元整"</f>
        <v>#VALUE!</v>
      </c>
    </row>
    <row r="18" spans="1:5" ht="15">
      <c r="B18" s="3227"/>
      <c r="C18" s="1393" t="s">
        <v>912</v>
      </c>
      <c r="D18" s="806" t="str">
        <f>结果表!H110</f>
        <v>——</v>
      </c>
    </row>
    <row r="19" spans="1:5" ht="15.75">
      <c r="B19" s="3218" t="str">
        <f>结果表!E111</f>
        <v>——</v>
      </c>
      <c r="C19" s="1397" t="s">
        <v>910</v>
      </c>
      <c r="D19" s="798" t="str">
        <f>结果表!H111</f>
        <v>——</v>
      </c>
    </row>
    <row r="20" spans="1:5" ht="15.75">
      <c r="B20" s="3219"/>
      <c r="C20" s="1392" t="s">
        <v>923</v>
      </c>
      <c r="D20" s="797" t="e">
        <f>NUMBERSTRING(INT(D19*10000),2)&amp;"元整"</f>
        <v>#VALUE!</v>
      </c>
    </row>
    <row r="21" spans="1:5" ht="15.75" thickBot="1">
      <c r="B21" s="3220"/>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t="e">
        <f ca="1">C52</f>
        <v>#DIV/0!</v>
      </c>
      <c r="C2" s="2" t="s">
        <v>106</v>
      </c>
      <c r="D2" s="191"/>
      <c r="E2" s="191"/>
      <c r="F2" s="191"/>
      <c r="G2" s="191"/>
    </row>
    <row r="3" spans="1:7" s="192" customFormat="1" ht="18" customHeight="1" thickBot="1">
      <c r="A3" s="195" t="s">
        <v>58</v>
      </c>
      <c r="B3" s="196" t="e">
        <f ca="1">ROUND(B2*10000/'数据-汇总表'!E3,0)</f>
        <v>#DIV/0!</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0</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f ca="1">ROUND(SUM(C23:C25),0)</f>
        <v>0</v>
      </c>
      <c r="D22" s="227">
        <f ca="1">C26</f>
        <v>0</v>
      </c>
      <c r="E22" s="228" t="s">
        <v>99</v>
      </c>
      <c r="F22" s="229">
        <f ca="1">'数据-取费表'!B40</f>
        <v>0</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0</v>
      </c>
      <c r="D25" s="230"/>
      <c r="E25" s="233"/>
      <c r="F25" s="231"/>
      <c r="G25" s="234" t="s">
        <v>83</v>
      </c>
    </row>
    <row r="26" spans="1:7" s="206" customFormat="1">
      <c r="A26" s="734" t="s">
        <v>350</v>
      </c>
      <c r="B26" s="207" t="s">
        <v>422</v>
      </c>
      <c r="C26" s="230">
        <f ca="1">ROUND(IF('数据-取费表'!B22&lt;=1,F21*F22*'数据-取费表'!B23/2,F21*(POWER((1+F22),'数据-取费表'!B23/2)-1)),4)</f>
        <v>0</v>
      </c>
      <c r="D26" s="230"/>
      <c r="E26" s="233"/>
      <c r="F26" s="231"/>
      <c r="G26" s="235"/>
    </row>
    <row r="27" spans="1:7" s="206" customFormat="1" ht="24.75">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#DIV/0!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0</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f ca="1">ROUND(SUM(C42:C43),0)</f>
        <v>0</v>
      </c>
      <c r="D41" s="227">
        <f ca="1">C44</f>
        <v>0</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0</v>
      </c>
      <c r="D42" s="230"/>
      <c r="E42" s="230"/>
      <c r="F42" s="231"/>
      <c r="G42" s="3399" t="s">
        <v>94</v>
      </c>
    </row>
    <row r="43" spans="1:7" ht="13.5" customHeight="1">
      <c r="A43" s="734" t="s">
        <v>347</v>
      </c>
      <c r="B43" s="207" t="s">
        <v>426</v>
      </c>
      <c r="C43" s="230">
        <f ca="1">ROUND(IF('数据-取费表'!B22&lt;=1,C39*F22*'数据-取费表'!B21/2,C39*(POWER((1+F22),'数据-取费表'!B21/2)-1)),0)</f>
        <v>0</v>
      </c>
      <c r="D43" s="230"/>
      <c r="E43" s="230"/>
      <c r="F43" s="231"/>
      <c r="G43" s="3400"/>
    </row>
    <row r="44" spans="1:7" ht="13.5" customHeight="1">
      <c r="A44" s="734" t="s">
        <v>348</v>
      </c>
      <c r="B44" s="207" t="s">
        <v>428</v>
      </c>
      <c r="C44" s="230">
        <f ca="1">ROUND(IF('数据-取费表'!B22&lt;=1,C40*F22*'数据-取费表'!B21/2,C40*(POWER((1+F22),'数据-取费表'!B21/2)-1)),4)</f>
        <v>0</v>
      </c>
      <c r="D44" s="230"/>
      <c r="E44" s="230"/>
      <c r="F44" s="231"/>
      <c r="G44" s="3401"/>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#DIV/0!</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#DIV/0!</v>
      </c>
      <c r="D51" s="224"/>
      <c r="E51" s="224"/>
      <c r="F51" s="256"/>
      <c r="G51" s="226" t="s">
        <v>37</v>
      </c>
    </row>
    <row r="52" spans="1:7" s="200" customFormat="1" ht="16.5" thickBot="1">
      <c r="A52" s="257" t="s">
        <v>38</v>
      </c>
      <c r="B52" s="258"/>
      <c r="C52" s="259" t="e">
        <f ca="1">C31+C51</f>
        <v>#DIV/0!</v>
      </c>
      <c r="D52" s="258"/>
      <c r="E52" s="258"/>
      <c r="F52" s="258"/>
      <c r="G52" s="260"/>
    </row>
    <row r="55" spans="1:7" ht="15">
      <c r="B55" s="262" t="s">
        <v>39</v>
      </c>
      <c r="C55" s="263"/>
    </row>
    <row r="56" spans="1:7">
      <c r="B56" s="265" t="s">
        <v>40</v>
      </c>
      <c r="C56" s="266" t="e">
        <f ca="1">ROUND(C51/C52,3)</f>
        <v>#DIV/0!</v>
      </c>
    </row>
    <row r="57" spans="1:7">
      <c r="B57" s="265" t="s">
        <v>41</v>
      </c>
      <c r="C57" s="267" t="e">
        <f ca="1">1-C56</f>
        <v>#DIV/0!</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536" t="s">
        <v>3181</v>
      </c>
      <c r="B1" s="3536"/>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537" t="s">
        <v>3232</v>
      </c>
      <c r="B1" s="3537"/>
      <c r="C1" s="3537"/>
      <c r="D1" s="3537"/>
      <c r="E1" s="3537"/>
      <c r="F1" s="3538"/>
    </row>
    <row r="2" spans="1:6" ht="14.25">
      <c r="A2" s="3003" t="s">
        <v>3233</v>
      </c>
    </row>
    <row r="3" spans="1:6" ht="14.25">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8">
        <f>基准地价修正!G23</f>
        <v>0</v>
      </c>
      <c r="B1" s="2930" t="s">
        <v>3376</v>
      </c>
      <c r="C1" s="2931"/>
      <c r="D1" s="2931"/>
      <c r="E1" s="2931"/>
      <c r="F1" s="2931"/>
      <c r="G1" s="2931"/>
      <c r="H1" s="2931"/>
      <c r="I1" s="2931"/>
      <c r="J1" s="2897"/>
      <c r="K1" s="2931" t="s">
        <v>454</v>
      </c>
      <c r="L1" s="2931"/>
      <c r="M1" s="2931"/>
      <c r="N1" s="2931"/>
      <c r="O1" s="2931"/>
      <c r="P1" s="2931"/>
      <c r="Q1" s="2897"/>
      <c r="R1" s="3539" t="s">
        <v>456</v>
      </c>
      <c r="S1" s="3540"/>
      <c r="T1" s="3540"/>
      <c r="U1" s="3540"/>
      <c r="V1" s="3540"/>
      <c r="W1" s="3540"/>
      <c r="X1" s="2897"/>
      <c r="Y1" s="3539" t="s">
        <v>457</v>
      </c>
      <c r="Z1" s="3540"/>
      <c r="AA1" s="3540"/>
      <c r="AB1" s="3540"/>
      <c r="AC1" s="3540"/>
      <c r="AD1" s="3540"/>
    </row>
    <row r="2" spans="1:44"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7" customFormat="1" ht="12.75">
      <c r="A3" s="2885" t="s">
        <v>2819</v>
      </c>
      <c r="B3" s="2886"/>
      <c r="D3" s="2887">
        <f>ROUND(AVERAGEIF(D4:D24,"&lt;&gt;0"),2)</f>
        <v>0.33</v>
      </c>
      <c r="E3" s="2887">
        <f t="shared" ref="E3:H3" si="0">ROUND(AVERAGEIF(E4:E24,"&lt;&gt;0"),2)</f>
        <v>0.14000000000000001</v>
      </c>
      <c r="F3" s="2887">
        <f t="shared" si="0"/>
        <v>-0.16</v>
      </c>
      <c r="G3" s="2887">
        <f t="shared" si="0"/>
        <v>0.39</v>
      </c>
      <c r="H3" s="2887">
        <f t="shared" si="0"/>
        <v>0.47</v>
      </c>
      <c r="I3" s="2887">
        <f>F3</f>
        <v>-0.16</v>
      </c>
      <c r="J3" s="2888"/>
      <c r="K3" s="2889">
        <f>ROUND(AVERAGEIF(K4:K24,"&lt;&gt;0"),4)</f>
        <v>3.3E-3</v>
      </c>
      <c r="L3" s="2890">
        <f t="shared" ref="L3:O3" si="1">ROUND(AVERAGEIF(L4:L24,"&lt;&gt;0"),4)</f>
        <v>1.4E-3</v>
      </c>
      <c r="M3" s="2890">
        <f t="shared" si="1"/>
        <v>-1.6000000000000001E-3</v>
      </c>
      <c r="N3" s="2890">
        <f t="shared" si="1"/>
        <v>3.8999999999999998E-3</v>
      </c>
      <c r="O3" s="2890">
        <f t="shared" si="1"/>
        <v>4.7000000000000002E-3</v>
      </c>
      <c r="P3" s="2890">
        <f>M3</f>
        <v>-1.6000000000000001E-3</v>
      </c>
      <c r="Q3" s="2888"/>
      <c r="R3" s="2891">
        <f>ROUND(SUMPRODUCT(PRODUCT(1+K4:K24)),4)</f>
        <v>1.0631999999999999</v>
      </c>
      <c r="S3" s="2892">
        <f t="shared" ref="S3:V3" si="2">ROUND(SUMPRODUCT(PRODUCT(1+L4:L24)),4)</f>
        <v>1.0268999999999999</v>
      </c>
      <c r="T3" s="2892">
        <f t="shared" si="2"/>
        <v>0.97040000000000004</v>
      </c>
      <c r="U3" s="2892">
        <f t="shared" si="2"/>
        <v>1.0765</v>
      </c>
      <c r="V3" s="2892">
        <f t="shared" si="2"/>
        <v>1.0933999999999999</v>
      </c>
      <c r="W3" s="2891">
        <f>T3</f>
        <v>0.97040000000000004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3400</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105.3</v>
      </c>
      <c r="AG5" s="3154">
        <f t="shared" ref="AG5:AK5" si="18">$AF$24*S5</f>
        <v>102.51999999999998</v>
      </c>
      <c r="AH5" s="3154">
        <f t="shared" si="18"/>
        <v>97.289999999999992</v>
      </c>
      <c r="AI5" s="3154">
        <f t="shared" si="18"/>
        <v>106.47</v>
      </c>
      <c r="AJ5" s="3154">
        <f t="shared" si="18"/>
        <v>108.94999999999999</v>
      </c>
      <c r="AK5" s="3154">
        <f t="shared" si="18"/>
        <v>97.289999999999992</v>
      </c>
      <c r="AM5" s="3160">
        <v>100</v>
      </c>
      <c r="AN5" s="3160">
        <v>100</v>
      </c>
      <c r="AO5" s="3160">
        <v>100</v>
      </c>
      <c r="AP5" s="3160">
        <v>100</v>
      </c>
      <c r="AQ5" s="3160">
        <v>100</v>
      </c>
      <c r="AR5" s="3160">
        <v>100</v>
      </c>
    </row>
    <row r="6" spans="1:44" s="2917" customFormat="1" ht="12.75">
      <c r="A6" s="2908" t="s">
        <v>3414</v>
      </c>
      <c r="B6" s="2909">
        <v>2025</v>
      </c>
      <c r="C6" s="2910">
        <v>3</v>
      </c>
      <c r="D6" s="2911">
        <v>-0.45</v>
      </c>
      <c r="E6" s="2911">
        <v>-0.22</v>
      </c>
      <c r="F6" s="2911">
        <v>-0.82</v>
      </c>
      <c r="G6" s="2911">
        <v>-0.39</v>
      </c>
      <c r="H6" s="2912">
        <v>0.04</v>
      </c>
      <c r="I6" s="2913">
        <f t="shared" ref="I6" si="19">F6</f>
        <v>-0.82</v>
      </c>
      <c r="J6" s="2914"/>
      <c r="K6" s="2915">
        <f t="shared" ref="K6" si="20">D6/100</f>
        <v>-4.5000000000000005E-3</v>
      </c>
      <c r="L6" s="2916">
        <f t="shared" ref="L6" si="21">E6/100</f>
        <v>-2.2000000000000001E-3</v>
      </c>
      <c r="M6" s="2916">
        <f t="shared" ref="M6" si="22">F6/100</f>
        <v>-8.199999999999999E-3</v>
      </c>
      <c r="N6" s="2916">
        <f t="shared" ref="N6" si="23">G6/100</f>
        <v>-3.9000000000000003E-3</v>
      </c>
      <c r="O6" s="2916">
        <f t="shared" ref="O6" si="24">H6/100</f>
        <v>4.0000000000000002E-4</v>
      </c>
      <c r="P6" s="2916">
        <f t="shared" si="10"/>
        <v>-8.199999999999999E-3</v>
      </c>
      <c r="Q6" s="2914"/>
      <c r="R6" s="2914">
        <f>ROUND(IF(项目基本情况!$B$8="出让",SUMPRODUCT(PRODUCT(1+K6:$K$24)),SUMPRODUCT(PRODUCT(1+K6:$K$23))),4)</f>
        <v>1.0529999999999999</v>
      </c>
      <c r="S6" s="2914">
        <f>ROUND(IF(项目基本情况!$B$8="出让",SUMPRODUCT(PRODUCT(1+L6:$L$24)),SUMPRODUCT(PRODUCT(1+L6:$L$23))),4)</f>
        <v>1.0251999999999999</v>
      </c>
      <c r="T6" s="2914">
        <f>ROUND(IF(项目基本情况!$B$8="出让",SUMPRODUCT(PRODUCT(1+M6:$M$24)),SUMPRODUCT(PRODUCT(1+M6:$M$23))),4)</f>
        <v>0.97289999999999999</v>
      </c>
      <c r="U6" s="2914">
        <f>ROUND(IF(项目基本情况!$B$8="出让",SUMPRODUCT(PRODUCT(1+N6:$N$24)),SUMPRODUCT(PRODUCT(1+N6:$N$23))),4)</f>
        <v>1.0647</v>
      </c>
      <c r="V6" s="2914">
        <f>ROUND(IF(项目基本情况!$B$8="出让",SUMPRODUCT(PRODUCT(1+O6:$O$24)),SUMPRODUCT(PRODUCT(1+O6:$O$23))),4)</f>
        <v>1.0894999999999999</v>
      </c>
      <c r="W6" s="2914">
        <f t="shared" si="11"/>
        <v>0.97289999999999999</v>
      </c>
      <c r="X6" s="2914"/>
      <c r="Y6" s="2916">
        <f t="shared" si="12"/>
        <v>1.4E-3</v>
      </c>
      <c r="Z6" s="2916">
        <f t="shared" ref="Z6" si="25">IF(E6=0,0,ROUND(AVERAGE(E6:E19)/100,4))</f>
        <v>5.0000000000000001E-4</v>
      </c>
      <c r="AA6" s="2916">
        <f t="shared" ref="AA6" si="26">IF(F6=0,0,ROUND(AVERAGE(F6:F19)/100,4))</f>
        <v>-2.7000000000000001E-3</v>
      </c>
      <c r="AB6" s="2916">
        <f t="shared" ref="AB6" si="27">IF(G6=0,0,ROUND(AVERAGE(G6:G19)/100,4))</f>
        <v>2E-3</v>
      </c>
      <c r="AC6" s="2916">
        <f t="shared" ref="AC6" si="28">IF(H6=0,0,ROUND(AVERAGE(H6:H19)/100,4))</f>
        <v>4.1999999999999997E-3</v>
      </c>
      <c r="AD6" s="2916">
        <f t="shared" ref="AD6" si="29">AA6</f>
        <v>-2.7000000000000001E-3</v>
      </c>
      <c r="AF6" s="3155">
        <f t="shared" ref="AF6:AF23" si="30">$AF$24*R6</f>
        <v>105.3</v>
      </c>
      <c r="AG6" s="3155">
        <f t="shared" ref="AG6:AG23" si="31">$AF$24*S6</f>
        <v>102.51999999999998</v>
      </c>
      <c r="AH6" s="3155">
        <f t="shared" ref="AH6:AH23" si="32">$AF$24*T6</f>
        <v>97.289999999999992</v>
      </c>
      <c r="AI6" s="3155">
        <f t="shared" ref="AI6:AI23" si="33">$AF$24*U6</f>
        <v>106.47</v>
      </c>
      <c r="AJ6" s="3155">
        <f t="shared" ref="AJ6:AJ23" si="34">$AF$24*V6</f>
        <v>108.94999999999999</v>
      </c>
      <c r="AK6" s="3155">
        <f t="shared" ref="AK6:AK23" si="35">$AF$24*W6</f>
        <v>97.289999999999992</v>
      </c>
      <c r="AM6" s="3155">
        <f>AM5/(1+D5/100)</f>
        <v>100</v>
      </c>
      <c r="AN6" s="3155">
        <f t="shared" ref="AN6:AR6" si="36">AN5/(1+E5/100)</f>
        <v>100</v>
      </c>
      <c r="AO6" s="3155">
        <f t="shared" si="36"/>
        <v>100</v>
      </c>
      <c r="AP6" s="3155">
        <f t="shared" si="36"/>
        <v>100</v>
      </c>
      <c r="AQ6" s="3155">
        <f t="shared" si="36"/>
        <v>100</v>
      </c>
      <c r="AR6" s="3155">
        <f t="shared" si="36"/>
        <v>100</v>
      </c>
    </row>
    <row r="7" spans="1:44" s="2045" customFormat="1" ht="12.75">
      <c r="A7" s="2040" t="s">
        <v>3415</v>
      </c>
      <c r="B7" s="2031">
        <v>2025</v>
      </c>
      <c r="C7" s="2042">
        <v>2</v>
      </c>
      <c r="D7" s="2007">
        <v>0.05</v>
      </c>
      <c r="E7" s="2007">
        <v>-0.62</v>
      </c>
      <c r="F7" s="2007">
        <v>-1.05</v>
      </c>
      <c r="G7" s="2007">
        <v>0.09</v>
      </c>
      <c r="H7" s="2007">
        <v>0.17</v>
      </c>
      <c r="I7" s="2008">
        <f t="shared" ref="I7" si="37">F7</f>
        <v>-1.05</v>
      </c>
      <c r="J7" s="2907"/>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7"/>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7"/>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100.45203415369161</v>
      </c>
      <c r="AN7" s="3154">
        <f t="shared" ref="AN7:AN24" si="49">AN6/(1+E6/100)</f>
        <v>100.22048506714772</v>
      </c>
      <c r="AO7" s="3154">
        <f t="shared" ref="AO7:AO24" si="50">AO6/(1+F6/100)</f>
        <v>100.8267795926598</v>
      </c>
      <c r="AP7" s="3154">
        <f t="shared" ref="AP7:AP24" si="51">AP6/(1+G6/100)</f>
        <v>100.39152695512499</v>
      </c>
      <c r="AQ7" s="3154">
        <f t="shared" ref="AQ7:AQ24" si="52">AQ6/(1+H6/100)</f>
        <v>99.960015993602568</v>
      </c>
      <c r="AR7" s="3154">
        <f t="shared" ref="AR7:AR24" si="53">AR6/(1+I6/100)</f>
        <v>100.8267795926598</v>
      </c>
    </row>
    <row r="8" spans="1:44" s="2045" customFormat="1" ht="12.75">
      <c r="A8" s="2040" t="s">
        <v>3406</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100.40183323707308</v>
      </c>
      <c r="AN8" s="3154">
        <f t="shared" si="49"/>
        <v>100.84572858437082</v>
      </c>
      <c r="AO8" s="3154">
        <f t="shared" si="50"/>
        <v>101.89669488899423</v>
      </c>
      <c r="AP8" s="3154">
        <f t="shared" si="51"/>
        <v>100.3012558248826</v>
      </c>
      <c r="AQ8" s="3154">
        <f t="shared" si="52"/>
        <v>99.790372360589558</v>
      </c>
      <c r="AR8" s="3154">
        <f t="shared" si="53"/>
        <v>101.89669488899423</v>
      </c>
    </row>
    <row r="9" spans="1:44" s="2045" customFormat="1" ht="12.75">
      <c r="A9" s="2040" t="s">
        <v>3405</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99.832786354850427</v>
      </c>
      <c r="AN9" s="3154">
        <f t="shared" si="49"/>
        <v>101.42384449800947</v>
      </c>
      <c r="AO9" s="3154">
        <f t="shared" si="50"/>
        <v>102.82209373258752</v>
      </c>
      <c r="AP9" s="3154">
        <f t="shared" si="51"/>
        <v>99.190324193910797</v>
      </c>
      <c r="AQ9" s="3154">
        <f t="shared" si="52"/>
        <v>99.373005736496282</v>
      </c>
      <c r="AR9" s="3154">
        <f t="shared" si="53"/>
        <v>102.82209373258752</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100.86157441387192</v>
      </c>
      <c r="AN10" s="3154">
        <f t="shared" si="49"/>
        <v>101.91302702774264</v>
      </c>
      <c r="AO10" s="3154">
        <f t="shared" si="50"/>
        <v>103.59908688421916</v>
      </c>
      <c r="AP10" s="3154">
        <f t="shared" si="51"/>
        <v>100.24287437484668</v>
      </c>
      <c r="AQ10" s="3154">
        <f t="shared" si="52"/>
        <v>99.293570879792455</v>
      </c>
      <c r="AR10" s="3154">
        <f t="shared" si="53"/>
        <v>103.59908688421916</v>
      </c>
    </row>
    <row r="11" spans="1:44" s="2045" customFormat="1" ht="12.75">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102.07628217171533</v>
      </c>
      <c r="AN11" s="3154">
        <f t="shared" si="49"/>
        <v>102.39428014442143</v>
      </c>
      <c r="AO11" s="3154">
        <f t="shared" si="50"/>
        <v>103.90039803853091</v>
      </c>
      <c r="AP11" s="3154">
        <f t="shared" si="51"/>
        <v>100.99020186867487</v>
      </c>
      <c r="AQ11" s="3154">
        <f t="shared" si="52"/>
        <v>99.502526184780493</v>
      </c>
      <c r="AR11" s="3154">
        <f t="shared" si="53"/>
        <v>103.90039803853091</v>
      </c>
    </row>
    <row r="12" spans="1:44" s="2045" customFormat="1" ht="12.75">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102.68210660065922</v>
      </c>
      <c r="AN12" s="3154">
        <f t="shared" si="49"/>
        <v>102.60976064176914</v>
      </c>
      <c r="AO12" s="3154">
        <f t="shared" si="50"/>
        <v>105.35428720191737</v>
      </c>
      <c r="AP12" s="3154">
        <f t="shared" si="51"/>
        <v>102.25820359323093</v>
      </c>
      <c r="AQ12" s="3154">
        <f t="shared" si="52"/>
        <v>99.165363947359467</v>
      </c>
      <c r="AR12" s="3154">
        <f t="shared" si="53"/>
        <v>105.35428720191737</v>
      </c>
    </row>
    <row r="13" spans="1:44" s="2045" customFormat="1" ht="12.75">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102.60002657939572</v>
      </c>
      <c r="AN13" s="3154">
        <f t="shared" si="49"/>
        <v>102.13991702346122</v>
      </c>
      <c r="AO13" s="3154">
        <f t="shared" si="50"/>
        <v>105.52312420063839</v>
      </c>
      <c r="AP13" s="3154">
        <f t="shared" si="51"/>
        <v>101.99302173671548</v>
      </c>
      <c r="AQ13" s="3154">
        <f t="shared" si="52"/>
        <v>98.583719999363225</v>
      </c>
      <c r="AR13" s="3154">
        <f t="shared" si="53"/>
        <v>105.52312420063839</v>
      </c>
    </row>
    <row r="14" spans="1:44" s="2045" customFormat="1" ht="12.75">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102.40545621259179</v>
      </c>
      <c r="AN14" s="3154">
        <f t="shared" si="49"/>
        <v>101.89536813992541</v>
      </c>
      <c r="AO14" s="3154">
        <f t="shared" si="50"/>
        <v>105.69223177147275</v>
      </c>
      <c r="AP14" s="3154">
        <f t="shared" si="51"/>
        <v>101.81992785935456</v>
      </c>
      <c r="AQ14" s="3154">
        <f t="shared" si="52"/>
        <v>97.986005366626799</v>
      </c>
      <c r="AR14" s="3154">
        <f t="shared" si="53"/>
        <v>105.69223177147275</v>
      </c>
    </row>
    <row r="15" spans="1:44" s="2045" customFormat="1" ht="12.75">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102.15008101006663</v>
      </c>
      <c r="AN15" s="3154">
        <f t="shared" si="49"/>
        <v>101.38842600987604</v>
      </c>
      <c r="AO15" s="3154">
        <f t="shared" si="50"/>
        <v>105.36559841638196</v>
      </c>
      <c r="AP15" s="3154">
        <f t="shared" si="51"/>
        <v>101.60655409575348</v>
      </c>
      <c r="AQ15" s="3154">
        <f t="shared" si="52"/>
        <v>97.56646954757224</v>
      </c>
      <c r="AR15" s="3154">
        <f t="shared" si="53"/>
        <v>105.36559841638196</v>
      </c>
    </row>
    <row r="16" spans="1:44" s="2045" customFormat="1" ht="12.75">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101.22889803792152</v>
      </c>
      <c r="AN16" s="3154">
        <f t="shared" si="49"/>
        <v>100.7236499204014</v>
      </c>
      <c r="AO16" s="3154">
        <f t="shared" si="50"/>
        <v>104.87269674169599</v>
      </c>
      <c r="AP16" s="3154">
        <f t="shared" si="51"/>
        <v>100.6404061962693</v>
      </c>
      <c r="AQ16" s="3154">
        <f t="shared" si="52"/>
        <v>96.878631265586563</v>
      </c>
      <c r="AR16" s="3154">
        <f t="shared" si="53"/>
        <v>104.87269674169599</v>
      </c>
    </row>
    <row r="17" spans="1:44" s="2045" customFormat="1" ht="12.75">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100.33590845269256</v>
      </c>
      <c r="AN17" s="3154">
        <f t="shared" si="49"/>
        <v>99.98377002223684</v>
      </c>
      <c r="AO17" s="3154">
        <f t="shared" si="50"/>
        <v>104.27831037257232</v>
      </c>
      <c r="AP17" s="3154">
        <f t="shared" si="51"/>
        <v>99.722955010175667</v>
      </c>
      <c r="AQ17" s="3154">
        <f t="shared" si="52"/>
        <v>96.396648025459271</v>
      </c>
      <c r="AR17" s="3154">
        <f t="shared" si="53"/>
        <v>104.27831037257232</v>
      </c>
    </row>
    <row r="18" spans="1:44" s="2045" customFormat="1" ht="12.75">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99.717658967096568</v>
      </c>
      <c r="AN18" s="3154">
        <f t="shared" si="49"/>
        <v>99.784201618998836</v>
      </c>
      <c r="AO18" s="3154">
        <f t="shared" si="50"/>
        <v>104.1637302692761</v>
      </c>
      <c r="AP18" s="3154">
        <f t="shared" si="51"/>
        <v>99.039581895099488</v>
      </c>
      <c r="AQ18" s="3154">
        <f t="shared" si="52"/>
        <v>95.888439297184192</v>
      </c>
      <c r="AR18" s="3154">
        <f t="shared" si="53"/>
        <v>104.1637302692761</v>
      </c>
    </row>
    <row r="19" spans="1:44" s="2045" customFormat="1" ht="12.75">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99.063837638681278</v>
      </c>
      <c r="AN19" s="3154">
        <f t="shared" si="49"/>
        <v>99.465910704743649</v>
      </c>
      <c r="AO19" s="3154">
        <f t="shared" si="50"/>
        <v>103.92470345133803</v>
      </c>
      <c r="AP19" s="3154">
        <f t="shared" si="51"/>
        <v>98.331594415309254</v>
      </c>
      <c r="AQ19" s="3154">
        <f t="shared" si="52"/>
        <v>95.288124115258071</v>
      </c>
      <c r="AR19" s="3154">
        <f t="shared" si="53"/>
        <v>103.92470345133803</v>
      </c>
    </row>
    <row r="20" spans="1:44" s="2045" customFormat="1" ht="12.75">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98.151033031488424</v>
      </c>
      <c r="AN20" s="3154">
        <f t="shared" si="49"/>
        <v>99.316935301790963</v>
      </c>
      <c r="AO20" s="3154">
        <f t="shared" si="50"/>
        <v>103.91431202013602</v>
      </c>
      <c r="AP20" s="3154">
        <f t="shared" si="51"/>
        <v>97.309841083928021</v>
      </c>
      <c r="AQ20" s="3154">
        <f t="shared" si="52"/>
        <v>94.270008028549739</v>
      </c>
      <c r="AR20" s="3154">
        <f t="shared" si="53"/>
        <v>103.91431202013602</v>
      </c>
    </row>
    <row r="21" spans="1:44" s="2045" customFormat="1" ht="12.75">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97.285194797788122</v>
      </c>
      <c r="AN21" s="3154">
        <f t="shared" si="49"/>
        <v>98.881855139178583</v>
      </c>
      <c r="AO21" s="3154">
        <f t="shared" si="50"/>
        <v>103.53124640842485</v>
      </c>
      <c r="AP21" s="3154">
        <f t="shared" si="51"/>
        <v>96.384549409595891</v>
      </c>
      <c r="AQ21" s="3154">
        <f t="shared" si="52"/>
        <v>93.670516721531939</v>
      </c>
      <c r="AR21" s="3154">
        <f t="shared" si="53"/>
        <v>103.53124640842485</v>
      </c>
    </row>
    <row r="22" spans="1:44" s="2045" customFormat="1" ht="12.75">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96.293373055318341</v>
      </c>
      <c r="AN22" s="3154">
        <f t="shared" si="49"/>
        <v>98.645106882660201</v>
      </c>
      <c r="AO22" s="3154">
        <f t="shared" si="50"/>
        <v>103.45882523076332</v>
      </c>
      <c r="AP22" s="3154">
        <f t="shared" si="51"/>
        <v>95.269891676975277</v>
      </c>
      <c r="AQ22" s="3154">
        <f t="shared" si="52"/>
        <v>93.158146913507636</v>
      </c>
      <c r="AR22" s="3154">
        <f t="shared" si="53"/>
        <v>103.45882523076332</v>
      </c>
    </row>
    <row r="23" spans="1:44" s="2045" customFormat="1" ht="12.75">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95.842911371870557</v>
      </c>
      <c r="AN23" s="3154">
        <f t="shared" si="49"/>
        <v>98.242313397729504</v>
      </c>
      <c r="AO23" s="3154">
        <f t="shared" si="50"/>
        <v>103.21111854625232</v>
      </c>
      <c r="AP23" s="3154">
        <f t="shared" si="51"/>
        <v>94.81478072947381</v>
      </c>
      <c r="AQ23" s="3154">
        <f t="shared" si="52"/>
        <v>92.713123918697889</v>
      </c>
      <c r="AR23" s="3154">
        <f t="shared" si="53"/>
        <v>103.21111854625232</v>
      </c>
    </row>
    <row r="24" spans="1:44" s="2929" customFormat="1" ht="14.2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94.969194779895503</v>
      </c>
      <c r="AN24" s="3161">
        <f t="shared" si="49"/>
        <v>97.540025216173049</v>
      </c>
      <c r="AO24" s="3161">
        <f t="shared" si="50"/>
        <v>102.78968085474786</v>
      </c>
      <c r="AP24" s="3161">
        <f t="shared" si="51"/>
        <v>93.922516819686777</v>
      </c>
      <c r="AQ24" s="3161">
        <f t="shared" si="52"/>
        <v>91.78608446559538</v>
      </c>
      <c r="AR24" s="3161">
        <f t="shared" si="53"/>
        <v>102.78968085474786</v>
      </c>
    </row>
    <row r="25" spans="1:44" ht="14.25" thickTop="1"/>
    <row r="26" spans="1:44">
      <c r="A26" s="3144" t="s">
        <v>3379</v>
      </c>
    </row>
    <row r="27" spans="1:44">
      <c r="I27" s="1405" t="s">
        <v>2825</v>
      </c>
    </row>
    <row r="29" spans="1:44" s="2009" customFormat="1" ht="12.75">
      <c r="B29" s="2930" t="s">
        <v>3377</v>
      </c>
      <c r="C29" s="2931"/>
      <c r="D29" s="2931"/>
      <c r="E29" s="2931"/>
      <c r="F29" s="2931"/>
      <c r="G29" s="2931"/>
      <c r="H29" s="2931"/>
      <c r="I29" s="2931"/>
      <c r="J29" s="2897"/>
      <c r="K29" s="2931" t="s">
        <v>2826</v>
      </c>
      <c r="L29" s="2931"/>
      <c r="M29" s="2931"/>
      <c r="N29" s="2931"/>
      <c r="O29" s="2931"/>
      <c r="P29" s="2931"/>
      <c r="Q29" s="2897"/>
      <c r="R29" s="3539" t="s">
        <v>2827</v>
      </c>
      <c r="S29" s="3540"/>
      <c r="T29" s="3540"/>
      <c r="U29" s="3540"/>
      <c r="V29" s="3540"/>
      <c r="W29" s="3540"/>
      <c r="X29" s="2897"/>
      <c r="Y29" s="3539" t="s">
        <v>2828</v>
      </c>
      <c r="Z29" s="3540"/>
      <c r="AA29" s="3540"/>
      <c r="AB29" s="3540"/>
      <c r="AC29" s="3540"/>
      <c r="AD29" s="3540"/>
    </row>
    <row r="30" spans="1:44" s="2010" customFormat="1" ht="14.2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7" customFormat="1" ht="12.75">
      <c r="A31" s="2885" t="s">
        <v>2834</v>
      </c>
      <c r="B31" s="2886"/>
      <c r="E31" s="2887">
        <f t="shared" ref="E31:G31" si="115">ROUND(AVERAGEIF(E32:E52,"&lt;&gt;0"),2)</f>
        <v>0.04</v>
      </c>
      <c r="F31" s="2887">
        <f t="shared" si="115"/>
        <v>-7.0000000000000007E-2</v>
      </c>
      <c r="G31" s="2887">
        <f t="shared" si="115"/>
        <v>0.2</v>
      </c>
      <c r="I31" s="2887">
        <f>F31</f>
        <v>-7.0000000000000007E-2</v>
      </c>
      <c r="J31" s="2888"/>
      <c r="K31" s="2889"/>
      <c r="L31" s="2890">
        <f t="shared" ref="L31:N31" si="116">ROUND(AVERAGEIF(L32:L52,"&lt;&gt;0"),4)</f>
        <v>4.0000000000000002E-4</v>
      </c>
      <c r="M31" s="2890">
        <f t="shared" si="116"/>
        <v>-6.9999999999999999E-4</v>
      </c>
      <c r="N31" s="2890">
        <f t="shared" si="116"/>
        <v>2E-3</v>
      </c>
      <c r="O31" s="2890"/>
      <c r="P31" s="2890">
        <f>M31</f>
        <v>-6.9999999999999999E-4</v>
      </c>
      <c r="Q31" s="2888"/>
      <c r="R31" s="2891"/>
      <c r="S31" s="2892">
        <f>ROUND(SUMPRODUCT(PRODUCT(1+L32:L52)),4)</f>
        <v>1.0072000000000001</v>
      </c>
      <c r="T31" s="2892">
        <f t="shared" ref="T31:U31" si="117">ROUND(SUMPRODUCT(PRODUCT(1+M32:M52)),4)</f>
        <v>0.98699999999999999</v>
      </c>
      <c r="U31" s="2892">
        <f t="shared" si="117"/>
        <v>1.0375000000000001</v>
      </c>
      <c r="V31" s="2892"/>
      <c r="W31" s="2891">
        <f>T31</f>
        <v>0.98699999999999999</v>
      </c>
      <c r="X31" s="2888"/>
      <c r="Y31" s="2893"/>
      <c r="Z31" s="2894">
        <f t="shared" ref="Z31:AB31" si="118">ROUND(AVERAGEIF(Z32:Z52,"&lt;&gt;0"),4)</f>
        <v>2.8999999999999998E-3</v>
      </c>
      <c r="AA31" s="2895">
        <f t="shared" si="118"/>
        <v>2.3E-3</v>
      </c>
      <c r="AB31" s="2893">
        <f t="shared" si="118"/>
        <v>6.0000000000000001E-3</v>
      </c>
      <c r="AC31" s="2896"/>
      <c r="AD31" s="2893">
        <f>AA31</f>
        <v>2.3E-3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3400</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100.37</v>
      </c>
      <c r="AH33" s="3154">
        <f t="shared" ref="AH33:AH50" si="130">$AG$52*T33</f>
        <v>98.22999999999999</v>
      </c>
      <c r="AI33" s="3154">
        <f t="shared" ref="AI33:AI50" si="131">$AG$52*U33</f>
        <v>102.74000000000001</v>
      </c>
      <c r="AJ33" s="3156"/>
      <c r="AK33" s="3154">
        <f t="shared" ref="AK33:AK50" si="132">$AG$52*W33</f>
        <v>98.22999999999999</v>
      </c>
      <c r="AN33" s="3159">
        <v>100</v>
      </c>
      <c r="AO33" s="3159">
        <v>100</v>
      </c>
      <c r="AP33" s="3159">
        <v>100</v>
      </c>
      <c r="AQ33" s="3159"/>
      <c r="AR33" s="3159">
        <v>100</v>
      </c>
    </row>
    <row r="34" spans="1:44" s="2917" customFormat="1" ht="12.75">
      <c r="A34" s="2908" t="s">
        <v>3416</v>
      </c>
      <c r="B34" s="2909">
        <v>2025</v>
      </c>
      <c r="C34" s="2910">
        <v>3</v>
      </c>
      <c r="D34" s="2911"/>
      <c r="E34" s="2911">
        <v>-0.8</v>
      </c>
      <c r="F34" s="2911">
        <v>-1.45</v>
      </c>
      <c r="G34" s="2911">
        <v>-0.62</v>
      </c>
      <c r="H34" s="2912"/>
      <c r="I34" s="2913">
        <f t="shared" ref="I34" si="133">F34</f>
        <v>-1.45</v>
      </c>
      <c r="J34" s="2914"/>
      <c r="K34" s="2915"/>
      <c r="L34" s="2916">
        <f t="shared" ref="L34" si="134">E34/100</f>
        <v>-8.0000000000000002E-3</v>
      </c>
      <c r="M34" s="2916">
        <f t="shared" ref="M34" si="135">F34/100</f>
        <v>-1.4499999999999999E-2</v>
      </c>
      <c r="N34" s="2916">
        <f t="shared" ref="N34" si="136">G34/100</f>
        <v>-6.1999999999999998E-3</v>
      </c>
      <c r="O34" s="2916"/>
      <c r="P34" s="2916">
        <f t="shared" si="123"/>
        <v>-1.4499999999999999E-2</v>
      </c>
      <c r="Q34" s="2914"/>
      <c r="R34" s="2914"/>
      <c r="S34" s="2914">
        <f>ROUND(IF(项目基本情况!$B$8="出让",SUMPRODUCT(PRODUCT(1+L34:L$52)),SUMPRODUCT(PRODUCT(1+L34:L$51))),4)</f>
        <v>1.0037</v>
      </c>
      <c r="T34" s="2914">
        <f>ROUND(IF(项目基本情况!$B$8="出让",SUMPRODUCT(PRODUCT(1+M34:M$52)),SUMPRODUCT(PRODUCT(1+M34:M$51))),4)</f>
        <v>0.98229999999999995</v>
      </c>
      <c r="U34" s="2914">
        <f>ROUND(IF(项目基本情况!$B$8="出让",SUMPRODUCT(PRODUCT(1+N34:N$52)),SUMPRODUCT(PRODUCT(1+N34:N$51))),4)</f>
        <v>1.0274000000000001</v>
      </c>
      <c r="V34" s="2914"/>
      <c r="W34" s="2914">
        <f t="shared" si="124"/>
        <v>0.98229999999999995</v>
      </c>
      <c r="X34" s="2914"/>
      <c r="Y34" s="2916"/>
      <c r="Z34" s="2932">
        <f t="shared" ref="Z34" si="137">IF(E34=0,0,ROUND(AVERAGE(E34:E47)/100,4))</f>
        <v>-1.2999999999999999E-3</v>
      </c>
      <c r="AA34" s="2933">
        <f t="shared" ref="AA34" si="138">IF(F34=0,0,ROUND(AVERAGE(F34:F47)/100,4))</f>
        <v>-2.2000000000000001E-3</v>
      </c>
      <c r="AB34" s="2916">
        <f t="shared" ref="AB34" si="139">IF(G34=0,0,ROUND(AVERAGE(G34:G47)/100,4))</f>
        <v>-2.9999999999999997E-4</v>
      </c>
      <c r="AC34" s="2934"/>
      <c r="AD34" s="2916">
        <f t="shared" si="128"/>
        <v>-2.2000000000000001E-3</v>
      </c>
      <c r="AG34" s="3155">
        <f t="shared" si="129"/>
        <v>100.37</v>
      </c>
      <c r="AH34" s="3155">
        <f t="shared" si="130"/>
        <v>98.22999999999999</v>
      </c>
      <c r="AI34" s="3155">
        <f t="shared" si="131"/>
        <v>102.74000000000001</v>
      </c>
      <c r="AJ34" s="3157"/>
      <c r="AK34" s="3155">
        <f t="shared" si="132"/>
        <v>98.22999999999999</v>
      </c>
      <c r="AN34" s="3155">
        <f>AN33/(1+E33/100)</f>
        <v>100</v>
      </c>
      <c r="AO34" s="3155">
        <f t="shared" ref="AO34:AR34" si="140">AO33/(1+F33/100)</f>
        <v>100</v>
      </c>
      <c r="AP34" s="3155">
        <f t="shared" si="140"/>
        <v>100</v>
      </c>
      <c r="AQ34" s="3155"/>
      <c r="AR34" s="3155">
        <f t="shared" si="140"/>
        <v>100</v>
      </c>
    </row>
    <row r="35" spans="1:44" s="2045" customFormat="1" ht="12.75">
      <c r="A35" s="2040" t="s">
        <v>3415</v>
      </c>
      <c r="B35" s="2031">
        <v>2025</v>
      </c>
      <c r="C35" s="2042">
        <v>2</v>
      </c>
      <c r="D35" s="2007"/>
      <c r="E35" s="2007">
        <v>-0.31</v>
      </c>
      <c r="F35" s="2007">
        <v>-1.03</v>
      </c>
      <c r="G35" s="2007">
        <v>0.03</v>
      </c>
      <c r="H35" s="2007"/>
      <c r="I35" s="2008">
        <f t="shared" ref="I35" si="141">F35</f>
        <v>-1.03</v>
      </c>
      <c r="J35" s="2907"/>
      <c r="K35" s="2043"/>
      <c r="L35" s="2028">
        <f t="shared" ref="L35" si="142">E35/100</f>
        <v>-3.0999999999999999E-3</v>
      </c>
      <c r="M35" s="2028">
        <f t="shared" ref="M35" si="143">F35/100</f>
        <v>-1.03E-2</v>
      </c>
      <c r="N35" s="2028">
        <f t="shared" ref="N35" si="144">G35/100</f>
        <v>2.9999999999999997E-4</v>
      </c>
      <c r="O35" s="2028"/>
      <c r="P35" s="2028">
        <f t="shared" si="123"/>
        <v>-1.03E-2</v>
      </c>
      <c r="Q35" s="2907"/>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7"/>
      <c r="Y35" s="2028"/>
      <c r="Z35" s="2903">
        <f t="shared" ref="Z35" si="145">IF(E35=0,0,ROUND(AVERAGE(E35:E48)/100,4))</f>
        <v>-2.9999999999999997E-4</v>
      </c>
      <c r="AA35" s="2903">
        <f t="shared" ref="AA35" si="146">IF(F35=0,0,ROUND(AVERAGE(F35:F48)/100,4))</f>
        <v>-8.0000000000000004E-4</v>
      </c>
      <c r="AB35" s="2903">
        <f t="shared" ref="AB35" si="147">IF(G35=0,0,ROUND(AVERAGE(G35:G48)/100,4))</f>
        <v>5.0000000000000001E-4</v>
      </c>
      <c r="AC35" s="2905"/>
      <c r="AD35" s="2028">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100.80645161290323</v>
      </c>
      <c r="AO35" s="3154">
        <f t="shared" ref="AO35" si="149">AO34/(1+F34/100)</f>
        <v>101.47133434804667</v>
      </c>
      <c r="AP35" s="3154">
        <f t="shared" ref="AP35" si="150">AP34/(1+G34/100)</f>
        <v>100.6238679814852</v>
      </c>
      <c r="AQ35" s="3154"/>
      <c r="AR35" s="3154">
        <f t="shared" ref="AR35" si="151">AR34/(1+I34/100)</f>
        <v>101.47133434804667</v>
      </c>
    </row>
    <row r="36" spans="1:44" s="2045" customFormat="1" ht="12.75">
      <c r="A36" s="2040" t="s">
        <v>3404</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101.11992337536687</v>
      </c>
      <c r="AO36" s="3154">
        <f t="shared" ref="AO36:AO52" si="159">AO35/(1+F35/100)</f>
        <v>102.52736622011383</v>
      </c>
      <c r="AP36" s="3154">
        <f t="shared" ref="AP36:AP52" si="160">AP35/(1+G35/100)</f>
        <v>100.59368987452285</v>
      </c>
      <c r="AQ36" s="3154"/>
      <c r="AR36" s="3154">
        <f t="shared" ref="AR36:AR52" si="161">AR35/(1+I35/100)</f>
        <v>102.52736622011383</v>
      </c>
    </row>
    <row r="37" spans="1:44" s="2045" customFormat="1" ht="12.75">
      <c r="A37" s="2040" t="s">
        <v>3405</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102.62856325521858</v>
      </c>
      <c r="AO37" s="3154">
        <f t="shared" si="159"/>
        <v>103.54207859029877</v>
      </c>
      <c r="AP37" s="3154">
        <f t="shared" si="160"/>
        <v>101.10934754701262</v>
      </c>
      <c r="AQ37" s="3154"/>
      <c r="AR37" s="3154">
        <f t="shared" si="161"/>
        <v>103.54207859029877</v>
      </c>
    </row>
    <row r="38" spans="1:44" s="2045" customFormat="1" ht="12.75">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103.25843973761805</v>
      </c>
      <c r="AO38" s="3154">
        <f t="shared" si="159"/>
        <v>104.28248422831984</v>
      </c>
      <c r="AP38" s="3154">
        <f t="shared" si="160"/>
        <v>102.00700922822097</v>
      </c>
      <c r="AQ38" s="3154"/>
      <c r="AR38" s="3154">
        <f t="shared" si="161"/>
        <v>104.28248422831984</v>
      </c>
    </row>
    <row r="39" spans="1:44" s="2045" customFormat="1" ht="12.75">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103.94447326114158</v>
      </c>
      <c r="AO39" s="3154">
        <f t="shared" si="159"/>
        <v>104.82758768427809</v>
      </c>
      <c r="AP39" s="3154">
        <f t="shared" si="160"/>
        <v>105.02111523547921</v>
      </c>
      <c r="AQ39" s="3154"/>
      <c r="AR39" s="3154">
        <f t="shared" si="161"/>
        <v>104.82758768427809</v>
      </c>
    </row>
    <row r="40" spans="1:44" s="2045" customFormat="1" ht="12.75">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104.2677031408783</v>
      </c>
      <c r="AO40" s="3154">
        <f t="shared" si="159"/>
        <v>105.23801594646932</v>
      </c>
      <c r="AP40" s="3154">
        <f t="shared" si="160"/>
        <v>103.74505110686478</v>
      </c>
      <c r="AQ40" s="3154"/>
      <c r="AR40" s="3154">
        <f t="shared" si="161"/>
        <v>105.23801594646932</v>
      </c>
    </row>
    <row r="41" spans="1:44" s="2045" customFormat="1" ht="12.75">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104.00768393105068</v>
      </c>
      <c r="AO41" s="3154">
        <f t="shared" si="159"/>
        <v>104.81874098253915</v>
      </c>
      <c r="AP41" s="3154">
        <f t="shared" si="160"/>
        <v>104.40278867552055</v>
      </c>
      <c r="AQ41" s="3154"/>
      <c r="AR41" s="3154">
        <f t="shared" si="161"/>
        <v>104.81874098253915</v>
      </c>
    </row>
    <row r="42" spans="1:44" s="2045" customFormat="1" ht="12.75">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103.9349294804144</v>
      </c>
      <c r="AO42" s="3154">
        <f t="shared" si="159"/>
        <v>104.72448894249092</v>
      </c>
      <c r="AP42" s="3154">
        <f t="shared" si="160"/>
        <v>104.37147723235086</v>
      </c>
      <c r="AQ42" s="3154"/>
      <c r="AR42" s="3154">
        <f t="shared" si="161"/>
        <v>104.72448894249092</v>
      </c>
    </row>
    <row r="43" spans="1:44" s="2045" customFormat="1" ht="12.75">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103.5724259894513</v>
      </c>
      <c r="AO43" s="3154">
        <f t="shared" si="159"/>
        <v>104.5467594514235</v>
      </c>
      <c r="AP43" s="3154">
        <f t="shared" si="160"/>
        <v>103.83155315593996</v>
      </c>
      <c r="AQ43" s="3154"/>
      <c r="AR43" s="3154">
        <f t="shared" si="161"/>
        <v>104.5467594514235</v>
      </c>
    </row>
    <row r="44" spans="1:44" s="2045" customFormat="1" ht="12.75">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103.05714028801125</v>
      </c>
      <c r="AO44" s="3154">
        <f t="shared" si="159"/>
        <v>104.07840662162619</v>
      </c>
      <c r="AP44" s="3154">
        <f t="shared" si="160"/>
        <v>102.91560427786695</v>
      </c>
      <c r="AQ44" s="3154"/>
      <c r="AR44" s="3154">
        <f t="shared" si="161"/>
        <v>104.07840662162619</v>
      </c>
    </row>
    <row r="45" spans="1:44" s="2045" customFormat="1" ht="12.75">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102.49342644257707</v>
      </c>
      <c r="AO45" s="3154">
        <f t="shared" si="159"/>
        <v>103.46794574174986</v>
      </c>
      <c r="AP45" s="3154">
        <f t="shared" si="160"/>
        <v>102.26113302649736</v>
      </c>
      <c r="AQ45" s="3154"/>
      <c r="AR45" s="3154">
        <f t="shared" si="161"/>
        <v>103.46794574174986</v>
      </c>
    </row>
    <row r="46" spans="1:44" s="2045" customFormat="1" ht="12.75">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102.03427221759789</v>
      </c>
      <c r="AO46" s="3154">
        <f t="shared" si="159"/>
        <v>103.26142289595795</v>
      </c>
      <c r="AP46" s="3154">
        <f t="shared" si="160"/>
        <v>101.87401178172679</v>
      </c>
      <c r="AQ46" s="3154"/>
      <c r="AR46" s="3154">
        <f t="shared" si="161"/>
        <v>103.26142289595795</v>
      </c>
    </row>
    <row r="47" spans="1:44" s="2045" customFormat="1" ht="12.75">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101.72908496270976</v>
      </c>
      <c r="AO47" s="3154">
        <f t="shared" si="159"/>
        <v>102.96283068696576</v>
      </c>
      <c r="AP47" s="3154">
        <f t="shared" si="160"/>
        <v>101.03541781387166</v>
      </c>
      <c r="AQ47" s="3154"/>
      <c r="AR47" s="3154">
        <f t="shared" si="161"/>
        <v>102.96283068696576</v>
      </c>
    </row>
    <row r="48" spans="1:44" s="2045" customFormat="1" ht="12.75">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101.84111018391206</v>
      </c>
      <c r="AO48" s="3154">
        <f t="shared" si="159"/>
        <v>103.09685660054646</v>
      </c>
      <c r="AP48" s="3154">
        <f t="shared" si="160"/>
        <v>100.50275322179613</v>
      </c>
      <c r="AQ48" s="3154"/>
      <c r="AR48" s="3154">
        <f t="shared" si="161"/>
        <v>103.09685660054646</v>
      </c>
    </row>
    <row r="49" spans="1:44" s="2045" customFormat="1" ht="12.75">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101.23370793629429</v>
      </c>
      <c r="AO49" s="3154">
        <f t="shared" si="159"/>
        <v>102.63499910457587</v>
      </c>
      <c r="AP49" s="3154">
        <f t="shared" si="160"/>
        <v>99.972896868393633</v>
      </c>
      <c r="AQ49" s="3154"/>
      <c r="AR49" s="3154">
        <f t="shared" si="161"/>
        <v>102.63499910457587</v>
      </c>
    </row>
    <row r="50" spans="1:44" s="2045" customFormat="1" ht="12.75">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100.649938294188</v>
      </c>
      <c r="AO50" s="3154">
        <f t="shared" si="159"/>
        <v>102.55295673918452</v>
      </c>
      <c r="AP50" s="3154">
        <f t="shared" si="160"/>
        <v>99.297672694073938</v>
      </c>
      <c r="AQ50" s="3154"/>
      <c r="AR50" s="3154">
        <f t="shared" si="161"/>
        <v>102.55295673918452</v>
      </c>
    </row>
    <row r="51" spans="1:44" s="2045" customFormat="1" ht="12.75">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100.1790965404479</v>
      </c>
      <c r="AO51" s="3154">
        <f t="shared" si="159"/>
        <v>102.26661023053903</v>
      </c>
      <c r="AP51" s="3154">
        <f t="shared" si="160"/>
        <v>98.402212559779926</v>
      </c>
      <c r="AQ51" s="3154"/>
      <c r="AR51" s="3154">
        <f t="shared" si="161"/>
        <v>102.26661023053903</v>
      </c>
    </row>
    <row r="52" spans="1:44" s="2929" customFormat="1" ht="14.2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99.631125351017303</v>
      </c>
      <c r="AO52" s="3161">
        <f t="shared" si="159"/>
        <v>101.79833787630803</v>
      </c>
      <c r="AP52" s="3161">
        <f t="shared" si="160"/>
        <v>97.331565341028622</v>
      </c>
      <c r="AQ52" s="3161"/>
      <c r="AR52" s="3161">
        <f t="shared" si="161"/>
        <v>101.79833787630803</v>
      </c>
    </row>
    <row r="53" spans="1:44" ht="14.2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44" t="s">
        <v>452</v>
      </c>
      <c r="C1" s="3544"/>
      <c r="D1" s="3544"/>
      <c r="E1" s="3544"/>
      <c r="F1" s="3544"/>
      <c r="G1" s="3540" t="s">
        <v>453</v>
      </c>
      <c r="H1" s="3540"/>
      <c r="I1" s="3540"/>
      <c r="J1" s="3540"/>
      <c r="K1" s="3540"/>
      <c r="L1" s="3540"/>
      <c r="N1" s="3540" t="s">
        <v>454</v>
      </c>
      <c r="O1" s="3540"/>
      <c r="P1" s="3540"/>
      <c r="Q1" s="3540"/>
      <c r="S1" s="3540" t="s">
        <v>455</v>
      </c>
      <c r="T1" s="3540"/>
      <c r="U1" s="3540"/>
      <c r="V1" s="3540"/>
      <c r="X1" s="3539" t="s">
        <v>456</v>
      </c>
      <c r="Y1" s="3540"/>
      <c r="Z1" s="3540"/>
      <c r="AA1" s="3540"/>
      <c r="AB1" s="3540"/>
      <c r="AD1" s="3539" t="s">
        <v>457</v>
      </c>
      <c r="AE1" s="3540"/>
      <c r="AF1" s="3540"/>
      <c r="AG1" s="3540"/>
      <c r="AH1" s="3540"/>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4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4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4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4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4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4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4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4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4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4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4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4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4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4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4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4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4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4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4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4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4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4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4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4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4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4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4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4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4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4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4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4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4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4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4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4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4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4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4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4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4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4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4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4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4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4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4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4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4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4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4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4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4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4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4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4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4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4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4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4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4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4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42">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43">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4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4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42">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43">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52" t="s">
        <v>2839</v>
      </c>
      <c r="B1" s="3552"/>
      <c r="C1" s="3552"/>
      <c r="D1" s="3552"/>
      <c r="E1" s="3552"/>
      <c r="F1" s="3552"/>
      <c r="G1" s="3553"/>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550"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551"/>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BA3E6-496A-4DF0-85FB-00B3E7C42487}">
  <sheetPr>
    <tabColor theme="9" tint="0.79998168889431442"/>
    <pageSetUpPr fitToPage="1"/>
  </sheetPr>
  <dimension ref="A1:AC148"/>
  <sheetViews>
    <sheetView view="pageBreakPreview" topLeftCell="B10" zoomScaleNormal="60" zoomScaleSheetLayoutView="100" workbookViewId="0">
      <selection activeCell="K27" sqref="K27"/>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t="s">
        <v>4099</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IF(C2="——",C49,ROUND(B2*10000/D3,0))</f>
        <v>#DIV/0!</v>
      </c>
      <c r="C3" s="344" t="s">
        <v>1665</v>
      </c>
      <c r="D3" s="343">
        <f>IF(D1="",'数据-汇总表'!E3,SUMIF('数据-汇总表'!$C19:$C33,D1,'数据-汇总表'!$E19:$E33))</f>
        <v>0</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46" t="s">
        <v>1667</v>
      </c>
      <c r="D4" s="3447"/>
      <c r="E4" s="3448" t="s">
        <v>1668</v>
      </c>
      <c r="F4" s="3449"/>
      <c r="G4" s="3446" t="s">
        <v>1669</v>
      </c>
      <c r="H4" s="3447"/>
      <c r="I4" s="3446" t="s">
        <v>1670</v>
      </c>
      <c r="J4" s="3447"/>
      <c r="K4" s="1744" t="s">
        <v>1671</v>
      </c>
      <c r="L4" s="2487"/>
      <c r="M4" s="2488"/>
      <c r="N4" s="2488"/>
      <c r="O4" s="2488"/>
      <c r="P4" s="3450" t="s">
        <v>1672</v>
      </c>
      <c r="Q4" s="3451"/>
      <c r="R4" s="3456" t="s">
        <v>1668</v>
      </c>
      <c r="S4" s="3457"/>
      <c r="T4" s="3456" t="s">
        <v>1669</v>
      </c>
      <c r="U4" s="3457"/>
      <c r="V4" s="3432" t="s">
        <v>1670</v>
      </c>
      <c r="W4" s="3432"/>
      <c r="X4" s="1265"/>
      <c r="Y4" s="3456" t="s">
        <v>1672</v>
      </c>
      <c r="Z4" s="3457"/>
      <c r="AA4" s="3443" t="s">
        <v>1668</v>
      </c>
      <c r="AB4" s="3443" t="s">
        <v>1669</v>
      </c>
      <c r="AC4" s="3443" t="s">
        <v>1670</v>
      </c>
    </row>
    <row r="5" spans="1:29" ht="15">
      <c r="A5" s="348"/>
      <c r="B5" s="349"/>
      <c r="C5" s="3564" t="s">
        <v>4091</v>
      </c>
      <c r="D5" s="3465"/>
      <c r="E5" s="3471" t="str">
        <f>诺德彩园案例!Q6</f>
        <v>丽景长安</v>
      </c>
      <c r="F5" s="3472"/>
      <c r="G5" s="3464" t="str">
        <f>诺德彩园案例!Q7</f>
        <v>梧桐苑</v>
      </c>
      <c r="H5" s="3465"/>
      <c r="I5" s="3464" t="str">
        <f>诺德彩园案例!Q11</f>
        <v>润西山苑</v>
      </c>
      <c r="J5" s="3465"/>
      <c r="K5" s="1745"/>
      <c r="L5" s="2487"/>
      <c r="M5" s="2488"/>
      <c r="N5" s="2488"/>
      <c r="O5" s="2488"/>
      <c r="P5" s="3452"/>
      <c r="Q5" s="3453"/>
      <c r="R5" s="3458"/>
      <c r="S5" s="3459"/>
      <c r="T5" s="3458"/>
      <c r="U5" s="3459"/>
      <c r="V5" s="3432"/>
      <c r="W5" s="3432"/>
      <c r="X5" s="1265"/>
      <c r="Y5" s="3458"/>
      <c r="Z5" s="3459"/>
      <c r="AA5" s="3444"/>
      <c r="AB5" s="3444"/>
      <c r="AC5" s="3444"/>
    </row>
    <row r="6" spans="1:29" ht="15.75" thickBot="1">
      <c r="A6" s="350"/>
      <c r="B6" s="351"/>
      <c r="C6" s="3462" t="s">
        <v>1677</v>
      </c>
      <c r="D6" s="3463"/>
      <c r="E6" s="3469" t="s">
        <v>1677</v>
      </c>
      <c r="F6" s="3470"/>
      <c r="G6" s="3462" t="s">
        <v>1677</v>
      </c>
      <c r="H6" s="3463"/>
      <c r="I6" s="3462" t="s">
        <v>1677</v>
      </c>
      <c r="J6" s="3463"/>
      <c r="K6" s="1745" t="s">
        <v>1678</v>
      </c>
      <c r="L6" s="2487"/>
      <c r="M6" s="2488"/>
      <c r="N6" s="2488"/>
      <c r="O6" s="2488"/>
      <c r="P6" s="3454"/>
      <c r="Q6" s="3455"/>
      <c r="R6" s="3458"/>
      <c r="S6" s="3459"/>
      <c r="T6" s="3460"/>
      <c r="U6" s="3461"/>
      <c r="V6" s="3432"/>
      <c r="W6" s="3432"/>
      <c r="X6" s="1265"/>
      <c r="Y6" s="3460"/>
      <c r="Z6" s="3461"/>
      <c r="AA6" s="3445"/>
      <c r="AB6" s="3445"/>
      <c r="AC6" s="3445"/>
    </row>
    <row r="7" spans="1:29" s="102" customFormat="1" ht="15.75" thickBot="1">
      <c r="A7" s="352" t="s">
        <v>1679</v>
      </c>
      <c r="B7" s="353"/>
      <c r="C7" s="354">
        <v>46122</v>
      </c>
      <c r="D7" s="355">
        <v>100</v>
      </c>
      <c r="E7" s="356">
        <f>诺德彩园案例!AW2</f>
        <v>46113</v>
      </c>
      <c r="F7" s="357">
        <f>SUMIF(58:58,YEAR(E7)&amp;"-"&amp;MONTH(E7),59:59)</f>
        <v>100</v>
      </c>
      <c r="G7" s="356">
        <f>诺德彩园案例!AW5</f>
        <v>46119</v>
      </c>
      <c r="H7" s="355">
        <f>SUMIF(58:58,YEAR(G7)&amp;"-"&amp;MONTH(G7),59:59)</f>
        <v>100</v>
      </c>
      <c r="I7" s="356">
        <f>诺德彩园案例!AW8</f>
        <v>46032</v>
      </c>
      <c r="J7" s="355">
        <f>SUMIF(58:58,YEAR(I7)&amp;"-"&amp;MONTH(I7),59:59)</f>
        <v>100</v>
      </c>
      <c r="K7" s="1746"/>
      <c r="L7" s="2489"/>
      <c r="M7" s="2440"/>
      <c r="N7" s="2440"/>
      <c r="O7" s="2440"/>
      <c r="P7" s="3466" t="s">
        <v>1680</v>
      </c>
      <c r="Q7" s="3468"/>
      <c r="R7" s="664" t="s">
        <v>14</v>
      </c>
      <c r="S7" s="665">
        <f t="shared" ref="S7:S15" si="0">F7</f>
        <v>100</v>
      </c>
      <c r="T7" s="664" t="s">
        <v>14</v>
      </c>
      <c r="U7" s="665">
        <f t="shared" ref="U7:U15" si="1">H7</f>
        <v>100</v>
      </c>
      <c r="V7" s="664" t="s">
        <v>14</v>
      </c>
      <c r="W7" s="665">
        <f t="shared" ref="W7:W15" si="2">J7</f>
        <v>100</v>
      </c>
      <c r="X7" s="666"/>
      <c r="Y7" s="3466" t="s">
        <v>1680</v>
      </c>
      <c r="Z7" s="3467"/>
      <c r="AA7" s="50">
        <f>D7/F7</f>
        <v>1</v>
      </c>
      <c r="AB7" s="50">
        <f>D7/H7</f>
        <v>1</v>
      </c>
      <c r="AC7" s="50">
        <f>D7/J7</f>
        <v>1</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66" t="s">
        <v>1683</v>
      </c>
      <c r="Q8" s="3467"/>
      <c r="R8" s="664" t="s">
        <v>14</v>
      </c>
      <c r="S8" s="665">
        <f t="shared" si="0"/>
        <v>100</v>
      </c>
      <c r="T8" s="664" t="s">
        <v>14</v>
      </c>
      <c r="U8" s="665">
        <f t="shared" si="1"/>
        <v>100</v>
      </c>
      <c r="V8" s="664" t="s">
        <v>14</v>
      </c>
      <c r="W8" s="665">
        <f t="shared" si="2"/>
        <v>100</v>
      </c>
      <c r="X8" s="666"/>
      <c r="Y8" s="3466" t="s">
        <v>1683</v>
      </c>
      <c r="Z8" s="346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42" t="s">
        <v>1686</v>
      </c>
      <c r="Q9" s="530" t="str">
        <f t="shared" ref="Q9:Q15" si="6">B9</f>
        <v>用途</v>
      </c>
      <c r="R9" s="664" t="s">
        <v>14</v>
      </c>
      <c r="S9" s="665">
        <f t="shared" si="0"/>
        <v>100</v>
      </c>
      <c r="T9" s="664" t="s">
        <v>14</v>
      </c>
      <c r="U9" s="665">
        <f t="shared" si="1"/>
        <v>100</v>
      </c>
      <c r="V9" s="664" t="s">
        <v>14</v>
      </c>
      <c r="W9" s="665">
        <f t="shared" si="2"/>
        <v>100</v>
      </c>
      <c r="X9" s="666"/>
      <c r="Y9" s="3306"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42"/>
      <c r="Q10" s="530" t="str">
        <f t="shared" si="6"/>
        <v>土地使用年限（年）</v>
      </c>
      <c r="R10" s="664" t="s">
        <v>14</v>
      </c>
      <c r="S10" s="665">
        <f t="shared" si="0"/>
        <v>100</v>
      </c>
      <c r="T10" s="664" t="s">
        <v>14</v>
      </c>
      <c r="U10" s="665">
        <f t="shared" si="1"/>
        <v>100</v>
      </c>
      <c r="V10" s="664" t="s">
        <v>14</v>
      </c>
      <c r="W10" s="665">
        <f t="shared" si="2"/>
        <v>100</v>
      </c>
      <c r="X10" s="666"/>
      <c r="Y10" s="3306"/>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2"/>
      <c r="M11" s="2488"/>
      <c r="N11" s="2488"/>
      <c r="O11" s="2488"/>
      <c r="P11" s="3442"/>
      <c r="Q11" s="530" t="str">
        <f t="shared" si="6"/>
        <v>容积率</v>
      </c>
      <c r="R11" s="664" t="s">
        <v>14</v>
      </c>
      <c r="S11" s="665">
        <f t="shared" si="0"/>
        <v>100</v>
      </c>
      <c r="T11" s="664" t="s">
        <v>14</v>
      </c>
      <c r="U11" s="665">
        <f t="shared" si="1"/>
        <v>100</v>
      </c>
      <c r="V11" s="664" t="s">
        <v>14</v>
      </c>
      <c r="W11" s="665">
        <f t="shared" si="2"/>
        <v>100</v>
      </c>
      <c r="X11" s="666"/>
      <c r="Y11" s="3306"/>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42"/>
      <c r="Q12" s="530">
        <f t="shared" si="6"/>
        <v>111</v>
      </c>
      <c r="R12" s="664" t="s">
        <v>14</v>
      </c>
      <c r="S12" s="665">
        <f t="shared" si="0"/>
        <v>100</v>
      </c>
      <c r="T12" s="664" t="s">
        <v>14</v>
      </c>
      <c r="U12" s="665">
        <f t="shared" si="1"/>
        <v>100</v>
      </c>
      <c r="V12" s="664" t="s">
        <v>14</v>
      </c>
      <c r="W12" s="665">
        <f t="shared" si="2"/>
        <v>100</v>
      </c>
      <c r="X12" s="666"/>
      <c r="Y12" s="330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42"/>
      <c r="Q13" s="530">
        <f t="shared" si="6"/>
        <v>111</v>
      </c>
      <c r="R13" s="664" t="s">
        <v>14</v>
      </c>
      <c r="S13" s="665">
        <f t="shared" si="0"/>
        <v>100</v>
      </c>
      <c r="T13" s="664" t="s">
        <v>14</v>
      </c>
      <c r="U13" s="665">
        <f t="shared" si="1"/>
        <v>100</v>
      </c>
      <c r="V13" s="664" t="s">
        <v>14</v>
      </c>
      <c r="W13" s="665">
        <f t="shared" si="2"/>
        <v>100</v>
      </c>
      <c r="X13" s="666"/>
      <c r="Y13" s="3306"/>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42"/>
      <c r="Q14" s="530">
        <f t="shared" si="6"/>
        <v>111</v>
      </c>
      <c r="R14" s="664" t="s">
        <v>14</v>
      </c>
      <c r="S14" s="665">
        <f t="shared" si="0"/>
        <v>100</v>
      </c>
      <c r="T14" s="664" t="s">
        <v>14</v>
      </c>
      <c r="U14" s="665">
        <f t="shared" si="1"/>
        <v>100</v>
      </c>
      <c r="V14" s="664" t="s">
        <v>14</v>
      </c>
      <c r="W14" s="665">
        <f t="shared" si="2"/>
        <v>100</v>
      </c>
      <c r="X14" s="666"/>
      <c r="Y14" s="3306"/>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40" t="s">
        <v>1691</v>
      </c>
      <c r="Q15" s="1263" t="str">
        <f t="shared" si="6"/>
        <v>居住社区成熟度</v>
      </c>
      <c r="R15" s="667" t="s">
        <v>14</v>
      </c>
      <c r="S15" s="668">
        <f t="shared" si="0"/>
        <v>100</v>
      </c>
      <c r="T15" s="667" t="s">
        <v>14</v>
      </c>
      <c r="U15" s="668">
        <f t="shared" si="1"/>
        <v>100</v>
      </c>
      <c r="V15" s="667" t="s">
        <v>14</v>
      </c>
      <c r="W15" s="668">
        <f t="shared" si="2"/>
        <v>100</v>
      </c>
      <c r="X15" s="1265"/>
      <c r="Y15" s="3433" t="s">
        <v>1691</v>
      </c>
      <c r="Z15" s="1264" t="str">
        <f t="shared" si="7"/>
        <v>居住社区成熟度</v>
      </c>
      <c r="AA15" s="1264">
        <f t="shared" si="3"/>
        <v>1</v>
      </c>
      <c r="AB15" s="1264">
        <f t="shared" si="4"/>
        <v>1</v>
      </c>
      <c r="AC15" s="1264">
        <f t="shared" si="5"/>
        <v>1</v>
      </c>
    </row>
    <row r="16" spans="1:29" ht="15">
      <c r="A16" s="367"/>
      <c r="B16" s="385"/>
      <c r="C16" s="386" t="s">
        <v>4103</v>
      </c>
      <c r="D16" s="387"/>
      <c r="E16" s="386" t="s">
        <v>4103</v>
      </c>
      <c r="F16" s="387"/>
      <c r="G16" s="386" t="s">
        <v>4103</v>
      </c>
      <c r="H16" s="389"/>
      <c r="I16" s="386" t="s">
        <v>4103</v>
      </c>
      <c r="J16" s="387"/>
      <c r="K16" s="1753"/>
      <c r="L16" s="2493"/>
      <c r="M16" s="2488"/>
      <c r="N16" s="2488"/>
      <c r="O16" s="2488"/>
      <c r="P16" s="3441"/>
      <c r="Q16" s="1263"/>
      <c r="R16" s="667"/>
      <c r="S16" s="668"/>
      <c r="T16" s="667"/>
      <c r="U16" s="668"/>
      <c r="V16" s="667"/>
      <c r="W16" s="668"/>
      <c r="X16" s="1265"/>
      <c r="Y16" s="3434"/>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41"/>
      <c r="Q17" s="1263" t="str">
        <f>B17</f>
        <v>交通便捷度</v>
      </c>
      <c r="R17" s="667" t="s">
        <v>14</v>
      </c>
      <c r="S17" s="668">
        <f>F17</f>
        <v>100</v>
      </c>
      <c r="T17" s="667" t="s">
        <v>14</v>
      </c>
      <c r="U17" s="668">
        <f>H17</f>
        <v>100</v>
      </c>
      <c r="V17" s="667" t="s">
        <v>14</v>
      </c>
      <c r="W17" s="668">
        <f>J17</f>
        <v>100</v>
      </c>
      <c r="X17" s="1265"/>
      <c r="Y17" s="3434"/>
      <c r="Z17" s="1264" t="str">
        <f>Q17</f>
        <v>交通便捷度</v>
      </c>
      <c r="AA17" s="1264">
        <f t="shared" si="3"/>
        <v>1</v>
      </c>
      <c r="AB17" s="1264">
        <f t="shared" si="4"/>
        <v>1</v>
      </c>
      <c r="AC17" s="1264">
        <f t="shared" si="5"/>
        <v>1</v>
      </c>
    </row>
    <row r="18" spans="1:29" ht="15">
      <c r="A18" s="367"/>
      <c r="B18" s="395"/>
      <c r="C18" s="386" t="s">
        <v>4103</v>
      </c>
      <c r="D18" s="389"/>
      <c r="E18" s="386" t="s">
        <v>4103</v>
      </c>
      <c r="F18" s="389"/>
      <c r="G18" s="386" t="s">
        <v>4103</v>
      </c>
      <c r="H18" s="387"/>
      <c r="I18" s="386" t="s">
        <v>4103</v>
      </c>
      <c r="J18" s="387"/>
      <c r="K18" s="1753"/>
      <c r="L18" s="2493"/>
      <c r="M18" s="2488"/>
      <c r="N18" s="2488"/>
      <c r="O18" s="2488"/>
      <c r="P18" s="3441"/>
      <c r="Q18" s="1263"/>
      <c r="R18" s="667"/>
      <c r="S18" s="668"/>
      <c r="T18" s="667"/>
      <c r="U18" s="668"/>
      <c r="V18" s="667"/>
      <c r="W18" s="668"/>
      <c r="X18" s="1265"/>
      <c r="Y18" s="3434"/>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41"/>
      <c r="Q19" s="1263" t="str">
        <f>B19</f>
        <v>公共配套设施</v>
      </c>
      <c r="R19" s="667" t="s">
        <v>14</v>
      </c>
      <c r="S19" s="668">
        <f>F19</f>
        <v>100</v>
      </c>
      <c r="T19" s="667" t="s">
        <v>14</v>
      </c>
      <c r="U19" s="668">
        <f>H19</f>
        <v>100</v>
      </c>
      <c r="V19" s="667" t="s">
        <v>14</v>
      </c>
      <c r="W19" s="668">
        <f>J19</f>
        <v>100</v>
      </c>
      <c r="X19" s="1265"/>
      <c r="Y19" s="343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41"/>
      <c r="Q20" s="1263"/>
      <c r="R20" s="667"/>
      <c r="S20" s="668"/>
      <c r="T20" s="667"/>
      <c r="U20" s="668"/>
      <c r="V20" s="667"/>
      <c r="W20" s="668"/>
      <c r="X20" s="1265"/>
      <c r="Y20" s="3434"/>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41"/>
      <c r="Q21" s="1263" t="str">
        <f>B21</f>
        <v>基础设施水平</v>
      </c>
      <c r="R21" s="667" t="s">
        <v>14</v>
      </c>
      <c r="S21" s="668">
        <f>F21</f>
        <v>100</v>
      </c>
      <c r="T21" s="667" t="s">
        <v>14</v>
      </c>
      <c r="U21" s="668">
        <f>H21</f>
        <v>100</v>
      </c>
      <c r="V21" s="667" t="s">
        <v>14</v>
      </c>
      <c r="W21" s="668">
        <f>J21</f>
        <v>100</v>
      </c>
      <c r="X21" s="1265"/>
      <c r="Y21" s="343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41"/>
      <c r="Q22" s="1263"/>
      <c r="R22" s="667"/>
      <c r="S22" s="668"/>
      <c r="T22" s="667"/>
      <c r="U22" s="668"/>
      <c r="V22" s="667"/>
      <c r="W22" s="668"/>
      <c r="X22" s="1265"/>
      <c r="Y22" s="3434"/>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41"/>
      <c r="Q23" s="1263" t="str">
        <f>B23</f>
        <v>自然及人文环境</v>
      </c>
      <c r="R23" s="667" t="s">
        <v>14</v>
      </c>
      <c r="S23" s="668">
        <f>F23</f>
        <v>100</v>
      </c>
      <c r="T23" s="667" t="s">
        <v>14</v>
      </c>
      <c r="U23" s="668">
        <f>H23</f>
        <v>100</v>
      </c>
      <c r="V23" s="667" t="s">
        <v>14</v>
      </c>
      <c r="W23" s="668">
        <f>J23</f>
        <v>100</v>
      </c>
      <c r="X23" s="1265"/>
      <c r="Y23" s="343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41"/>
      <c r="Q24" s="1263"/>
      <c r="R24" s="667"/>
      <c r="S24" s="668"/>
      <c r="T24" s="667"/>
      <c r="U24" s="668"/>
      <c r="V24" s="667"/>
      <c r="W24" s="668"/>
      <c r="X24" s="1265"/>
      <c r="Y24" s="343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41"/>
      <c r="Q25" s="1263" t="str">
        <f t="shared" ref="Q25:Q46" si="11">B25</f>
        <v>楼层-1</v>
      </c>
      <c r="R25" s="667" t="s">
        <v>14</v>
      </c>
      <c r="S25" s="668">
        <f t="shared" ref="S25:S46" si="12">F25</f>
        <v>100</v>
      </c>
      <c r="T25" s="667" t="s">
        <v>14</v>
      </c>
      <c r="U25" s="668">
        <f t="shared" ref="U25:U46" si="13">H25</f>
        <v>100</v>
      </c>
      <c r="V25" s="667" t="s">
        <v>14</v>
      </c>
      <c r="W25" s="668">
        <f t="shared" ref="W25:W46" si="14">J25</f>
        <v>100</v>
      </c>
      <c r="X25" s="1265"/>
      <c r="Y25" s="3434"/>
      <c r="Z25" s="1264" t="str">
        <f>Q25</f>
        <v>楼层-1</v>
      </c>
      <c r="AA25" s="1264">
        <f t="shared" ref="AA25:AA46" si="15">D25/F25</f>
        <v>1</v>
      </c>
      <c r="AB25" s="1264">
        <f t="shared" ref="AB25:AB46" si="16">D25/H25</f>
        <v>1</v>
      </c>
      <c r="AC25" s="1264">
        <f t="shared" ref="AC25:AC46" si="17">D25/J25</f>
        <v>1</v>
      </c>
    </row>
    <row r="26" spans="1:29" ht="15">
      <c r="A26" s="367"/>
      <c r="B26" s="364" t="s">
        <v>1693</v>
      </c>
      <c r="C26" s="399" t="s">
        <v>3479</v>
      </c>
      <c r="D26" s="374">
        <v>100</v>
      </c>
      <c r="E26" s="1760" t="s">
        <v>3479</v>
      </c>
      <c r="F26" s="374">
        <f>SUMIF(88:88,E26,89:89)-SUMIF(88:88,C26,89:89)+100</f>
        <v>100</v>
      </c>
      <c r="G26" s="1760" t="s">
        <v>3479</v>
      </c>
      <c r="H26" s="374">
        <f>SUMIF(88:88,G26,89:89)-SUMIF(88:88,C26,89:89)+100</f>
        <v>100</v>
      </c>
      <c r="I26" s="1760" t="s">
        <v>3479</v>
      </c>
      <c r="J26" s="374">
        <f>SUMIF(88:88,I26,89:89)-SUMIF(88:88,C26,89:89)+100</f>
        <v>100</v>
      </c>
      <c r="K26" s="365">
        <v>2</v>
      </c>
      <c r="L26" s="2493"/>
      <c r="M26" s="2488"/>
      <c r="N26" s="2488"/>
      <c r="O26" s="2488"/>
      <c r="P26" s="3441"/>
      <c r="Q26" s="1263" t="str">
        <f t="shared" si="11"/>
        <v>朝向</v>
      </c>
      <c r="R26" s="667" t="s">
        <v>14</v>
      </c>
      <c r="S26" s="668">
        <f t="shared" si="12"/>
        <v>100</v>
      </c>
      <c r="T26" s="667" t="s">
        <v>14</v>
      </c>
      <c r="U26" s="668">
        <f t="shared" si="13"/>
        <v>100</v>
      </c>
      <c r="V26" s="667" t="s">
        <v>14</v>
      </c>
      <c r="W26" s="668">
        <f t="shared" si="14"/>
        <v>100</v>
      </c>
      <c r="X26" s="1265"/>
      <c r="Y26" s="3434"/>
      <c r="Z26" s="1264" t="str">
        <f>Q26</f>
        <v>朝向</v>
      </c>
      <c r="AA26" s="1264">
        <f t="shared" si="15"/>
        <v>1</v>
      </c>
      <c r="AB26" s="1264">
        <f t="shared" si="16"/>
        <v>1</v>
      </c>
      <c r="AC26" s="1264">
        <f t="shared" si="17"/>
        <v>1</v>
      </c>
    </row>
    <row r="27" spans="1:29" s="102" customFormat="1" ht="15">
      <c r="A27" s="370"/>
      <c r="B27" s="3585" t="s">
        <v>4110</v>
      </c>
      <c r="C27" s="3586" t="s">
        <v>4111</v>
      </c>
      <c r="D27" s="401">
        <v>100</v>
      </c>
      <c r="E27" s="3587" t="s">
        <v>4112</v>
      </c>
      <c r="F27" s="401">
        <f>SUMIF(90:90,E27,91:91)-SUMIF(90:90,C27,91:91)+100</f>
        <v>102</v>
      </c>
      <c r="G27" s="3588" t="s">
        <v>4112</v>
      </c>
      <c r="H27" s="401">
        <f>SUMIF(90:90,G27,91:91)-SUMIF(90:90,C27,91:91)+100</f>
        <v>102</v>
      </c>
      <c r="I27" s="3588" t="s">
        <v>4112</v>
      </c>
      <c r="J27" s="401">
        <f>SUMIF(90:90,I27,91:91)-SUMIF(90:90,C27,91:91)+100</f>
        <v>102</v>
      </c>
      <c r="K27" s="1748"/>
      <c r="L27" s="2489"/>
      <c r="M27" s="2440"/>
      <c r="N27" s="2440"/>
      <c r="O27" s="2440"/>
      <c r="P27" s="3441"/>
      <c r="Q27" s="530" t="str">
        <f t="shared" si="11"/>
        <v>楼层</v>
      </c>
      <c r="R27" s="664" t="s">
        <v>14</v>
      </c>
      <c r="S27" s="665">
        <f t="shared" si="12"/>
        <v>102</v>
      </c>
      <c r="T27" s="664" t="s">
        <v>14</v>
      </c>
      <c r="U27" s="665">
        <f t="shared" si="13"/>
        <v>102</v>
      </c>
      <c r="V27" s="664" t="s">
        <v>14</v>
      </c>
      <c r="W27" s="665">
        <f t="shared" si="14"/>
        <v>102</v>
      </c>
      <c r="X27" s="666"/>
      <c r="Y27" s="3434"/>
      <c r="Z27" s="50" t="str">
        <f>Q27</f>
        <v>楼层</v>
      </c>
      <c r="AA27" s="1264">
        <f t="shared" si="15"/>
        <v>0.98039215686274506</v>
      </c>
      <c r="AB27" s="1264">
        <f t="shared" si="16"/>
        <v>0.98039215686274506</v>
      </c>
      <c r="AC27" s="1264">
        <f t="shared" si="17"/>
        <v>0.98039215686274506</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41"/>
      <c r="Q28" s="1263">
        <f t="shared" si="11"/>
        <v>111</v>
      </c>
      <c r="R28" s="667" t="s">
        <v>14</v>
      </c>
      <c r="S28" s="668">
        <f t="shared" si="12"/>
        <v>100</v>
      </c>
      <c r="T28" s="667" t="s">
        <v>14</v>
      </c>
      <c r="U28" s="668">
        <f t="shared" si="13"/>
        <v>100</v>
      </c>
      <c r="V28" s="667" t="s">
        <v>14</v>
      </c>
      <c r="W28" s="668">
        <f t="shared" si="14"/>
        <v>100</v>
      </c>
      <c r="X28" s="1265"/>
      <c r="Y28" s="343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41"/>
      <c r="Q29" s="1263">
        <f t="shared" si="11"/>
        <v>111</v>
      </c>
      <c r="R29" s="667" t="s">
        <v>14</v>
      </c>
      <c r="S29" s="668">
        <f t="shared" si="12"/>
        <v>100</v>
      </c>
      <c r="T29" s="667" t="s">
        <v>14</v>
      </c>
      <c r="U29" s="668">
        <f t="shared" si="13"/>
        <v>100</v>
      </c>
      <c r="V29" s="667" t="s">
        <v>14</v>
      </c>
      <c r="W29" s="668">
        <f t="shared" si="14"/>
        <v>100</v>
      </c>
      <c r="X29" s="1265"/>
      <c r="Y29" s="343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41"/>
      <c r="Q30" s="1263">
        <f t="shared" si="11"/>
        <v>111</v>
      </c>
      <c r="R30" s="667" t="s">
        <v>14</v>
      </c>
      <c r="S30" s="668">
        <f t="shared" si="12"/>
        <v>100</v>
      </c>
      <c r="T30" s="667" t="s">
        <v>14</v>
      </c>
      <c r="U30" s="668">
        <f t="shared" si="13"/>
        <v>100</v>
      </c>
      <c r="V30" s="667" t="s">
        <v>14</v>
      </c>
      <c r="W30" s="668">
        <f t="shared" si="14"/>
        <v>100</v>
      </c>
      <c r="X30" s="1265"/>
      <c r="Y30" s="3434"/>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41"/>
      <c r="Q31" s="1263">
        <f t="shared" si="11"/>
        <v>111</v>
      </c>
      <c r="R31" s="667" t="s">
        <v>14</v>
      </c>
      <c r="S31" s="668">
        <f t="shared" si="12"/>
        <v>100</v>
      </c>
      <c r="T31" s="667" t="s">
        <v>14</v>
      </c>
      <c r="U31" s="668">
        <f t="shared" si="13"/>
        <v>100</v>
      </c>
      <c r="V31" s="667" t="s">
        <v>14</v>
      </c>
      <c r="W31" s="668">
        <f t="shared" si="14"/>
        <v>100</v>
      </c>
      <c r="X31" s="1265"/>
      <c r="Y31" s="343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35" t="s">
        <v>1696</v>
      </c>
      <c r="Q32" s="1263" t="str">
        <f t="shared" si="11"/>
        <v>建筑类型</v>
      </c>
      <c r="R32" s="667" t="s">
        <v>14</v>
      </c>
      <c r="S32" s="668">
        <f t="shared" si="12"/>
        <v>100</v>
      </c>
      <c r="T32" s="667" t="s">
        <v>14</v>
      </c>
      <c r="U32" s="668">
        <f t="shared" si="13"/>
        <v>100</v>
      </c>
      <c r="V32" s="667" t="s">
        <v>14</v>
      </c>
      <c r="W32" s="668">
        <f t="shared" si="14"/>
        <v>100</v>
      </c>
      <c r="X32" s="1265"/>
      <c r="Y32" s="3438" t="s">
        <v>1696</v>
      </c>
      <c r="Z32" s="1264" t="str">
        <f t="shared" si="18"/>
        <v>建筑类型</v>
      </c>
      <c r="AA32" s="1264">
        <f t="shared" si="15"/>
        <v>1</v>
      </c>
      <c r="AB32" s="1264">
        <f t="shared" si="16"/>
        <v>1</v>
      </c>
      <c r="AC32" s="1264">
        <f t="shared" si="17"/>
        <v>1</v>
      </c>
    </row>
    <row r="33" spans="1:29" s="408" customFormat="1" ht="15">
      <c r="A33" s="406"/>
      <c r="B33" s="364" t="s">
        <v>1697</v>
      </c>
      <c r="C33" s="407">
        <v>89</v>
      </c>
      <c r="D33" s="119">
        <v>100</v>
      </c>
      <c r="E33" s="369">
        <f>诺德彩园案例!AR2</f>
        <v>129.27000000000001</v>
      </c>
      <c r="F33" s="364">
        <f>LOOKUP(E33,103:103,104:104)-LOOKUP(C33,103:103,104:104)+100</f>
        <v>99</v>
      </c>
      <c r="G33" s="368">
        <f>诺德彩园案例!AR5</f>
        <v>89.44</v>
      </c>
      <c r="H33" s="119">
        <f>LOOKUP(G33,103:103,104:104)-LOOKUP(C33,103:103,104:104)+100</f>
        <v>100</v>
      </c>
      <c r="I33" s="369">
        <f>诺德彩园案例!AR8</f>
        <v>127.12</v>
      </c>
      <c r="J33" s="119">
        <f>LOOKUP(I33,103:103,104:104)-LOOKUP(C33,103:103,104:104)+100</f>
        <v>99</v>
      </c>
      <c r="K33" s="1748"/>
      <c r="L33" s="2492"/>
      <c r="M33" s="2494"/>
      <c r="N33" s="2494"/>
      <c r="O33" s="2494"/>
      <c r="P33" s="3436"/>
      <c r="Q33" s="531" t="str">
        <f t="shared" si="11"/>
        <v>项目建筑规模</v>
      </c>
      <c r="R33" s="669" t="s">
        <v>14</v>
      </c>
      <c r="S33" s="670">
        <f t="shared" si="12"/>
        <v>99</v>
      </c>
      <c r="T33" s="669" t="s">
        <v>14</v>
      </c>
      <c r="U33" s="670">
        <f t="shared" si="13"/>
        <v>100</v>
      </c>
      <c r="V33" s="669" t="s">
        <v>14</v>
      </c>
      <c r="W33" s="670">
        <f t="shared" si="14"/>
        <v>99</v>
      </c>
      <c r="X33" s="671"/>
      <c r="Y33" s="3438"/>
      <c r="Z33" s="672" t="str">
        <f t="shared" si="18"/>
        <v>项目建筑规模</v>
      </c>
      <c r="AA33" s="1264">
        <f t="shared" si="15"/>
        <v>1.0101010101010102</v>
      </c>
      <c r="AB33" s="1264">
        <f t="shared" si="16"/>
        <v>1</v>
      </c>
      <c r="AC33" s="1264">
        <f t="shared" si="17"/>
        <v>1.0101010101010102</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36"/>
      <c r="Q34" s="1263" t="str">
        <f t="shared" si="11"/>
        <v>建筑结构</v>
      </c>
      <c r="R34" s="667" t="s">
        <v>14</v>
      </c>
      <c r="S34" s="668">
        <f t="shared" si="12"/>
        <v>100</v>
      </c>
      <c r="T34" s="667" t="s">
        <v>14</v>
      </c>
      <c r="U34" s="668">
        <f t="shared" si="13"/>
        <v>100</v>
      </c>
      <c r="V34" s="667" t="s">
        <v>14</v>
      </c>
      <c r="W34" s="668">
        <f t="shared" si="14"/>
        <v>100</v>
      </c>
      <c r="X34" s="1265"/>
      <c r="Y34" s="343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36"/>
      <c r="Q35" s="1263" t="str">
        <f t="shared" si="11"/>
        <v>建筑品质</v>
      </c>
      <c r="R35" s="667" t="s">
        <v>14</v>
      </c>
      <c r="S35" s="668">
        <f t="shared" si="12"/>
        <v>100</v>
      </c>
      <c r="T35" s="667" t="s">
        <v>14</v>
      </c>
      <c r="U35" s="668">
        <f t="shared" si="13"/>
        <v>100</v>
      </c>
      <c r="V35" s="667" t="s">
        <v>14</v>
      </c>
      <c r="W35" s="668">
        <f t="shared" si="14"/>
        <v>100</v>
      </c>
      <c r="X35" s="1265"/>
      <c r="Y35" s="343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36"/>
      <c r="Q36" s="1263" t="str">
        <f t="shared" si="11"/>
        <v>公共部分装修</v>
      </c>
      <c r="R36" s="667" t="s">
        <v>14</v>
      </c>
      <c r="S36" s="668">
        <f t="shared" si="12"/>
        <v>100</v>
      </c>
      <c r="T36" s="667" t="s">
        <v>14</v>
      </c>
      <c r="U36" s="668">
        <f t="shared" si="13"/>
        <v>100</v>
      </c>
      <c r="V36" s="667" t="s">
        <v>14</v>
      </c>
      <c r="W36" s="668">
        <f t="shared" si="14"/>
        <v>100</v>
      </c>
      <c r="X36" s="1265"/>
      <c r="Y36" s="3438"/>
      <c r="Z36" s="1264" t="str">
        <f t="shared" si="18"/>
        <v>公共部分装修</v>
      </c>
      <c r="AA36" s="1264">
        <f t="shared" si="15"/>
        <v>1</v>
      </c>
      <c r="AB36" s="1264">
        <f t="shared" si="16"/>
        <v>1</v>
      </c>
      <c r="AC36" s="1264">
        <f t="shared" si="17"/>
        <v>1</v>
      </c>
    </row>
    <row r="37" spans="1:29" s="102" customFormat="1" ht="15">
      <c r="A37" s="410"/>
      <c r="B37" s="364" t="s">
        <v>1701</v>
      </c>
      <c r="C37" s="411">
        <v>0.9</v>
      </c>
      <c r="D37" s="119">
        <v>100</v>
      </c>
      <c r="E37" s="411">
        <v>0.75</v>
      </c>
      <c r="F37" s="364">
        <f>LOOKUP(E37,112:112,113:113)-LOOKUP(C37,112:112,113:113)+100</f>
        <v>98</v>
      </c>
      <c r="G37" s="413">
        <v>0.75</v>
      </c>
      <c r="H37" s="119">
        <f>LOOKUP(G37,112:112,113:113)-LOOKUP(C37,112:112,113:113)+100</f>
        <v>98</v>
      </c>
      <c r="I37" s="412">
        <v>0.75</v>
      </c>
      <c r="J37" s="119">
        <f>LOOKUP(I37,112:112,113:113)-LOOKUP(C37,112:112,113:113)+100</f>
        <v>98</v>
      </c>
      <c r="K37" s="365">
        <v>1</v>
      </c>
      <c r="L37" s="2489"/>
      <c r="M37" s="2440"/>
      <c r="N37" s="2440"/>
      <c r="O37" s="2440"/>
      <c r="P37" s="3436"/>
      <c r="Q37" s="530" t="str">
        <f t="shared" si="11"/>
        <v>成新度</v>
      </c>
      <c r="R37" s="664" t="s">
        <v>14</v>
      </c>
      <c r="S37" s="665">
        <f t="shared" si="12"/>
        <v>98</v>
      </c>
      <c r="T37" s="664" t="s">
        <v>14</v>
      </c>
      <c r="U37" s="665">
        <f t="shared" si="13"/>
        <v>98</v>
      </c>
      <c r="V37" s="664" t="s">
        <v>14</v>
      </c>
      <c r="W37" s="665">
        <f t="shared" si="14"/>
        <v>98</v>
      </c>
      <c r="X37" s="666"/>
      <c r="Y37" s="3438"/>
      <c r="Z37" s="50" t="str">
        <f t="shared" si="18"/>
        <v>成新度</v>
      </c>
      <c r="AA37" s="50">
        <f t="shared" si="15"/>
        <v>1.0204081632653061</v>
      </c>
      <c r="AB37" s="50">
        <f t="shared" si="16"/>
        <v>1.0204081632653061</v>
      </c>
      <c r="AC37" s="50">
        <f t="shared" si="17"/>
        <v>1.0204081632653061</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36" t="s">
        <v>1696</v>
      </c>
      <c r="Q38" s="1263" t="str">
        <f t="shared" si="11"/>
        <v>物业管理</v>
      </c>
      <c r="R38" s="667" t="s">
        <v>14</v>
      </c>
      <c r="S38" s="668">
        <f t="shared" si="12"/>
        <v>100</v>
      </c>
      <c r="T38" s="667" t="s">
        <v>14</v>
      </c>
      <c r="U38" s="668">
        <f t="shared" si="13"/>
        <v>100</v>
      </c>
      <c r="V38" s="667" t="s">
        <v>14</v>
      </c>
      <c r="W38" s="668">
        <f t="shared" si="14"/>
        <v>100</v>
      </c>
      <c r="X38" s="1265"/>
      <c r="Y38" s="343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36"/>
      <c r="Q39" s="1263" t="str">
        <f t="shared" si="11"/>
        <v>市政基础设施</v>
      </c>
      <c r="R39" s="667" t="s">
        <v>14</v>
      </c>
      <c r="S39" s="668">
        <f t="shared" si="12"/>
        <v>100</v>
      </c>
      <c r="T39" s="667" t="s">
        <v>14</v>
      </c>
      <c r="U39" s="668">
        <f t="shared" si="13"/>
        <v>100</v>
      </c>
      <c r="V39" s="667" t="s">
        <v>14</v>
      </c>
      <c r="W39" s="668">
        <f t="shared" si="14"/>
        <v>100</v>
      </c>
      <c r="X39" s="1265"/>
      <c r="Y39" s="343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36"/>
      <c r="Q40" s="1263" t="str">
        <f t="shared" si="11"/>
        <v>房型</v>
      </c>
      <c r="R40" s="667" t="s">
        <v>14</v>
      </c>
      <c r="S40" s="668">
        <f t="shared" si="12"/>
        <v>100</v>
      </c>
      <c r="T40" s="667" t="s">
        <v>14</v>
      </c>
      <c r="U40" s="668">
        <f t="shared" si="13"/>
        <v>100</v>
      </c>
      <c r="V40" s="667" t="s">
        <v>14</v>
      </c>
      <c r="W40" s="668">
        <f t="shared" si="14"/>
        <v>100</v>
      </c>
      <c r="X40" s="1265"/>
      <c r="Y40" s="3438"/>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36"/>
      <c r="Q41" s="531" t="str">
        <f t="shared" si="11"/>
        <v>单套/主力户型建筑面积</v>
      </c>
      <c r="R41" s="669" t="s">
        <v>14</v>
      </c>
      <c r="S41" s="670">
        <f t="shared" si="12"/>
        <v>100</v>
      </c>
      <c r="T41" s="669" t="s">
        <v>14</v>
      </c>
      <c r="U41" s="670">
        <f t="shared" si="13"/>
        <v>100</v>
      </c>
      <c r="V41" s="669" t="s">
        <v>14</v>
      </c>
      <c r="W41" s="670">
        <f t="shared" si="14"/>
        <v>100</v>
      </c>
      <c r="X41" s="671"/>
      <c r="Y41" s="3438"/>
      <c r="Z41" s="672" t="str">
        <f t="shared" si="18"/>
        <v>单套/主力户型建筑面积</v>
      </c>
      <c r="AA41" s="1264">
        <f t="shared" si="15"/>
        <v>1</v>
      </c>
      <c r="AB41" s="1264">
        <f t="shared" si="16"/>
        <v>1</v>
      </c>
      <c r="AC41" s="1264">
        <f t="shared" si="17"/>
        <v>1</v>
      </c>
    </row>
    <row r="42" spans="1:29" ht="15">
      <c r="A42" s="409"/>
      <c r="B42" s="364" t="s">
        <v>1706</v>
      </c>
      <c r="C42" s="1760" t="s">
        <v>3494</v>
      </c>
      <c r="D42" s="374">
        <v>100</v>
      </c>
      <c r="E42" s="3583" t="str">
        <f>诺德彩园案例!V6</f>
        <v>普通装修</v>
      </c>
      <c r="F42" s="400">
        <f>SUMIF(122:122,E42,123:123)-SUMIF(122:122,C42,123:123)+100</f>
        <v>98</v>
      </c>
      <c r="G42" s="3584" t="s">
        <v>3478</v>
      </c>
      <c r="H42" s="374">
        <f>SUMIF(122:122,G42,123:123)-SUMIF(122:122,C42,123:123)+100</f>
        <v>96</v>
      </c>
      <c r="I42" s="3583" t="s">
        <v>3484</v>
      </c>
      <c r="J42" s="374">
        <f>SUMIF(122:122,I42,123:123)-SUMIF(122:122,C42,123:123)+100</f>
        <v>98</v>
      </c>
      <c r="K42" s="365">
        <v>2</v>
      </c>
      <c r="L42" s="2493"/>
      <c r="M42" s="2488"/>
      <c r="N42" s="2488"/>
      <c r="O42" s="2488"/>
      <c r="P42" s="3436"/>
      <c r="Q42" s="1263" t="str">
        <f t="shared" si="11"/>
        <v>内部装修</v>
      </c>
      <c r="R42" s="667" t="s">
        <v>14</v>
      </c>
      <c r="S42" s="668">
        <f t="shared" si="12"/>
        <v>98</v>
      </c>
      <c r="T42" s="667" t="s">
        <v>14</v>
      </c>
      <c r="U42" s="668">
        <f t="shared" si="13"/>
        <v>96</v>
      </c>
      <c r="V42" s="667" t="s">
        <v>14</v>
      </c>
      <c r="W42" s="668">
        <f t="shared" si="14"/>
        <v>98</v>
      </c>
      <c r="X42" s="1265"/>
      <c r="Y42" s="3438"/>
      <c r="Z42" s="1264" t="str">
        <f t="shared" si="18"/>
        <v>内部装修</v>
      </c>
      <c r="AA42" s="1264">
        <f t="shared" si="15"/>
        <v>1.0204081632653061</v>
      </c>
      <c r="AB42" s="1264">
        <f t="shared" si="16"/>
        <v>1.0416666666666667</v>
      </c>
      <c r="AC42" s="1264">
        <f t="shared" si="17"/>
        <v>1.0204081632653061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f>1-(2026-2022)/60</f>
        <v>0.93333333333333335</v>
      </c>
      <c r="N43" s="2488"/>
      <c r="O43" s="2488"/>
      <c r="P43" s="3436"/>
      <c r="Q43" s="1263" t="str">
        <f t="shared" si="11"/>
        <v>内部装修维护情况</v>
      </c>
      <c r="R43" s="667" t="s">
        <v>14</v>
      </c>
      <c r="S43" s="668">
        <f t="shared" si="12"/>
        <v>100</v>
      </c>
      <c r="T43" s="667" t="s">
        <v>14</v>
      </c>
      <c r="U43" s="668">
        <f t="shared" si="13"/>
        <v>100</v>
      </c>
      <c r="V43" s="667" t="s">
        <v>14</v>
      </c>
      <c r="W43" s="668">
        <f t="shared" si="14"/>
        <v>100</v>
      </c>
      <c r="X43" s="1265"/>
      <c r="Y43" s="343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88">
        <f>1-(2026-2012)/60</f>
        <v>0.76666666666666661</v>
      </c>
      <c r="N44" s="2440"/>
      <c r="O44" s="2440"/>
      <c r="P44" s="3436"/>
      <c r="Q44" s="530">
        <f t="shared" si="11"/>
        <v>111</v>
      </c>
      <c r="R44" s="664" t="s">
        <v>14</v>
      </c>
      <c r="S44" s="665">
        <f t="shared" si="12"/>
        <v>100</v>
      </c>
      <c r="T44" s="664" t="s">
        <v>14</v>
      </c>
      <c r="U44" s="665">
        <f t="shared" si="13"/>
        <v>100</v>
      </c>
      <c r="V44" s="664" t="s">
        <v>14</v>
      </c>
      <c r="W44" s="665">
        <f t="shared" si="14"/>
        <v>100</v>
      </c>
      <c r="X44" s="666"/>
      <c r="Y44" s="343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36"/>
      <c r="Q45" s="1263">
        <f t="shared" si="11"/>
        <v>111</v>
      </c>
      <c r="R45" s="667" t="s">
        <v>14</v>
      </c>
      <c r="S45" s="668">
        <f t="shared" si="12"/>
        <v>100</v>
      </c>
      <c r="T45" s="667" t="s">
        <v>14</v>
      </c>
      <c r="U45" s="668">
        <f t="shared" si="13"/>
        <v>100</v>
      </c>
      <c r="V45" s="667" t="s">
        <v>14</v>
      </c>
      <c r="W45" s="668">
        <f t="shared" si="14"/>
        <v>100</v>
      </c>
      <c r="X45" s="1265"/>
      <c r="Y45" s="3438"/>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37"/>
      <c r="Q46" s="1263">
        <f t="shared" si="11"/>
        <v>111</v>
      </c>
      <c r="R46" s="667" t="s">
        <v>14</v>
      </c>
      <c r="S46" s="668">
        <f t="shared" si="12"/>
        <v>100</v>
      </c>
      <c r="T46" s="667" t="s">
        <v>14</v>
      </c>
      <c r="U46" s="668">
        <f t="shared" si="13"/>
        <v>100</v>
      </c>
      <c r="V46" s="667" t="s">
        <v>14</v>
      </c>
      <c r="W46" s="668">
        <f t="shared" si="14"/>
        <v>100</v>
      </c>
      <c r="X46" s="1265"/>
      <c r="Y46" s="3439"/>
      <c r="Z46" s="1264">
        <f t="shared" si="18"/>
        <v>111</v>
      </c>
      <c r="AA46" s="1264">
        <f t="shared" si="15"/>
        <v>1</v>
      </c>
      <c r="AB46" s="1264">
        <f t="shared" si="16"/>
        <v>1</v>
      </c>
      <c r="AC46" s="1264">
        <f t="shared" si="17"/>
        <v>1</v>
      </c>
    </row>
    <row r="47" spans="1:29" ht="15">
      <c r="A47" s="416" t="s">
        <v>1708</v>
      </c>
      <c r="B47" s="417"/>
      <c r="C47" s="1081" t="s">
        <v>0</v>
      </c>
      <c r="D47" s="418"/>
      <c r="E47" s="419">
        <f>诺德彩园案例!AV2</f>
        <v>30169</v>
      </c>
      <c r="F47" s="420"/>
      <c r="G47" s="421">
        <f>诺德彩园案例!AV5</f>
        <v>30076</v>
      </c>
      <c r="H47" s="422"/>
      <c r="I47" s="419">
        <f>诺德彩园案例!AV8</f>
        <v>29106</v>
      </c>
      <c r="J47" s="422"/>
      <c r="K47" s="1767"/>
      <c r="L47" s="2495"/>
      <c r="M47" s="2488"/>
      <c r="N47" s="2488"/>
      <c r="O47" s="2488"/>
      <c r="P47" s="3431" t="str">
        <f>A47</f>
        <v>成交单价（元/平方米）</v>
      </c>
      <c r="Q47" s="3431"/>
      <c r="R47" s="3432">
        <f>E47</f>
        <v>30169</v>
      </c>
      <c r="S47" s="3432"/>
      <c r="T47" s="3432">
        <f>G47</f>
        <v>30076</v>
      </c>
      <c r="U47" s="3432"/>
      <c r="V47" s="3432">
        <f>I47</f>
        <v>29106</v>
      </c>
      <c r="W47" s="3432"/>
      <c r="X47" s="385"/>
      <c r="Y47" s="673"/>
      <c r="Z47" s="385"/>
      <c r="AA47" s="385"/>
      <c r="AB47" s="385"/>
      <c r="AC47" s="385"/>
    </row>
    <row r="48" spans="1:29" ht="15.75" thickBot="1">
      <c r="A48" s="423" t="s">
        <v>1709</v>
      </c>
      <c r="B48" s="424"/>
      <c r="C48" s="1082">
        <f>R49</f>
        <v>30821</v>
      </c>
      <c r="D48" s="2141" t="s">
        <v>2138</v>
      </c>
      <c r="E48" s="1083">
        <f>R48</f>
        <v>31108</v>
      </c>
      <c r="F48" s="2142"/>
      <c r="G48" s="1082">
        <f>T48</f>
        <v>31342</v>
      </c>
      <c r="H48" s="2142"/>
      <c r="I48" s="1083">
        <f>V48</f>
        <v>30012</v>
      </c>
      <c r="J48" s="2142"/>
      <c r="K48" s="2143">
        <f>F48+H48+J48</f>
        <v>0</v>
      </c>
      <c r="L48" s="2495"/>
      <c r="M48" s="2488"/>
      <c r="N48" s="2488"/>
      <c r="O48" s="2488"/>
      <c r="P48" s="3431" t="str">
        <f>A48</f>
        <v>比较价值（元/平方米）</v>
      </c>
      <c r="Q48" s="3431"/>
      <c r="R48" s="3432">
        <f>IF(F1="售价",ROUND(PRODUCT(R47,AA7:AA46),0),ROUND(PRODUCT(R47,AA7:AA46),1))</f>
        <v>31108</v>
      </c>
      <c r="S48" s="3432"/>
      <c r="T48" s="3432">
        <f>IF(F1="售价",ROUND(PRODUCT(T47,AB7:AB46),0),ROUND(PRODUCT(T47,AB7:AB46),1))</f>
        <v>31342</v>
      </c>
      <c r="U48" s="3432"/>
      <c r="V48" s="3432">
        <f>IF(F1="售价",ROUND(PRODUCT(V47,AC7:AC46),0),ROUND(PRODUCT(V47,AC7:AC46),1))</f>
        <v>30012</v>
      </c>
      <c r="W48" s="3432"/>
      <c r="X48" s="385"/>
      <c r="Y48" s="385"/>
      <c r="Z48" s="385"/>
      <c r="AA48" s="385"/>
      <c r="AB48" s="385"/>
      <c r="AC48" s="385"/>
    </row>
    <row r="49" spans="1:29" ht="15.75" thickBot="1">
      <c r="A49" s="427" t="s">
        <v>1710</v>
      </c>
      <c r="B49" s="428"/>
      <c r="C49" s="1084">
        <f>R49</f>
        <v>30821</v>
      </c>
      <c r="D49" s="351"/>
      <c r="E49" s="351"/>
      <c r="F49" s="351"/>
      <c r="G49" s="351"/>
      <c r="H49" s="351"/>
      <c r="I49" s="351"/>
      <c r="J49" s="351"/>
      <c r="K49" s="1768"/>
      <c r="L49" s="2495"/>
      <c r="M49" s="2488"/>
      <c r="N49" s="2488"/>
      <c r="O49" s="2488"/>
      <c r="P49" s="3428" t="str">
        <f>A49</f>
        <v>估价对象XX用房的比较价值（楼面单价，元/平方米）</v>
      </c>
      <c r="Q49" s="3429"/>
      <c r="R49" s="3430">
        <f>IF(F1="售价",ROUND(IF(D48="简单平均",AVERAGE(R48:V48),R48*F48+T48*H48+V48*J48),0),ROUND(IF(D48="简单平均",AVERAGE(R48:V48),R48*F48+T48*H48+V48*J48),1))</f>
        <v>30821</v>
      </c>
      <c r="S49" s="3430"/>
      <c r="T49" s="3430"/>
      <c r="U49" s="3430"/>
      <c r="V49" s="3430"/>
      <c r="W49" s="3430"/>
      <c r="X49" s="385"/>
      <c r="Y49" s="385"/>
      <c r="Z49" s="385"/>
      <c r="AA49" s="385"/>
      <c r="AB49" s="385"/>
      <c r="AC49" s="385"/>
    </row>
    <row r="50" spans="1:29">
      <c r="A50" s="2488"/>
      <c r="B50" s="2488"/>
      <c r="C50" s="2488">
        <v>2022</v>
      </c>
      <c r="D50" s="2488"/>
      <c r="E50" s="2488">
        <v>2012</v>
      </c>
      <c r="F50" s="2488"/>
      <c r="G50" s="2499">
        <v>20.13</v>
      </c>
      <c r="H50" s="2488"/>
      <c r="I50" s="2488">
        <v>2014</v>
      </c>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f>IF(E47&lt;E48,E48/E47-1,E47/E48-1)</f>
        <v>3.1124664390599577E-2</v>
      </c>
      <c r="F52" s="435" t="str">
        <f>IF(OR(E52&gt;=0.3,E52&lt;=-0.3),"超过30%","")</f>
        <v/>
      </c>
      <c r="G52" s="434">
        <f>IF(G47&lt;G48,G48/G47-1,G47/G48-1)</f>
        <v>4.2093363479186019E-2</v>
      </c>
      <c r="H52" s="435" t="str">
        <f>IF(OR(G52&gt;=0.3,G52&lt;=-0.3),"超过30%","")</f>
        <v/>
      </c>
      <c r="I52" s="434">
        <f>IF(I47&lt;I48,I48/I47-1,I47/I48-1)</f>
        <v>3.1127602556173972E-2</v>
      </c>
      <c r="J52" s="435" t="str">
        <f>IF(OR(I52&gt;=0.3,I52&lt;=-0.3),"超过30%","")</f>
        <v/>
      </c>
      <c r="K52" s="2500"/>
      <c r="L52" s="2496"/>
      <c r="M52" s="2488"/>
      <c r="N52" s="2488"/>
      <c r="O52" s="2488"/>
    </row>
    <row r="53" spans="1:29" ht="13.5" customHeight="1">
      <c r="A53" s="2488"/>
      <c r="B53" s="2488"/>
      <c r="C53" s="432" t="s">
        <v>1712</v>
      </c>
      <c r="D53" s="436"/>
      <c r="E53" s="434">
        <f>IF(E48&lt;G48,G48/E48-1,E48/G48-1)</f>
        <v>7.5221807895076154E-3</v>
      </c>
      <c r="F53" s="435" t="str">
        <f>IF(OR(E53&gt;=0.2,E53&lt;=-0.2),"超过20%","")</f>
        <v/>
      </c>
      <c r="G53" s="434">
        <f>IF(G48&lt;I48,I48/G48-1,G48/I48-1)</f>
        <v>4.4315607090497089E-2</v>
      </c>
      <c r="H53" s="435" t="str">
        <f>IF(OR(G53&gt;=0.2,G53&lt;=-0.2),"超过20%","")</f>
        <v/>
      </c>
      <c r="I53" s="434">
        <f>IF(I48&lt;E48,E48/I48-1,I48/E48-1)</f>
        <v>3.6518725842996203E-2</v>
      </c>
      <c r="J53" s="435" t="str">
        <f>IF(OR(I53&gt;=0.2,I53&lt;=-0.2),"超过20%","")</f>
        <v/>
      </c>
      <c r="K53" s="2500"/>
      <c r="L53" s="2496"/>
      <c r="M53" s="2488"/>
      <c r="N53" s="2488"/>
      <c r="O53" s="2488"/>
    </row>
    <row r="54" spans="1:29" s="437" customFormat="1" ht="13.5" customHeight="1">
      <c r="A54" s="2498"/>
      <c r="B54" s="2498"/>
      <c r="C54" s="432" t="s">
        <v>1713</v>
      </c>
      <c r="D54" s="436"/>
      <c r="E54" s="434">
        <f>IF(E47&lt;G47,G47/E47-1,E47/G47-1)</f>
        <v>3.0921665115042352E-3</v>
      </c>
      <c r="F54" s="435" t="str">
        <f>IF(OR(E54&gt;=0.3,E54&lt;=-0.3),"超过30%","")</f>
        <v/>
      </c>
      <c r="G54" s="434">
        <f>IF(G47&lt;I47,I47/G47-1,G47/I47-1)</f>
        <v>3.3326461897890569E-2</v>
      </c>
      <c r="H54" s="435" t="str">
        <f>IF(OR(G54&gt;=0.3,G54&lt;=-0.3),"超过30%","")</f>
        <v/>
      </c>
      <c r="I54" s="434">
        <f>IF(I47&lt;E47,E47/I47-1,I47/E47-1)</f>
        <v>3.6521679378822336E-2</v>
      </c>
      <c r="J54" s="435" t="str">
        <f>IF(OR(I54&gt;=0.3,I54&lt;=-0.3),"超过30%","")</f>
        <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1679</v>
      </c>
      <c r="B58" s="441"/>
      <c r="C58" s="1105" t="str">
        <f>YEAR(C7)&amp;"-"&amp;MONTH(C7)</f>
        <v>2026-4</v>
      </c>
      <c r="D58" s="1104">
        <f>EDATE(C58,-1)</f>
        <v>46082</v>
      </c>
      <c r="E58" s="1104">
        <f>EDATE(D58,-1)</f>
        <v>46054</v>
      </c>
      <c r="F58" s="1104">
        <f t="shared" ref="F58:O58" si="19">EDATE(E58,-1)</f>
        <v>46023</v>
      </c>
      <c r="G58" s="1104">
        <f t="shared" si="19"/>
        <v>45992</v>
      </c>
      <c r="H58" s="1104">
        <f t="shared" si="19"/>
        <v>45962</v>
      </c>
      <c r="I58" s="1104">
        <f t="shared" si="19"/>
        <v>45931</v>
      </c>
      <c r="J58" s="1104">
        <f t="shared" si="19"/>
        <v>45901</v>
      </c>
      <c r="K58" s="1104">
        <f t="shared" si="19"/>
        <v>45870</v>
      </c>
      <c r="L58" s="1104">
        <f t="shared" si="19"/>
        <v>45839</v>
      </c>
      <c r="M58" s="1104">
        <f t="shared" si="19"/>
        <v>45809</v>
      </c>
      <c r="N58" s="1104">
        <f t="shared" si="19"/>
        <v>45778</v>
      </c>
      <c r="O58" s="1104">
        <f t="shared" si="19"/>
        <v>45748</v>
      </c>
      <c r="P58" s="1100"/>
    </row>
    <row r="59" spans="1:29" s="102" customFormat="1" ht="15">
      <c r="A59" s="443"/>
      <c r="B59" s="1772"/>
      <c r="C59" s="1102">
        <v>100</v>
      </c>
      <c r="D59" s="445">
        <v>100</v>
      </c>
      <c r="E59" s="446">
        <v>100</v>
      </c>
      <c r="F59" s="446">
        <v>100</v>
      </c>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1681</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0（含）-1</v>
      </c>
      <c r="D67" s="478" t="str">
        <f t="shared" ref="D67:L67" si="20">D68&amp;"（含）"&amp;"-"&amp;E68</f>
        <v>1（含）-2</v>
      </c>
      <c r="E67" s="478" t="str">
        <f t="shared" si="20"/>
        <v>2（含）-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v>0</v>
      </c>
      <c r="D68" s="480">
        <v>1</v>
      </c>
      <c r="E68" s="480">
        <v>2</v>
      </c>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3582" t="s">
        <v>4104</v>
      </c>
      <c r="D88" s="3582" t="s">
        <v>4105</v>
      </c>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98</v>
      </c>
      <c r="E89" s="475">
        <f t="shared" si="24"/>
        <v>96</v>
      </c>
      <c r="F89" s="475">
        <f t="shared" si="24"/>
        <v>94</v>
      </c>
      <c r="G89" s="475">
        <f t="shared" si="24"/>
        <v>92</v>
      </c>
      <c r="H89" s="475">
        <f t="shared" si="24"/>
        <v>90</v>
      </c>
      <c r="I89" s="475">
        <f t="shared" si="24"/>
        <v>88</v>
      </c>
      <c r="J89" s="475">
        <f t="shared" si="24"/>
        <v>86</v>
      </c>
      <c r="K89" s="475">
        <f t="shared" si="24"/>
        <v>84</v>
      </c>
      <c r="L89" s="475">
        <f t="shared" si="24"/>
        <v>82</v>
      </c>
      <c r="M89" s="475">
        <f t="shared" si="24"/>
        <v>80</v>
      </c>
      <c r="N89" s="880"/>
      <c r="O89" s="880"/>
      <c r="P89" s="1775"/>
      <c r="Q89" s="439"/>
    </row>
    <row r="90" spans="1:17" s="408" customFormat="1" ht="15.75" thickTop="1">
      <c r="A90" s="484"/>
      <c r="B90" s="469" t="str">
        <f>B27</f>
        <v>楼层</v>
      </c>
      <c r="C90" s="3582" t="s">
        <v>4106</v>
      </c>
      <c r="D90" s="3582" t="s">
        <v>4107</v>
      </c>
      <c r="E90" s="3582" t="s">
        <v>4108</v>
      </c>
      <c r="F90" s="485"/>
      <c r="G90" s="485"/>
      <c r="H90" s="486"/>
      <c r="I90" s="486"/>
      <c r="J90" s="486"/>
      <c r="K90" s="486"/>
      <c r="L90" s="487"/>
      <c r="M90" s="488"/>
      <c r="N90" s="881"/>
      <c r="O90" s="881"/>
      <c r="P90" s="1776"/>
      <c r="Q90" s="490"/>
    </row>
    <row r="91" spans="1:17" s="408" customFormat="1" ht="15.75" thickBot="1">
      <c r="A91" s="484"/>
      <c r="B91" s="474"/>
      <c r="C91" s="491">
        <v>100</v>
      </c>
      <c r="D91" s="491">
        <v>99</v>
      </c>
      <c r="E91" s="491">
        <v>98</v>
      </c>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0(含)-100</v>
      </c>
      <c r="D102" s="509" t="str">
        <f t="shared" ref="D102:L102" si="26">D103&amp;"(含)"&amp;"-"&amp;E103</f>
        <v>100(含)-150</v>
      </c>
      <c r="E102" s="509" t="str">
        <f t="shared" si="26"/>
        <v>150(含)-200</v>
      </c>
      <c r="F102" s="509" t="str">
        <f t="shared" si="26"/>
        <v>200(含)-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100</v>
      </c>
      <c r="E103" s="6">
        <v>150</v>
      </c>
      <c r="F103" s="6">
        <v>200</v>
      </c>
      <c r="G103" s="6"/>
      <c r="H103" s="6"/>
      <c r="I103" s="6"/>
      <c r="J103" s="524"/>
      <c r="K103" s="524"/>
      <c r="L103" s="525"/>
      <c r="M103" s="526"/>
      <c r="N103" s="881"/>
      <c r="O103" s="881"/>
      <c r="P103" s="1776"/>
      <c r="Q103" s="490"/>
    </row>
    <row r="104" spans="1:17" s="408" customFormat="1" ht="15.75" thickBot="1">
      <c r="A104" s="484"/>
      <c r="B104" s="474"/>
      <c r="C104" s="491">
        <v>100</v>
      </c>
      <c r="D104" s="467">
        <v>99</v>
      </c>
      <c r="E104" s="467">
        <v>98</v>
      </c>
      <c r="F104" s="467">
        <v>97</v>
      </c>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101</v>
      </c>
      <c r="E113" s="475">
        <f>D113+$K37</f>
        <v>102</v>
      </c>
      <c r="F113" s="475">
        <f>E113+$K37</f>
        <v>103</v>
      </c>
      <c r="G113" s="475">
        <f>F113+$K37</f>
        <v>104</v>
      </c>
      <c r="H113" s="475">
        <f>G113+$K37</f>
        <v>105</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3582" t="s">
        <v>4100</v>
      </c>
      <c r="D122" s="3582" t="s">
        <v>4101</v>
      </c>
      <c r="E122" s="3582" t="s">
        <v>4102</v>
      </c>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4" type="noConversion"/>
  <conditionalFormatting sqref="E52">
    <cfRule type="expression" dxfId="41" priority="13" stopIfTrue="1">
      <formula>$F$52="超过30%"</formula>
    </cfRule>
  </conditionalFormatting>
  <conditionalFormatting sqref="E53">
    <cfRule type="expression" dxfId="40" priority="11" stopIfTrue="1">
      <formula>$F$53="超过20%"</formula>
    </cfRule>
  </conditionalFormatting>
  <conditionalFormatting sqref="E54">
    <cfRule type="expression" dxfId="39" priority="10" stopIfTrue="1">
      <formula>$F$54="超过30%"</formula>
    </cfRule>
  </conditionalFormatting>
  <conditionalFormatting sqref="F7:F46 H7:H46 J7:J46">
    <cfRule type="cellIs" dxfId="38" priority="1" operator="notEqual">
      <formula>100</formula>
    </cfRule>
  </conditionalFormatting>
  <conditionalFormatting sqref="F48">
    <cfRule type="expression" dxfId="37" priority="4">
      <formula>$D$48="简单平均"</formula>
    </cfRule>
  </conditionalFormatting>
  <conditionalFormatting sqref="F52:F54 H52:H54 J52:J54">
    <cfRule type="containsText" dxfId="36" priority="14" stopIfTrue="1" operator="containsText" text="超过">
      <formula>NOT(ISERROR(SEARCH("超过",F52)))</formula>
    </cfRule>
  </conditionalFormatting>
  <conditionalFormatting sqref="G52">
    <cfRule type="expression" dxfId="35" priority="9" stopIfTrue="1">
      <formula>$H$52="超过30%"</formula>
    </cfRule>
  </conditionalFormatting>
  <conditionalFormatting sqref="G53">
    <cfRule type="expression" dxfId="34" priority="8" stopIfTrue="1">
      <formula>$H$53="超过20%"</formula>
    </cfRule>
  </conditionalFormatting>
  <conditionalFormatting sqref="G54">
    <cfRule type="expression" dxfId="33" priority="12" stopIfTrue="1">
      <formula>$H$54="超过30%"</formula>
    </cfRule>
  </conditionalFormatting>
  <conditionalFormatting sqref="H48">
    <cfRule type="expression" dxfId="32" priority="3">
      <formula>$D$48="简单平均"</formula>
    </cfRule>
  </conditionalFormatting>
  <conditionalFormatting sqref="I52">
    <cfRule type="expression" dxfId="31" priority="7" stopIfTrue="1">
      <formula>$J$52="超过30%"</formula>
    </cfRule>
  </conditionalFormatting>
  <conditionalFormatting sqref="I53">
    <cfRule type="expression" dxfId="30" priority="6" stopIfTrue="1">
      <formula>$J$53="超过20%"</formula>
    </cfRule>
  </conditionalFormatting>
  <conditionalFormatting sqref="I54">
    <cfRule type="expression" dxfId="29" priority="5" stopIfTrue="1">
      <formula>$J$54="超过30%"</formula>
    </cfRule>
  </conditionalFormatting>
  <conditionalFormatting sqref="J48">
    <cfRule type="expression" dxfId="28" priority="2">
      <formula>$D$48="简单平均"</formula>
    </cfRule>
  </conditionalFormatting>
  <dataValidations count="23">
    <dataValidation type="list" allowBlank="1" showInputMessage="1" showErrorMessage="1" sqref="E1" xr:uid="{D569D4ED-CB30-470F-B80B-9DCC5A428439}">
      <formula1>"项目模式,单套模式"</formula1>
    </dataValidation>
    <dataValidation type="list" allowBlank="1" showInputMessage="1" showErrorMessage="1" sqref="D48" xr:uid="{88A33769-D61F-4073-BC27-DBF896A620B0}">
      <formula1>"简单平均,加权平均"</formula1>
    </dataValidation>
    <dataValidation type="list" allowBlank="1" showInputMessage="1" showErrorMessage="1" sqref="F2" xr:uid="{5497794F-0D78-49A8-994C-76ED9E5178E5}">
      <formula1>估价方法</formula1>
    </dataValidation>
    <dataValidation type="list" allowBlank="1" showInputMessage="1" showErrorMessage="1" sqref="C2" xr:uid="{55D6D2F6-0EF6-4718-A09A-7EE7074C0E1B}">
      <formula1>"需扣减承租人权益,——"</formula1>
    </dataValidation>
    <dataValidation type="list" allowBlank="1" showInputMessage="1" showErrorMessage="1" sqref="F1" xr:uid="{F17F6DF1-4E09-494B-9EA5-75DD431B742E}">
      <formula1>"售价,租金"</formula1>
    </dataValidation>
    <dataValidation type="list" allowBlank="1" showInputMessage="1" showErrorMessage="1" sqref="C22 E22 G22 I22" xr:uid="{07A59E79-3BB4-4732-B1FA-49256F967938}">
      <formula1>基础设施水平</formula1>
    </dataValidation>
    <dataValidation type="list" allowBlank="1" showInputMessage="1" showErrorMessage="1" sqref="E9 G9 I9" xr:uid="{5E5789DF-CBDF-4EFF-8539-F2B8AF2EB72A}">
      <formula1>住宅用途</formula1>
    </dataValidation>
    <dataValidation type="list" allowBlank="1" showInputMessage="1" showErrorMessage="1" sqref="D1" xr:uid="{F695A889-F025-47E7-939A-DFAD1B448632}">
      <formula1>项目类型</formula1>
    </dataValidation>
    <dataValidation type="list" allowBlank="1" showInputMessage="1" showErrorMessage="1" sqref="E8 G8 I8 C8" xr:uid="{5DCF765F-BAFC-446E-9CC2-7DEC2592CED9}">
      <formula1>住宅交易情况</formula1>
    </dataValidation>
    <dataValidation type="list" allowBlank="1" showInputMessage="1" showErrorMessage="1" sqref="E43 G43 I43 C43" xr:uid="{63732277-8365-4EE3-A5CB-D0BCDCF78714}">
      <formula1>内部装修维护情况</formula1>
    </dataValidation>
    <dataValidation type="list" allowBlank="1" showInputMessage="1" showErrorMessage="1" sqref="E42 G42 I42 C42" xr:uid="{7B6468E2-7473-4C20-966C-6E24AB5C9992}">
      <formula1>住宅内部装修</formula1>
    </dataValidation>
    <dataValidation type="list" allowBlank="1" showInputMessage="1" showErrorMessage="1" sqref="E40 G40 I40 C40" xr:uid="{F2080724-145B-40F4-B769-A8E6D5FB6631}">
      <formula1>住宅房型</formula1>
    </dataValidation>
    <dataValidation type="list" allowBlank="1" showInputMessage="1" showErrorMessage="1" sqref="E39 G39 I39 C39" xr:uid="{D01E1BB9-4FFC-44CC-8C62-78807CE93666}">
      <formula1>住宅基础设施水平</formula1>
    </dataValidation>
    <dataValidation type="list" allowBlank="1" showInputMessage="1" showErrorMessage="1" sqref="E38 G38 I38 C38" xr:uid="{8E5348B3-FE45-43C6-9857-80AC6BFFE367}">
      <formula1>住宅物业管理</formula1>
    </dataValidation>
    <dataValidation type="list" allowBlank="1" showInputMessage="1" showErrorMessage="1" sqref="E36 G36 I36 C36" xr:uid="{66060A3C-DE85-4F35-90A8-7A7A014E5C63}">
      <formula1>住宅公共部分装修</formula1>
    </dataValidation>
    <dataValidation type="list" allowBlank="1" showInputMessage="1" showErrorMessage="1" sqref="E35 G35 I35 C35" xr:uid="{C8456E74-18E5-492B-BF1F-39C06A2375D2}">
      <formula1>住宅建筑品质</formula1>
    </dataValidation>
    <dataValidation type="list" allowBlank="1" showInputMessage="1" showErrorMessage="1" sqref="E34 G34 I34 C34" xr:uid="{1E7C9DEB-7C87-45F5-B89B-70DA657E0191}">
      <formula1>住宅建筑结构</formula1>
    </dataValidation>
    <dataValidation type="list" allowBlank="1" showInputMessage="1" showErrorMessage="1" sqref="E32 G32 I32 C32" xr:uid="{87BC9F7A-8D3D-44F4-ABCE-F98F495281A7}">
      <formula1>住宅建筑类型</formula1>
    </dataValidation>
    <dataValidation type="list" allowBlank="1" showInputMessage="1" showErrorMessage="1" sqref="E26 C26 G26 I26" xr:uid="{C83236AA-2519-47B6-82C3-E9DAFBE59940}">
      <formula1>住宅朝向</formula1>
    </dataValidation>
    <dataValidation type="list" allowBlank="1" showInputMessage="1" showErrorMessage="1" sqref="E25 G25 I25 C25" xr:uid="{41ACF91A-322C-4EB0-90CB-C5B1F64F8323}">
      <formula1>住宅楼层</formula1>
    </dataValidation>
    <dataValidation type="list" allowBlank="1" showInputMessage="1" showErrorMessage="1" sqref="C20 G20 E20 I20" xr:uid="{A5B9E611-71A4-4C5F-ADBB-6B3A6022DC35}">
      <formula1>公共配套设施</formula1>
    </dataValidation>
    <dataValidation type="list" allowBlank="1" showInputMessage="1" showErrorMessage="1" sqref="C16 E16 G16 I16 I18 E18 C18 G18" xr:uid="{54DD1037-D67A-44AE-8FCC-33AABD305F35}">
      <formula1>居住社区成熟度</formula1>
    </dataValidation>
    <dataValidation type="list" allowBlank="1" showInputMessage="1" showErrorMessage="1" sqref="E24 G24 I24 C24" xr:uid="{6CC9463C-6B61-40B0-8F96-31105C1D8D37}">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BFFBD-B53D-4516-B686-053663D71C79}">
  <dimension ref="A1:BE160"/>
  <sheetViews>
    <sheetView topLeftCell="O1" workbookViewId="0">
      <selection activeCell="AA11" sqref="AA11"/>
    </sheetView>
  </sheetViews>
  <sheetFormatPr defaultRowHeight="13.5"/>
  <cols>
    <col min="11" max="12" width="0" hidden="1" customWidth="1"/>
    <col min="13" max="13" width="13.375" bestFit="1" customWidth="1"/>
    <col min="25" max="26" width="9" hidden="1" customWidth="1"/>
    <col min="27" max="27" width="13.375" bestFit="1" customWidth="1"/>
    <col min="33" max="33" width="10.25" bestFit="1" customWidth="1"/>
    <col min="35" max="35" width="13.75" bestFit="1" customWidth="1"/>
    <col min="38" max="38" width="12.375" bestFit="1" customWidth="1"/>
    <col min="40" max="41" width="0" hidden="1" customWidth="1"/>
    <col min="42" max="42" width="13.375" bestFit="1" customWidth="1"/>
    <col min="49" max="49" width="12.75" bestFit="1" customWidth="1"/>
    <col min="51" max="52" width="12.75" bestFit="1" customWidth="1"/>
    <col min="55" max="56" width="0" hidden="1" customWidth="1"/>
    <col min="57" max="57" width="13.375" bestFit="1" customWidth="1"/>
  </cols>
  <sheetData>
    <row r="1" spans="16:53" ht="14.25" thickBot="1"/>
    <row r="2" spans="16:53" ht="13.5" customHeight="1" thickBot="1">
      <c r="P2" s="3554" t="s">
        <v>3456</v>
      </c>
      <c r="Q2" s="3554" t="s">
        <v>3457</v>
      </c>
      <c r="R2" s="3554" t="s">
        <v>3458</v>
      </c>
      <c r="S2" s="3554" t="s">
        <v>3459</v>
      </c>
      <c r="T2" s="3554" t="s">
        <v>3460</v>
      </c>
      <c r="U2" s="3556" t="s">
        <v>3461</v>
      </c>
      <c r="V2" s="3557"/>
      <c r="W2" s="3557"/>
      <c r="X2" s="3558"/>
      <c r="Y2" s="3554" t="s">
        <v>3462</v>
      </c>
      <c r="Z2" s="3556" t="s">
        <v>3463</v>
      </c>
      <c r="AA2" s="3558"/>
      <c r="AB2" s="3554" t="s">
        <v>3464</v>
      </c>
      <c r="AC2" s="3554" t="s">
        <v>3465</v>
      </c>
      <c r="AD2" s="3554" t="s">
        <v>3466</v>
      </c>
      <c r="AE2" s="3554" t="s">
        <v>3467</v>
      </c>
      <c r="AF2" s="3554" t="s">
        <v>3468</v>
      </c>
      <c r="AG2" s="3554" t="s">
        <v>3469</v>
      </c>
      <c r="AH2" s="3554" t="s">
        <v>3470</v>
      </c>
      <c r="AI2" s="3554" t="s">
        <v>3471</v>
      </c>
      <c r="AM2">
        <v>2012</v>
      </c>
      <c r="AP2" s="3578" t="s">
        <v>3724</v>
      </c>
      <c r="AQ2" s="3566" t="s">
        <v>3490</v>
      </c>
      <c r="AR2" s="3578">
        <v>129.27000000000001</v>
      </c>
      <c r="AS2" s="3578" t="s">
        <v>3402</v>
      </c>
      <c r="AT2" s="3578" t="s">
        <v>3756</v>
      </c>
      <c r="AU2" s="3578">
        <v>10</v>
      </c>
      <c r="AV2" s="3578">
        <v>30169</v>
      </c>
      <c r="AW2" s="3579">
        <v>46113</v>
      </c>
      <c r="AX2" s="1405" t="s">
        <v>4093</v>
      </c>
      <c r="AY2" s="1405" t="s">
        <v>4094</v>
      </c>
    </row>
    <row r="3" spans="16:53" ht="13.5" customHeight="1" thickBot="1">
      <c r="P3" s="3555"/>
      <c r="Q3" s="3555"/>
      <c r="R3" s="3555"/>
      <c r="S3" s="3555"/>
      <c r="T3" s="3555"/>
      <c r="U3" s="3208" t="s">
        <v>3472</v>
      </c>
      <c r="V3" s="3208" t="s">
        <v>3473</v>
      </c>
      <c r="W3" s="3208" t="s">
        <v>3474</v>
      </c>
      <c r="X3" s="3208" t="s">
        <v>3475</v>
      </c>
      <c r="Y3" s="3555"/>
      <c r="Z3" s="3208" t="s">
        <v>3476</v>
      </c>
      <c r="AA3" s="3208" t="s">
        <v>3477</v>
      </c>
      <c r="AB3" s="3555"/>
      <c r="AC3" s="3555"/>
      <c r="AD3" s="3555"/>
      <c r="AE3" s="3555"/>
      <c r="AF3" s="3555"/>
      <c r="AG3" s="3555"/>
      <c r="AH3" s="3555"/>
      <c r="AI3" s="3555"/>
      <c r="AP3" s="3204" t="s">
        <v>3724</v>
      </c>
      <c r="AQ3" s="3204" t="s">
        <v>3490</v>
      </c>
      <c r="AR3" s="3204">
        <v>91.92</v>
      </c>
      <c r="AS3" s="3204" t="s">
        <v>3402</v>
      </c>
      <c r="AT3" s="3204" t="s">
        <v>3748</v>
      </c>
      <c r="AU3" s="3204">
        <v>25</v>
      </c>
      <c r="AV3" s="3204">
        <v>25783</v>
      </c>
      <c r="AW3" s="3205">
        <v>46091</v>
      </c>
    </row>
    <row r="4" spans="16:53" ht="15.75" thickBot="1">
      <c r="P4" s="3580">
        <v>1</v>
      </c>
      <c r="Q4" s="3580" t="s">
        <v>3724</v>
      </c>
      <c r="R4" s="3206">
        <v>87.07</v>
      </c>
      <c r="S4" s="3580" t="s">
        <v>3494</v>
      </c>
      <c r="T4" s="3580" t="s">
        <v>3479</v>
      </c>
      <c r="U4" s="3580">
        <v>2</v>
      </c>
      <c r="V4" s="3580"/>
      <c r="W4" s="3580"/>
      <c r="X4" s="3580"/>
      <c r="Y4" s="3580" t="s">
        <v>3480</v>
      </c>
      <c r="Z4" s="3580" t="s">
        <v>3507</v>
      </c>
      <c r="AA4" s="3580">
        <f>[3]可比案例1比较法!S14</f>
        <v>0</v>
      </c>
      <c r="AB4" s="3580" t="s">
        <v>3487</v>
      </c>
      <c r="AC4" s="3580" t="s">
        <v>3501</v>
      </c>
      <c r="AD4" s="3580" t="s">
        <v>3512</v>
      </c>
      <c r="AE4" s="3580">
        <v>2012</v>
      </c>
      <c r="AF4" s="3580" t="s">
        <v>3490</v>
      </c>
      <c r="AG4" s="3580">
        <f>[3]可比案例1比较法!S26</f>
        <v>0</v>
      </c>
      <c r="AH4" s="3206">
        <v>39738</v>
      </c>
      <c r="AI4" s="3207">
        <v>44148</v>
      </c>
      <c r="AN4" s="3205">
        <v>46107</v>
      </c>
      <c r="AP4" s="3204" t="s">
        <v>3724</v>
      </c>
      <c r="AQ4" s="3204" t="s">
        <v>3490</v>
      </c>
      <c r="AR4" s="3204">
        <v>88.74</v>
      </c>
      <c r="AS4" s="3204" t="s">
        <v>3402</v>
      </c>
      <c r="AT4" s="3204" t="s">
        <v>3746</v>
      </c>
      <c r="AU4" s="3204">
        <v>9</v>
      </c>
      <c r="AV4" s="3204">
        <v>24453</v>
      </c>
      <c r="AW4" s="3205">
        <v>46081</v>
      </c>
    </row>
    <row r="5" spans="16:53" ht="30.75" thickBot="1">
      <c r="P5" s="3580">
        <v>2</v>
      </c>
      <c r="Q5" s="3580" t="s">
        <v>3724</v>
      </c>
      <c r="R5" s="3206">
        <v>88.83</v>
      </c>
      <c r="S5" s="3580" t="s">
        <v>3494</v>
      </c>
      <c r="T5" s="3580" t="s">
        <v>3479</v>
      </c>
      <c r="U5" s="3580">
        <v>2</v>
      </c>
      <c r="V5" s="3580"/>
      <c r="W5" s="3580"/>
      <c r="X5" s="3580"/>
      <c r="Y5" s="3580" t="s">
        <v>3480</v>
      </c>
      <c r="Z5" s="3580" t="s">
        <v>3486</v>
      </c>
      <c r="AA5" s="3580">
        <f>[3]可比案例1比较法!U14</f>
        <v>0</v>
      </c>
      <c r="AB5" s="3580" t="s">
        <v>3487</v>
      </c>
      <c r="AC5" s="3580" t="s">
        <v>3501</v>
      </c>
      <c r="AD5" s="3580" t="s">
        <v>3512</v>
      </c>
      <c r="AE5" s="3580">
        <v>2012</v>
      </c>
      <c r="AF5" s="3580" t="s">
        <v>3490</v>
      </c>
      <c r="AG5" s="3580">
        <f>[3]可比案例1比较法!U26</f>
        <v>0</v>
      </c>
      <c r="AH5" s="3206">
        <v>39289</v>
      </c>
      <c r="AI5" s="3207">
        <v>44141</v>
      </c>
      <c r="AM5">
        <v>2013</v>
      </c>
      <c r="AN5" s="3205">
        <v>46091</v>
      </c>
      <c r="AP5" s="3578" t="s">
        <v>3903</v>
      </c>
      <c r="AQ5" s="3578" t="s">
        <v>3490</v>
      </c>
      <c r="AR5" s="3578">
        <v>89.44</v>
      </c>
      <c r="AS5" s="3578" t="s">
        <v>3402</v>
      </c>
      <c r="AT5" s="3578" t="s">
        <v>3906</v>
      </c>
      <c r="AU5" s="3578">
        <v>26</v>
      </c>
      <c r="AV5" s="3578">
        <v>30076</v>
      </c>
      <c r="AW5" s="3579">
        <v>46119</v>
      </c>
      <c r="AX5" s="1405" t="s">
        <v>4093</v>
      </c>
      <c r="AY5" s="1405" t="s">
        <v>4096</v>
      </c>
    </row>
    <row r="6" spans="16:53" ht="30.75" thickBot="1">
      <c r="P6" s="3565">
        <v>3</v>
      </c>
      <c r="Q6" s="3565" t="s">
        <v>3724</v>
      </c>
      <c r="R6" s="3566">
        <v>92.11</v>
      </c>
      <c r="S6" s="3565" t="s">
        <v>3494</v>
      </c>
      <c r="T6" s="3565" t="s">
        <v>3479</v>
      </c>
      <c r="U6" s="3565">
        <v>23</v>
      </c>
      <c r="V6" s="3565" t="s">
        <v>4094</v>
      </c>
      <c r="W6" s="3565"/>
      <c r="X6" s="3565"/>
      <c r="Y6" s="3565" t="s">
        <v>3480</v>
      </c>
      <c r="Z6" s="3565" t="s">
        <v>3507</v>
      </c>
      <c r="AA6" s="3565">
        <v>23</v>
      </c>
      <c r="AB6" s="3565" t="s">
        <v>3487</v>
      </c>
      <c r="AC6" s="3565" t="s">
        <v>3501</v>
      </c>
      <c r="AD6" s="3565" t="s">
        <v>3512</v>
      </c>
      <c r="AE6" s="3565">
        <v>2012</v>
      </c>
      <c r="AF6" s="3565" t="s">
        <v>3490</v>
      </c>
      <c r="AG6" s="3565">
        <f>[3]可比案例1比较法!W26</f>
        <v>0</v>
      </c>
      <c r="AH6" s="3566">
        <v>39627</v>
      </c>
      <c r="AI6" s="3567">
        <v>44149</v>
      </c>
      <c r="AN6" s="3205">
        <v>46081</v>
      </c>
      <c r="AP6" s="3204" t="s">
        <v>3903</v>
      </c>
      <c r="AQ6" s="3204" t="s">
        <v>3490</v>
      </c>
      <c r="AR6" s="3204">
        <v>89.98</v>
      </c>
      <c r="AS6" s="3204" t="s">
        <v>3402</v>
      </c>
      <c r="AT6" s="3204" t="s">
        <v>3906</v>
      </c>
      <c r="AU6" s="3204">
        <v>5</v>
      </c>
      <c r="AV6" s="3204">
        <v>28451</v>
      </c>
      <c r="AW6" s="3205">
        <v>46104</v>
      </c>
    </row>
    <row r="7" spans="16:53" ht="30.75" thickBot="1">
      <c r="P7" s="3565">
        <v>4</v>
      </c>
      <c r="Q7" s="3565" t="s">
        <v>3725</v>
      </c>
      <c r="R7" s="3566">
        <v>84.39</v>
      </c>
      <c r="S7" s="3565" t="s">
        <v>3484</v>
      </c>
      <c r="T7" s="3565" t="s">
        <v>4098</v>
      </c>
      <c r="U7" s="3565">
        <v>19</v>
      </c>
      <c r="V7" s="3565" t="s">
        <v>4094</v>
      </c>
      <c r="W7" s="3565"/>
      <c r="X7" s="3565"/>
      <c r="Y7" s="3565" t="s">
        <v>3480</v>
      </c>
      <c r="Z7" s="3565" t="s">
        <v>3507</v>
      </c>
      <c r="AA7" s="3565">
        <v>28</v>
      </c>
      <c r="AB7" s="3565" t="s">
        <v>3487</v>
      </c>
      <c r="AC7" s="3565" t="s">
        <v>3501</v>
      </c>
      <c r="AD7" s="3568" t="s">
        <v>3513</v>
      </c>
      <c r="AE7" s="3565">
        <v>2013</v>
      </c>
      <c r="AF7" s="3565" t="s">
        <v>3490</v>
      </c>
      <c r="AG7" s="3565">
        <f>[3]可比案例2比较法!S26</f>
        <v>0</v>
      </c>
      <c r="AH7" s="3566">
        <v>40645</v>
      </c>
      <c r="AI7" s="3567">
        <v>44156</v>
      </c>
      <c r="AP7" s="3204" t="s">
        <v>3908</v>
      </c>
      <c r="AQ7" s="3204" t="s">
        <v>3490</v>
      </c>
      <c r="AR7" s="3204">
        <v>89.05</v>
      </c>
      <c r="AS7" s="3204" t="s">
        <v>3402</v>
      </c>
      <c r="AT7" s="3204" t="s">
        <v>3909</v>
      </c>
      <c r="AU7" s="3204">
        <v>6</v>
      </c>
      <c r="AV7" s="3204">
        <v>29197</v>
      </c>
      <c r="AW7" s="3205">
        <v>46085</v>
      </c>
    </row>
    <row r="8" spans="16:53" ht="15.75" thickBot="1">
      <c r="P8" s="3580">
        <v>5</v>
      </c>
      <c r="Q8" s="3580" t="s">
        <v>3725</v>
      </c>
      <c r="R8" s="3206">
        <v>83.6</v>
      </c>
      <c r="S8" s="3580" t="s">
        <v>3494</v>
      </c>
      <c r="T8" s="3580" t="s">
        <v>3479</v>
      </c>
      <c r="U8" s="3580">
        <v>2</v>
      </c>
      <c r="V8" s="3580"/>
      <c r="W8" s="3580"/>
      <c r="X8" s="3580"/>
      <c r="Y8" s="3580" t="s">
        <v>3480</v>
      </c>
      <c r="Z8" s="3580" t="s">
        <v>3492</v>
      </c>
      <c r="AA8" s="3580">
        <f>[3]可比案例2比较法!U14</f>
        <v>0</v>
      </c>
      <c r="AB8" s="3580" t="s">
        <v>3487</v>
      </c>
      <c r="AC8" s="3580" t="s">
        <v>3501</v>
      </c>
      <c r="AD8" s="3581">
        <f>[3]可比案例2比较法!U17</f>
        <v>0</v>
      </c>
      <c r="AE8" s="3580">
        <v>2013</v>
      </c>
      <c r="AF8" s="3580" t="s">
        <v>3490</v>
      </c>
      <c r="AG8" s="3580">
        <f>[3]可比案例2比较法!U26</f>
        <v>0</v>
      </c>
      <c r="AH8" s="3206">
        <v>40909</v>
      </c>
      <c r="AI8" s="3207">
        <v>44140</v>
      </c>
      <c r="AM8">
        <v>2014</v>
      </c>
      <c r="AP8" s="3566" t="s">
        <v>3506</v>
      </c>
      <c r="AQ8" s="3566" t="s">
        <v>3490</v>
      </c>
      <c r="AR8" s="3566">
        <v>127.12</v>
      </c>
      <c r="AS8" s="3566" t="s">
        <v>3402</v>
      </c>
      <c r="AT8" s="3566" t="s">
        <v>3890</v>
      </c>
      <c r="AU8" s="3566">
        <v>9</v>
      </c>
      <c r="AV8" s="3566">
        <v>29106</v>
      </c>
      <c r="AW8" s="3567">
        <v>46032</v>
      </c>
      <c r="AX8" s="1405" t="s">
        <v>4093</v>
      </c>
      <c r="AY8" s="1405" t="s">
        <v>4094</v>
      </c>
    </row>
    <row r="9" spans="16:53" ht="15.75" thickBot="1">
      <c r="P9" s="3580">
        <v>6</v>
      </c>
      <c r="Q9" s="3580" t="s">
        <v>3725</v>
      </c>
      <c r="R9" s="3206">
        <v>89.48</v>
      </c>
      <c r="S9" s="3580" t="s">
        <v>3494</v>
      </c>
      <c r="T9" s="3580" t="s">
        <v>3479</v>
      </c>
      <c r="U9" s="3580">
        <v>2</v>
      </c>
      <c r="V9" s="3580"/>
      <c r="W9" s="3580"/>
      <c r="X9" s="3580"/>
      <c r="Y9" s="3580" t="s">
        <v>3480</v>
      </c>
      <c r="Z9" s="3580" t="s">
        <v>3507</v>
      </c>
      <c r="AA9" s="3580">
        <f>[3]可比案例2比较法!W14</f>
        <v>0</v>
      </c>
      <c r="AB9" s="3580" t="s">
        <v>3487</v>
      </c>
      <c r="AC9" s="3580" t="s">
        <v>3501</v>
      </c>
      <c r="AD9" s="3580">
        <f>[3]可比案例2比较法!W17</f>
        <v>0</v>
      </c>
      <c r="AE9" s="3580">
        <v>2013</v>
      </c>
      <c r="AF9" s="3580" t="s">
        <v>3490</v>
      </c>
      <c r="AG9" s="3580">
        <f>[3]可比案例2比较法!W26</f>
        <v>0</v>
      </c>
      <c r="AH9" s="3206">
        <v>45094</v>
      </c>
      <c r="AI9" s="3207">
        <v>44125</v>
      </c>
      <c r="AP9" s="3204" t="s">
        <v>3506</v>
      </c>
      <c r="AQ9" s="3204" t="s">
        <v>3490</v>
      </c>
      <c r="AR9" s="3204">
        <v>128.15</v>
      </c>
      <c r="AS9" s="3204" t="s">
        <v>3402</v>
      </c>
      <c r="AT9" s="3204" t="s">
        <v>3797</v>
      </c>
      <c r="AU9" s="3204">
        <v>9</v>
      </c>
      <c r="AV9" s="3204">
        <v>30043</v>
      </c>
      <c r="AW9" s="3205">
        <v>46027</v>
      </c>
    </row>
    <row r="10" spans="16:53" ht="15.75" thickBot="1">
      <c r="P10" s="3580">
        <v>7</v>
      </c>
      <c r="Q10" s="3580" t="s">
        <v>3506</v>
      </c>
      <c r="R10" s="3206">
        <v>116.78</v>
      </c>
      <c r="S10" s="3580" t="s">
        <v>3494</v>
      </c>
      <c r="T10" s="3580" t="s">
        <v>3495</v>
      </c>
      <c r="U10" s="3580">
        <v>2</v>
      </c>
      <c r="V10" s="3580"/>
      <c r="W10" s="3580"/>
      <c r="X10" s="3580"/>
      <c r="Y10" s="3580" t="s">
        <v>3480</v>
      </c>
      <c r="Z10" s="3580" t="s">
        <v>3507</v>
      </c>
      <c r="AA10" s="3580">
        <f>[3]可比案例3比较法!S14</f>
        <v>0</v>
      </c>
      <c r="AB10" s="3580" t="s">
        <v>3487</v>
      </c>
      <c r="AC10" s="3580" t="s">
        <v>3501</v>
      </c>
      <c r="AD10" s="3580" t="s">
        <v>3482</v>
      </c>
      <c r="AE10" s="3580">
        <v>2014</v>
      </c>
      <c r="AF10" s="3580" t="s">
        <v>3490</v>
      </c>
      <c r="AG10" s="3580">
        <f>[3]可比案例3比较法!S26</f>
        <v>0</v>
      </c>
      <c r="AH10" s="3206">
        <v>41017</v>
      </c>
      <c r="AI10" s="3207">
        <v>44547</v>
      </c>
      <c r="AP10" s="3204" t="s">
        <v>3506</v>
      </c>
      <c r="AQ10" s="3204" t="s">
        <v>3490</v>
      </c>
      <c r="AR10" s="3204">
        <v>128.32</v>
      </c>
      <c r="AS10" s="3204" t="s">
        <v>3402</v>
      </c>
      <c r="AT10" s="3204" t="s">
        <v>3797</v>
      </c>
      <c r="AU10" s="3204">
        <v>3</v>
      </c>
      <c r="AV10" s="3204">
        <v>29068</v>
      </c>
      <c r="AW10" s="3205">
        <v>45992</v>
      </c>
    </row>
    <row r="11" spans="16:53" ht="15.75" thickBot="1">
      <c r="P11" s="3565">
        <v>8</v>
      </c>
      <c r="Q11" s="3565" t="s">
        <v>3506</v>
      </c>
      <c r="R11" s="3566">
        <v>173.95</v>
      </c>
      <c r="S11" s="3565" t="s">
        <v>3494</v>
      </c>
      <c r="T11" s="3565" t="s">
        <v>4093</v>
      </c>
      <c r="U11" s="3565">
        <v>2</v>
      </c>
      <c r="V11" s="3565" t="s">
        <v>4097</v>
      </c>
      <c r="W11" s="3565"/>
      <c r="X11" s="3565"/>
      <c r="Y11" s="3565" t="s">
        <v>3480</v>
      </c>
      <c r="Z11" s="3565" t="s">
        <v>3507</v>
      </c>
      <c r="AA11" s="3565">
        <v>10</v>
      </c>
      <c r="AB11" s="3565" t="s">
        <v>3487</v>
      </c>
      <c r="AC11" s="3565" t="s">
        <v>3501</v>
      </c>
      <c r="AD11" s="3565" t="s">
        <v>3482</v>
      </c>
      <c r="AE11" s="3565">
        <v>2014</v>
      </c>
      <c r="AF11" s="3565" t="s">
        <v>3490</v>
      </c>
      <c r="AG11" s="3565">
        <f>[3]可比案例3比较法!U26</f>
        <v>0</v>
      </c>
      <c r="AH11" s="3566">
        <v>40414</v>
      </c>
      <c r="AI11" s="3567">
        <v>44170</v>
      </c>
      <c r="AV11" s="3209">
        <f>AVERAGE(AV2:AV10)</f>
        <v>28482.888888888891</v>
      </c>
      <c r="AY11">
        <f>AH13-AV11</f>
        <v>12407.444444444445</v>
      </c>
      <c r="AZ11">
        <f>AY11*0.65</f>
        <v>8064.8388888888894</v>
      </c>
      <c r="BA11">
        <f>30000-AZ11</f>
        <v>21935.161111111112</v>
      </c>
    </row>
    <row r="12" spans="16:53" ht="15.75" thickBot="1">
      <c r="P12" s="3580">
        <v>9</v>
      </c>
      <c r="Q12" s="3580" t="s">
        <v>3506</v>
      </c>
      <c r="R12" s="3206">
        <v>128.38999999999999</v>
      </c>
      <c r="S12" s="3580" t="s">
        <v>3494</v>
      </c>
      <c r="T12" s="3580" t="s">
        <v>3479</v>
      </c>
      <c r="U12" s="3580">
        <v>2</v>
      </c>
      <c r="V12" s="3580"/>
      <c r="W12" s="3580"/>
      <c r="X12" s="3580"/>
      <c r="Y12" s="3580" t="s">
        <v>3480</v>
      </c>
      <c r="Z12" s="3580" t="s">
        <v>3507</v>
      </c>
      <c r="AA12" s="3580">
        <v>10</v>
      </c>
      <c r="AB12" s="3580" t="s">
        <v>3487</v>
      </c>
      <c r="AC12" s="3580" t="s">
        <v>3501</v>
      </c>
      <c r="AD12" s="3580" t="s">
        <v>3482</v>
      </c>
      <c r="AE12" s="3580">
        <v>2014</v>
      </c>
      <c r="AF12" s="3580" t="s">
        <v>3490</v>
      </c>
      <c r="AG12" s="3580">
        <f>[3]可比案例3比较法!W26</f>
        <v>0</v>
      </c>
      <c r="AH12" s="3206">
        <v>41280</v>
      </c>
      <c r="AI12" s="3207">
        <v>43998</v>
      </c>
      <c r="AV12">
        <f>AV11*0.65</f>
        <v>18513.87777777778</v>
      </c>
    </row>
    <row r="13" spans="16:53">
      <c r="AH13" s="3209">
        <f>AVERAGE(AH4:AH12)</f>
        <v>40890.333333333336</v>
      </c>
    </row>
    <row r="19" spans="1:57" ht="14.25" thickBot="1"/>
    <row r="20" spans="1:57" ht="60.75" thickBot="1">
      <c r="R20" s="3569">
        <v>129.27000000000001</v>
      </c>
      <c r="S20" s="3569" t="s">
        <v>3402</v>
      </c>
      <c r="T20" s="3569" t="s">
        <v>3756</v>
      </c>
      <c r="U20" s="3569">
        <v>10</v>
      </c>
      <c r="V20" s="3569" t="s">
        <v>633</v>
      </c>
      <c r="W20" s="3569">
        <v>2012</v>
      </c>
      <c r="AE20" s="3569" t="s">
        <v>4095</v>
      </c>
      <c r="AF20" s="3569" t="s">
        <v>3903</v>
      </c>
      <c r="AG20" s="3569" t="s">
        <v>3490</v>
      </c>
      <c r="AH20" s="3569">
        <v>89.44</v>
      </c>
      <c r="AI20" s="3569" t="s">
        <v>3402</v>
      </c>
      <c r="AJ20" s="3569" t="s">
        <v>3906</v>
      </c>
      <c r="AK20" s="3569">
        <v>26</v>
      </c>
      <c r="AL20" s="3569">
        <v>2013</v>
      </c>
      <c r="AM20" s="3569">
        <v>30076</v>
      </c>
      <c r="AN20" s="3569">
        <v>30108</v>
      </c>
      <c r="AO20" s="3569">
        <v>2692860</v>
      </c>
      <c r="AP20" s="3570">
        <v>46119</v>
      </c>
    </row>
    <row r="21" spans="1:57" ht="15.75" thickBot="1">
      <c r="A21" s="3192" t="s">
        <v>3456</v>
      </c>
      <c r="B21" s="3192" t="s">
        <v>3516</v>
      </c>
      <c r="C21" s="3192" t="s">
        <v>3517</v>
      </c>
      <c r="D21" s="3192" t="s">
        <v>3468</v>
      </c>
      <c r="E21" s="3192" t="s">
        <v>3458</v>
      </c>
      <c r="F21" s="3192" t="s">
        <v>3518</v>
      </c>
      <c r="G21" s="3192" t="s">
        <v>3519</v>
      </c>
      <c r="H21" s="3192" t="s">
        <v>3476</v>
      </c>
      <c r="I21" s="3192" t="s">
        <v>3520</v>
      </c>
      <c r="J21" s="3192" t="s">
        <v>3470</v>
      </c>
      <c r="K21" s="3192" t="s">
        <v>3522</v>
      </c>
      <c r="L21" s="3192" t="s">
        <v>3523</v>
      </c>
      <c r="M21" s="3192" t="s">
        <v>3524</v>
      </c>
      <c r="P21" s="3200" t="s">
        <v>3456</v>
      </c>
      <c r="Q21" s="3200" t="s">
        <v>3516</v>
      </c>
      <c r="R21" s="3200" t="s">
        <v>3517</v>
      </c>
      <c r="S21" s="3200" t="s">
        <v>3468</v>
      </c>
      <c r="T21" s="3200" t="s">
        <v>3458</v>
      </c>
      <c r="U21" s="3200" t="s">
        <v>3518</v>
      </c>
      <c r="V21" s="3200" t="s">
        <v>3519</v>
      </c>
      <c r="W21" s="3200" t="s">
        <v>3476</v>
      </c>
      <c r="X21" s="3200" t="s">
        <v>3470</v>
      </c>
      <c r="Y21" s="3200" t="s">
        <v>3522</v>
      </c>
      <c r="Z21" s="3200" t="s">
        <v>3523</v>
      </c>
      <c r="AA21" s="3200" t="s">
        <v>3524</v>
      </c>
      <c r="AD21" s="3192" t="s">
        <v>3456</v>
      </c>
      <c r="AE21" s="3192" t="s">
        <v>3516</v>
      </c>
      <c r="AF21" s="3192" t="s">
        <v>3517</v>
      </c>
      <c r="AG21" s="3192" t="s">
        <v>3468</v>
      </c>
      <c r="AH21" s="3192" t="s">
        <v>3458</v>
      </c>
      <c r="AI21" s="3192" t="s">
        <v>3518</v>
      </c>
      <c r="AJ21" s="3192" t="s">
        <v>3519</v>
      </c>
      <c r="AK21" s="3192" t="s">
        <v>3476</v>
      </c>
      <c r="AL21" s="3192" t="s">
        <v>3520</v>
      </c>
      <c r="AM21" s="3192" t="s">
        <v>3470</v>
      </c>
      <c r="AN21" s="3192" t="s">
        <v>3522</v>
      </c>
      <c r="AO21" s="3192" t="s">
        <v>3523</v>
      </c>
      <c r="AP21" s="3192" t="s">
        <v>3524</v>
      </c>
      <c r="AS21" s="3203" t="s">
        <v>3456</v>
      </c>
      <c r="AT21" s="3203" t="s">
        <v>3516</v>
      </c>
      <c r="AU21" s="3203" t="s">
        <v>3517</v>
      </c>
      <c r="AV21" s="3203" t="s">
        <v>3468</v>
      </c>
      <c r="AW21" s="3203" t="s">
        <v>3458</v>
      </c>
      <c r="AX21" s="3203" t="s">
        <v>3518</v>
      </c>
      <c r="AY21" s="3203" t="s">
        <v>3519</v>
      </c>
      <c r="AZ21" s="3203" t="s">
        <v>3476</v>
      </c>
      <c r="BA21" s="3203" t="s">
        <v>3520</v>
      </c>
      <c r="BB21" s="3203" t="s">
        <v>3470</v>
      </c>
      <c r="BC21" s="3203" t="s">
        <v>3522</v>
      </c>
      <c r="BD21" s="3203" t="s">
        <v>3523</v>
      </c>
      <c r="BE21" s="3203" t="s">
        <v>3524</v>
      </c>
    </row>
    <row r="22" spans="1:57" ht="60.75" thickBot="1">
      <c r="A22" s="3186">
        <v>3</v>
      </c>
      <c r="B22" s="3186" t="s">
        <v>3727</v>
      </c>
      <c r="C22" s="3186" t="s">
        <v>3726</v>
      </c>
      <c r="D22" s="3186" t="s">
        <v>3490</v>
      </c>
      <c r="E22" s="3186">
        <v>59.2</v>
      </c>
      <c r="F22" s="3186" t="s">
        <v>3402</v>
      </c>
      <c r="G22" s="3186" t="s">
        <v>3728</v>
      </c>
      <c r="H22" s="3186">
        <v>28</v>
      </c>
      <c r="I22" s="3186">
        <v>2016</v>
      </c>
      <c r="J22" s="3186">
        <v>32939</v>
      </c>
      <c r="K22" s="3186">
        <v>33007</v>
      </c>
      <c r="L22" s="3186">
        <v>1954014</v>
      </c>
      <c r="M22" s="3187">
        <v>45834</v>
      </c>
      <c r="P22" s="3573">
        <v>1</v>
      </c>
      <c r="Q22" s="3574" t="s">
        <v>4092</v>
      </c>
      <c r="R22" s="3574" t="s">
        <v>3724</v>
      </c>
      <c r="S22" s="3204" t="s">
        <v>3490</v>
      </c>
      <c r="T22" s="3574">
        <v>129.27000000000001</v>
      </c>
      <c r="U22" s="3574" t="s">
        <v>3402</v>
      </c>
      <c r="V22" s="3574" t="s">
        <v>3756</v>
      </c>
      <c r="W22" s="3574">
        <v>10</v>
      </c>
      <c r="X22" s="3574">
        <v>30169</v>
      </c>
      <c r="Y22" s="3574">
        <v>30648</v>
      </c>
      <c r="Z22" s="3574">
        <v>3961867</v>
      </c>
      <c r="AA22" s="3575">
        <v>46113</v>
      </c>
      <c r="AD22" s="3204">
        <v>1</v>
      </c>
      <c r="AE22" s="3204" t="s">
        <v>3902</v>
      </c>
      <c r="AF22" s="3204" t="s">
        <v>3903</v>
      </c>
      <c r="AG22" s="3204" t="s">
        <v>3490</v>
      </c>
      <c r="AH22" s="3204">
        <v>119.9</v>
      </c>
      <c r="AI22" s="3204" t="s">
        <v>3402</v>
      </c>
      <c r="AJ22" s="3204" t="s">
        <v>3904</v>
      </c>
      <c r="AK22" s="3204">
        <v>2</v>
      </c>
      <c r="AL22" s="3204" t="s">
        <v>633</v>
      </c>
      <c r="AM22" s="3204">
        <v>26505</v>
      </c>
      <c r="AN22" s="3204">
        <v>26643</v>
      </c>
      <c r="AO22" s="3204">
        <v>3194496</v>
      </c>
      <c r="AP22" s="3205">
        <v>46108</v>
      </c>
      <c r="AS22" s="3204">
        <v>1</v>
      </c>
      <c r="AT22" s="3204" t="s">
        <v>4061</v>
      </c>
      <c r="AU22" s="3204" t="s">
        <v>3506</v>
      </c>
      <c r="AV22" s="3204" t="s">
        <v>3490</v>
      </c>
      <c r="AW22" s="3204">
        <v>127.12</v>
      </c>
      <c r="AX22" s="3204" t="s">
        <v>3402</v>
      </c>
      <c r="AY22" s="3204" t="s">
        <v>3890</v>
      </c>
      <c r="AZ22" s="3204">
        <v>9</v>
      </c>
      <c r="BA22" s="3204" t="s">
        <v>633</v>
      </c>
      <c r="BB22" s="3204">
        <v>29106</v>
      </c>
      <c r="BC22" s="3204">
        <v>29652</v>
      </c>
      <c r="BD22" s="3204">
        <v>3769362</v>
      </c>
      <c r="BE22" s="3205">
        <v>46032</v>
      </c>
    </row>
    <row r="23" spans="1:57" ht="60.75" thickBot="1">
      <c r="A23" s="3188">
        <v>4</v>
      </c>
      <c r="B23" s="3188" t="s">
        <v>3729</v>
      </c>
      <c r="C23" s="3188" t="s">
        <v>3726</v>
      </c>
      <c r="D23" s="3188" t="s">
        <v>3490</v>
      </c>
      <c r="E23" s="3188">
        <v>89.57</v>
      </c>
      <c r="F23" s="3188" t="s">
        <v>3402</v>
      </c>
      <c r="G23" s="3188" t="s">
        <v>3728</v>
      </c>
      <c r="H23" s="3188">
        <v>26</v>
      </c>
      <c r="I23" s="3188">
        <v>2016</v>
      </c>
      <c r="J23" s="3188">
        <v>37568</v>
      </c>
      <c r="K23" s="3188">
        <v>37602</v>
      </c>
      <c r="L23" s="3188">
        <v>3368011</v>
      </c>
      <c r="M23" s="3189">
        <v>45771</v>
      </c>
      <c r="P23" s="3204">
        <v>5</v>
      </c>
      <c r="Q23" s="3204" t="s">
        <v>3750</v>
      </c>
      <c r="R23" s="3204" t="s">
        <v>3724</v>
      </c>
      <c r="S23" s="3204" t="s">
        <v>3490</v>
      </c>
      <c r="T23" s="3204">
        <v>88.83</v>
      </c>
      <c r="U23" s="3204" t="s">
        <v>3402</v>
      </c>
      <c r="V23" s="3204" t="s">
        <v>3746</v>
      </c>
      <c r="W23" s="3204">
        <v>18</v>
      </c>
      <c r="X23" s="3204">
        <v>29495</v>
      </c>
      <c r="Y23" s="3204">
        <v>29680</v>
      </c>
      <c r="Z23" s="3204">
        <v>2636474</v>
      </c>
      <c r="AA23" s="3205">
        <v>45996</v>
      </c>
      <c r="AD23" s="3204">
        <v>2</v>
      </c>
      <c r="AE23" s="3204" t="s">
        <v>3905</v>
      </c>
      <c r="AF23" s="3204" t="s">
        <v>3903</v>
      </c>
      <c r="AG23" s="3204" t="s">
        <v>3490</v>
      </c>
      <c r="AH23" s="3204">
        <v>89.98</v>
      </c>
      <c r="AI23" s="3204" t="s">
        <v>3402</v>
      </c>
      <c r="AJ23" s="3204" t="s">
        <v>3906</v>
      </c>
      <c r="AK23" s="3204">
        <v>5</v>
      </c>
      <c r="AL23" s="3204" t="s">
        <v>633</v>
      </c>
      <c r="AM23" s="3204">
        <v>28451</v>
      </c>
      <c r="AN23" s="3204">
        <v>27226</v>
      </c>
      <c r="AO23" s="3204">
        <v>2449795</v>
      </c>
      <c r="AP23" s="3205">
        <v>46104</v>
      </c>
      <c r="AS23" s="3204">
        <v>2</v>
      </c>
      <c r="AT23" s="3204" t="s">
        <v>4062</v>
      </c>
      <c r="AU23" s="3204" t="s">
        <v>3506</v>
      </c>
      <c r="AV23" s="3204" t="s">
        <v>3490</v>
      </c>
      <c r="AW23" s="3204">
        <v>128.15</v>
      </c>
      <c r="AX23" s="3204" t="s">
        <v>3402</v>
      </c>
      <c r="AY23" s="3204" t="s">
        <v>3797</v>
      </c>
      <c r="AZ23" s="3204">
        <v>9</v>
      </c>
      <c r="BA23" s="3204">
        <v>2014</v>
      </c>
      <c r="BB23" s="3204">
        <v>30043</v>
      </c>
      <c r="BC23" s="3204">
        <v>30267</v>
      </c>
      <c r="BD23" s="3204">
        <v>3878716</v>
      </c>
      <c r="BE23" s="3205">
        <v>46027</v>
      </c>
    </row>
    <row r="24" spans="1:57" ht="60.75" thickBot="1">
      <c r="A24" s="3186">
        <v>5</v>
      </c>
      <c r="B24" s="3186" t="s">
        <v>3730</v>
      </c>
      <c r="C24" s="3186" t="s">
        <v>3726</v>
      </c>
      <c r="D24" s="3186" t="s">
        <v>3490</v>
      </c>
      <c r="E24" s="3186">
        <v>85.34</v>
      </c>
      <c r="F24" s="3186" t="s">
        <v>3402</v>
      </c>
      <c r="G24" s="3186" t="s">
        <v>3728</v>
      </c>
      <c r="H24" s="3186">
        <v>2</v>
      </c>
      <c r="I24" s="3186">
        <v>2016</v>
      </c>
      <c r="J24" s="3186">
        <v>26951</v>
      </c>
      <c r="K24" s="3186">
        <v>27120</v>
      </c>
      <c r="L24" s="3186">
        <v>2314421</v>
      </c>
      <c r="M24" s="3187">
        <v>45735</v>
      </c>
      <c r="P24" s="3204">
        <v>6</v>
      </c>
      <c r="Q24" s="3204" t="s">
        <v>3751</v>
      </c>
      <c r="R24" s="3204" t="s">
        <v>3724</v>
      </c>
      <c r="S24" s="3204" t="s">
        <v>3490</v>
      </c>
      <c r="T24" s="3204">
        <v>92.11</v>
      </c>
      <c r="U24" s="3204" t="s">
        <v>3402</v>
      </c>
      <c r="V24" s="3204" t="s">
        <v>3752</v>
      </c>
      <c r="W24" s="3204">
        <v>17</v>
      </c>
      <c r="X24" s="3204">
        <v>28933</v>
      </c>
      <c r="Y24" s="3204">
        <v>29050</v>
      </c>
      <c r="Z24" s="3204">
        <v>2675796</v>
      </c>
      <c r="AA24" s="3205">
        <v>45958</v>
      </c>
      <c r="AD24" s="3204">
        <v>3</v>
      </c>
      <c r="AE24" s="3204" t="s">
        <v>3907</v>
      </c>
      <c r="AF24" s="3204" t="s">
        <v>3908</v>
      </c>
      <c r="AG24" s="3204" t="s">
        <v>3490</v>
      </c>
      <c r="AH24" s="3204">
        <v>89.05</v>
      </c>
      <c r="AI24" s="3204" t="s">
        <v>3402</v>
      </c>
      <c r="AJ24" s="3204" t="s">
        <v>3909</v>
      </c>
      <c r="AK24" s="3204">
        <v>6</v>
      </c>
      <c r="AL24" s="3204" t="s">
        <v>633</v>
      </c>
      <c r="AM24" s="3204">
        <v>29197</v>
      </c>
      <c r="AN24" s="3204">
        <v>29251</v>
      </c>
      <c r="AO24" s="3204">
        <v>2604802</v>
      </c>
      <c r="AP24" s="3205">
        <v>46085</v>
      </c>
      <c r="AS24" s="3204">
        <v>3</v>
      </c>
      <c r="AT24" s="3204" t="s">
        <v>4063</v>
      </c>
      <c r="AU24" s="3204" t="s">
        <v>3506</v>
      </c>
      <c r="AV24" s="3204" t="s">
        <v>3490</v>
      </c>
      <c r="AW24" s="3204">
        <v>128.32</v>
      </c>
      <c r="AX24" s="3204" t="s">
        <v>3402</v>
      </c>
      <c r="AY24" s="3204" t="s">
        <v>3797</v>
      </c>
      <c r="AZ24" s="3204">
        <v>3</v>
      </c>
      <c r="BA24" s="3204">
        <v>2014</v>
      </c>
      <c r="BB24" s="3204">
        <v>29068</v>
      </c>
      <c r="BC24" s="3204">
        <v>29396</v>
      </c>
      <c r="BD24" s="3204">
        <v>3772095</v>
      </c>
      <c r="BE24" s="3205">
        <v>45992</v>
      </c>
    </row>
    <row r="25" spans="1:57" ht="60.75" hidden="1" thickBot="1">
      <c r="A25" s="3188">
        <v>6</v>
      </c>
      <c r="B25" s="3188" t="s">
        <v>3731</v>
      </c>
      <c r="C25" s="3188" t="s">
        <v>3726</v>
      </c>
      <c r="D25" s="3188" t="s">
        <v>3490</v>
      </c>
      <c r="E25" s="3188">
        <v>89.26</v>
      </c>
      <c r="F25" s="3188" t="s">
        <v>3402</v>
      </c>
      <c r="G25" s="3188" t="s">
        <v>3728</v>
      </c>
      <c r="H25" s="3188">
        <v>3</v>
      </c>
      <c r="I25" s="3188">
        <v>2016</v>
      </c>
      <c r="J25" s="3188">
        <v>38203</v>
      </c>
      <c r="K25" s="3188">
        <v>38273</v>
      </c>
      <c r="L25" s="3188">
        <v>3416248</v>
      </c>
      <c r="M25" s="3189">
        <v>45675</v>
      </c>
      <c r="P25" s="3204">
        <v>7</v>
      </c>
      <c r="Q25" s="3576" t="s">
        <v>3753</v>
      </c>
      <c r="R25" s="3576" t="s">
        <v>3724</v>
      </c>
      <c r="S25" s="3576" t="s">
        <v>3490</v>
      </c>
      <c r="T25" s="3576">
        <v>155.22</v>
      </c>
      <c r="U25" s="3576" t="s">
        <v>3402</v>
      </c>
      <c r="V25" s="3576" t="s">
        <v>3754</v>
      </c>
      <c r="W25" s="3576">
        <v>25</v>
      </c>
      <c r="X25" s="3576">
        <v>16622</v>
      </c>
      <c r="Y25" s="3576">
        <v>30434</v>
      </c>
      <c r="Z25" s="3576">
        <v>4723965</v>
      </c>
      <c r="AA25" s="3577">
        <v>45954</v>
      </c>
      <c r="AD25" s="3186">
        <v>5</v>
      </c>
      <c r="AE25" s="3186" t="s">
        <v>3910</v>
      </c>
      <c r="AF25" s="3186" t="s">
        <v>3911</v>
      </c>
      <c r="AG25" s="3186" t="s">
        <v>3490</v>
      </c>
      <c r="AH25" s="3186">
        <v>89.35</v>
      </c>
      <c r="AI25" s="3186" t="s">
        <v>3402</v>
      </c>
      <c r="AJ25" s="3186" t="s">
        <v>3904</v>
      </c>
      <c r="AK25" s="3186">
        <v>3</v>
      </c>
      <c r="AL25" s="3186" t="s">
        <v>633</v>
      </c>
      <c r="AM25" s="3186">
        <v>26301</v>
      </c>
      <c r="AN25" s="3186">
        <v>26458</v>
      </c>
      <c r="AO25" s="3186">
        <v>2364022</v>
      </c>
      <c r="AP25" s="3187">
        <v>46021</v>
      </c>
      <c r="AS25" s="3188">
        <v>4</v>
      </c>
      <c r="AT25" s="3188" t="s">
        <v>4064</v>
      </c>
      <c r="AU25" s="3188" t="s">
        <v>3506</v>
      </c>
      <c r="AV25" s="3188" t="s">
        <v>3490</v>
      </c>
      <c r="AW25" s="3188">
        <v>128.15</v>
      </c>
      <c r="AX25" s="3188" t="s">
        <v>3402</v>
      </c>
      <c r="AY25" s="3188" t="s">
        <v>3797</v>
      </c>
      <c r="AZ25" s="3188">
        <v>3</v>
      </c>
      <c r="BA25" s="3188">
        <v>2014</v>
      </c>
      <c r="BB25" s="3188">
        <v>31252</v>
      </c>
      <c r="BC25" s="3188">
        <v>31405</v>
      </c>
      <c r="BD25" s="3188">
        <v>4024551</v>
      </c>
      <c r="BE25" s="3189">
        <v>45940</v>
      </c>
    </row>
    <row r="26" spans="1:57" ht="45.75" hidden="1" thickBot="1">
      <c r="A26" s="3186">
        <v>7</v>
      </c>
      <c r="B26" s="3186" t="s">
        <v>3732</v>
      </c>
      <c r="C26" s="3186" t="s">
        <v>3726</v>
      </c>
      <c r="D26" s="3186" t="s">
        <v>3490</v>
      </c>
      <c r="E26" s="3186">
        <v>89.26</v>
      </c>
      <c r="F26" s="3186" t="s">
        <v>3402</v>
      </c>
      <c r="G26" s="3186" t="s">
        <v>3728</v>
      </c>
      <c r="H26" s="3186">
        <v>1</v>
      </c>
      <c r="I26" s="3186">
        <v>2016</v>
      </c>
      <c r="J26" s="3186">
        <v>31369</v>
      </c>
      <c r="K26" s="3186">
        <v>31469</v>
      </c>
      <c r="L26" s="3186">
        <v>2808923</v>
      </c>
      <c r="M26" s="3187">
        <v>45667</v>
      </c>
      <c r="P26" s="3204">
        <v>10</v>
      </c>
      <c r="Q26" s="3204" t="s">
        <v>3758</v>
      </c>
      <c r="R26" s="3204" t="s">
        <v>3724</v>
      </c>
      <c r="S26" s="3204" t="s">
        <v>3490</v>
      </c>
      <c r="T26" s="3204">
        <v>139.13</v>
      </c>
      <c r="U26" s="3204" t="s">
        <v>3402</v>
      </c>
      <c r="V26" s="3204" t="s">
        <v>3759</v>
      </c>
      <c r="W26" s="3204">
        <v>4</v>
      </c>
      <c r="X26" s="3204">
        <v>30906</v>
      </c>
      <c r="Y26" s="3204">
        <v>31168</v>
      </c>
      <c r="Z26" s="3204">
        <v>4336404</v>
      </c>
      <c r="AA26" s="3205">
        <v>45904</v>
      </c>
      <c r="AD26" s="3188">
        <v>6</v>
      </c>
      <c r="AE26" s="3188" t="s">
        <v>3912</v>
      </c>
      <c r="AF26" s="3188" t="s">
        <v>3903</v>
      </c>
      <c r="AG26" s="3188" t="s">
        <v>3490</v>
      </c>
      <c r="AH26" s="3188">
        <v>89.78</v>
      </c>
      <c r="AI26" s="3188" t="s">
        <v>3402</v>
      </c>
      <c r="AJ26" s="3188" t="s">
        <v>3904</v>
      </c>
      <c r="AK26" s="3188">
        <v>3</v>
      </c>
      <c r="AL26" s="3188" t="s">
        <v>633</v>
      </c>
      <c r="AM26" s="3188">
        <v>27623</v>
      </c>
      <c r="AN26" s="3188">
        <v>27653</v>
      </c>
      <c r="AO26" s="3188">
        <v>2482686</v>
      </c>
      <c r="AP26" s="3189">
        <v>46017</v>
      </c>
      <c r="AS26" s="3186">
        <v>5</v>
      </c>
      <c r="AT26" s="3186" t="s">
        <v>4065</v>
      </c>
      <c r="AU26" s="3186" t="s">
        <v>3506</v>
      </c>
      <c r="AV26" s="3186" t="s">
        <v>3490</v>
      </c>
      <c r="AW26" s="3186">
        <v>127.12</v>
      </c>
      <c r="AX26" s="3186" t="s">
        <v>3402</v>
      </c>
      <c r="AY26" s="3186" t="s">
        <v>3890</v>
      </c>
      <c r="AZ26" s="3186">
        <v>3</v>
      </c>
      <c r="BA26" s="3186" t="s">
        <v>633</v>
      </c>
      <c r="BB26" s="3186">
        <v>32253</v>
      </c>
      <c r="BC26" s="3186">
        <v>32305</v>
      </c>
      <c r="BD26" s="3186">
        <v>4106612</v>
      </c>
      <c r="BE26" s="3187">
        <v>45860</v>
      </c>
    </row>
    <row r="27" spans="1:57" ht="60.75" hidden="1" thickBot="1">
      <c r="A27" s="3188">
        <v>8</v>
      </c>
      <c r="B27" s="3188" t="s">
        <v>3733</v>
      </c>
      <c r="C27" s="3188" t="s">
        <v>3726</v>
      </c>
      <c r="D27" s="3188" t="s">
        <v>3490</v>
      </c>
      <c r="E27" s="3188">
        <v>89.44</v>
      </c>
      <c r="F27" s="3188" t="s">
        <v>3402</v>
      </c>
      <c r="G27" s="3188">
        <v>31</v>
      </c>
      <c r="H27" s="3188">
        <v>20</v>
      </c>
      <c r="I27" s="3188">
        <v>2016</v>
      </c>
      <c r="J27" s="3188">
        <v>34996</v>
      </c>
      <c r="K27" s="3188">
        <v>35271</v>
      </c>
      <c r="L27" s="3188">
        <v>3154638</v>
      </c>
      <c r="M27" s="3189">
        <v>45650</v>
      </c>
      <c r="P27" s="3204">
        <v>12</v>
      </c>
      <c r="Q27" s="3204" t="s">
        <v>3761</v>
      </c>
      <c r="R27" s="3204" t="s">
        <v>3724</v>
      </c>
      <c r="S27" s="3204" t="s">
        <v>3490</v>
      </c>
      <c r="T27" s="3204">
        <v>139.96</v>
      </c>
      <c r="U27" s="3204" t="s">
        <v>3402</v>
      </c>
      <c r="V27" s="3204" t="s">
        <v>3759</v>
      </c>
      <c r="W27" s="3204">
        <v>9</v>
      </c>
      <c r="X27" s="3204">
        <v>32867</v>
      </c>
      <c r="Y27" s="3204">
        <v>32923</v>
      </c>
      <c r="Z27" s="3204">
        <v>4607903</v>
      </c>
      <c r="AA27" s="3205">
        <v>45960</v>
      </c>
      <c r="AD27" s="3186">
        <v>7</v>
      </c>
      <c r="AE27" s="3186" t="s">
        <v>3913</v>
      </c>
      <c r="AF27" s="3186" t="s">
        <v>3911</v>
      </c>
      <c r="AG27" s="3186" t="s">
        <v>3490</v>
      </c>
      <c r="AH27" s="3186">
        <v>89.48</v>
      </c>
      <c r="AI27" s="3186" t="s">
        <v>3402</v>
      </c>
      <c r="AJ27" s="3186" t="s">
        <v>3914</v>
      </c>
      <c r="AK27" s="3186">
        <v>3</v>
      </c>
      <c r="AL27" s="3186" t="s">
        <v>633</v>
      </c>
      <c r="AM27" s="3186">
        <v>29392</v>
      </c>
      <c r="AN27" s="3186">
        <v>29477</v>
      </c>
      <c r="AO27" s="3186">
        <v>2637602</v>
      </c>
      <c r="AP27" s="3187">
        <v>45992</v>
      </c>
      <c r="AS27" s="3188">
        <v>8</v>
      </c>
      <c r="AT27" s="3188" t="s">
        <v>4067</v>
      </c>
      <c r="AU27" s="3188" t="s">
        <v>3506</v>
      </c>
      <c r="AV27" s="3188" t="s">
        <v>3490</v>
      </c>
      <c r="AW27" s="3188">
        <v>109.63</v>
      </c>
      <c r="AX27" s="3188" t="s">
        <v>3402</v>
      </c>
      <c r="AY27" s="3188" t="s">
        <v>3797</v>
      </c>
      <c r="AZ27" s="3188">
        <v>6</v>
      </c>
      <c r="BA27" s="3188">
        <v>2014</v>
      </c>
      <c r="BB27" s="3188">
        <v>44696</v>
      </c>
      <c r="BC27" s="3188">
        <v>44820</v>
      </c>
      <c r="BD27" s="3188">
        <v>4913617</v>
      </c>
      <c r="BE27" s="3189">
        <v>45769</v>
      </c>
    </row>
    <row r="28" spans="1:57" ht="60.75" hidden="1" thickBot="1">
      <c r="A28" s="3186">
        <v>9</v>
      </c>
      <c r="B28" s="3186" t="s">
        <v>3734</v>
      </c>
      <c r="C28" s="3186" t="s">
        <v>3726</v>
      </c>
      <c r="D28" s="3186" t="s">
        <v>3490</v>
      </c>
      <c r="E28" s="3186">
        <v>88.91</v>
      </c>
      <c r="F28" s="3186" t="s">
        <v>3402</v>
      </c>
      <c r="G28" s="3186" t="s">
        <v>3728</v>
      </c>
      <c r="H28" s="3186">
        <v>6</v>
      </c>
      <c r="I28" s="3186">
        <v>2016</v>
      </c>
      <c r="J28" s="3186">
        <v>33719</v>
      </c>
      <c r="K28" s="3186">
        <v>34069</v>
      </c>
      <c r="L28" s="3186">
        <v>3029075</v>
      </c>
      <c r="M28" s="3187">
        <v>45637</v>
      </c>
      <c r="P28" s="3204">
        <v>14</v>
      </c>
      <c r="Q28" s="3204" t="s">
        <v>3762</v>
      </c>
      <c r="R28" s="3204" t="s">
        <v>3724</v>
      </c>
      <c r="S28" s="3204" t="s">
        <v>3490</v>
      </c>
      <c r="T28" s="3204">
        <v>88.78</v>
      </c>
      <c r="U28" s="3204" t="s">
        <v>3402</v>
      </c>
      <c r="V28" s="3204" t="s">
        <v>3746</v>
      </c>
      <c r="W28" s="3204">
        <v>5</v>
      </c>
      <c r="X28" s="3204">
        <v>33003</v>
      </c>
      <c r="Y28" s="3204">
        <v>33049</v>
      </c>
      <c r="Z28" s="3204">
        <v>2934090</v>
      </c>
      <c r="AA28" s="3205">
        <v>45800</v>
      </c>
      <c r="AD28" s="3188">
        <v>8</v>
      </c>
      <c r="AE28" s="3188" t="s">
        <v>3915</v>
      </c>
      <c r="AF28" s="3188" t="s">
        <v>3911</v>
      </c>
      <c r="AG28" s="3188" t="s">
        <v>3490</v>
      </c>
      <c r="AH28" s="3188">
        <v>89.87</v>
      </c>
      <c r="AI28" s="3188" t="s">
        <v>3402</v>
      </c>
      <c r="AJ28" s="3188" t="s">
        <v>3530</v>
      </c>
      <c r="AK28" s="3188">
        <v>4</v>
      </c>
      <c r="AL28" s="3188" t="s">
        <v>633</v>
      </c>
      <c r="AM28" s="3188">
        <v>31712</v>
      </c>
      <c r="AN28" s="3188">
        <v>29256</v>
      </c>
      <c r="AO28" s="3188">
        <v>2629237</v>
      </c>
      <c r="AP28" s="3189">
        <v>45992</v>
      </c>
      <c r="AS28" s="3186">
        <v>9</v>
      </c>
      <c r="AT28" s="3186" t="s">
        <v>4068</v>
      </c>
      <c r="AU28" s="3186" t="s">
        <v>3506</v>
      </c>
      <c r="AV28" s="3186" t="s">
        <v>3490</v>
      </c>
      <c r="AW28" s="3186">
        <v>127.12</v>
      </c>
      <c r="AX28" s="3186" t="s">
        <v>3402</v>
      </c>
      <c r="AY28" s="3186" t="s">
        <v>3890</v>
      </c>
      <c r="AZ28" s="3186">
        <v>2</v>
      </c>
      <c r="BA28" s="3186" t="s">
        <v>633</v>
      </c>
      <c r="BB28" s="3186">
        <v>38940</v>
      </c>
      <c r="BC28" s="3186">
        <v>38940</v>
      </c>
      <c r="BD28" s="3186">
        <v>4950053</v>
      </c>
      <c r="BE28" s="3187">
        <v>45657</v>
      </c>
    </row>
    <row r="29" spans="1:57" ht="60.75" hidden="1" thickBot="1">
      <c r="A29" s="3188">
        <v>10</v>
      </c>
      <c r="B29" s="3188" t="s">
        <v>3735</v>
      </c>
      <c r="C29" s="3188" t="s">
        <v>3726</v>
      </c>
      <c r="D29" s="3188" t="s">
        <v>3490</v>
      </c>
      <c r="E29" s="3188">
        <v>59.2</v>
      </c>
      <c r="F29" s="3188" t="s">
        <v>3402</v>
      </c>
      <c r="G29" s="3188" t="s">
        <v>3728</v>
      </c>
      <c r="H29" s="3188">
        <v>18</v>
      </c>
      <c r="I29" s="3188">
        <v>2016</v>
      </c>
      <c r="J29" s="3188">
        <v>32399</v>
      </c>
      <c r="K29" s="3188">
        <v>33134</v>
      </c>
      <c r="L29" s="3188">
        <v>1961533</v>
      </c>
      <c r="M29" s="3189">
        <v>45622</v>
      </c>
      <c r="P29" s="3204">
        <v>15</v>
      </c>
      <c r="Q29" s="3204" t="s">
        <v>3763</v>
      </c>
      <c r="R29" s="3204" t="s">
        <v>3724</v>
      </c>
      <c r="S29" s="3204" t="s">
        <v>3490</v>
      </c>
      <c r="T29" s="3204">
        <v>91.82</v>
      </c>
      <c r="U29" s="3204" t="s">
        <v>3402</v>
      </c>
      <c r="V29" s="3204" t="s">
        <v>3746</v>
      </c>
      <c r="W29" s="3204">
        <v>16</v>
      </c>
      <c r="X29" s="3204">
        <v>30603</v>
      </c>
      <c r="Y29" s="3204">
        <v>30871</v>
      </c>
      <c r="Z29" s="3204">
        <v>2834575</v>
      </c>
      <c r="AA29" s="3205">
        <v>45798</v>
      </c>
      <c r="AD29" s="3186">
        <v>11</v>
      </c>
      <c r="AE29" s="3186" t="s">
        <v>3917</v>
      </c>
      <c r="AF29" s="3186" t="s">
        <v>3908</v>
      </c>
      <c r="AG29" s="3186" t="s">
        <v>3490</v>
      </c>
      <c r="AH29" s="3186">
        <v>89.5</v>
      </c>
      <c r="AI29" s="3186" t="s">
        <v>3402</v>
      </c>
      <c r="AJ29" s="3186" t="s">
        <v>3918</v>
      </c>
      <c r="AK29" s="3186">
        <v>28</v>
      </c>
      <c r="AL29" s="3186" t="s">
        <v>633</v>
      </c>
      <c r="AM29" s="3186">
        <v>29721</v>
      </c>
      <c r="AN29" s="3186">
        <v>29735</v>
      </c>
      <c r="AO29" s="3186">
        <v>2661283</v>
      </c>
      <c r="AP29" s="3187">
        <v>45965</v>
      </c>
      <c r="AS29" s="3188">
        <v>10</v>
      </c>
      <c r="AT29" s="3188" t="s">
        <v>4069</v>
      </c>
      <c r="AU29" s="3188" t="s">
        <v>3506</v>
      </c>
      <c r="AV29" s="3188" t="s">
        <v>3490</v>
      </c>
      <c r="AW29" s="3188">
        <v>212.27</v>
      </c>
      <c r="AX29" s="3188" t="s">
        <v>3402</v>
      </c>
      <c r="AY29" s="3188" t="s">
        <v>3797</v>
      </c>
      <c r="AZ29" s="3188">
        <v>10</v>
      </c>
      <c r="BA29" s="3188">
        <v>2014</v>
      </c>
      <c r="BB29" s="3188">
        <v>35003</v>
      </c>
      <c r="BC29" s="3188">
        <v>35701</v>
      </c>
      <c r="BD29" s="3188">
        <v>7578251</v>
      </c>
      <c r="BE29" s="3189">
        <v>45574</v>
      </c>
    </row>
    <row r="30" spans="1:57" ht="60.75" hidden="1" thickBot="1">
      <c r="A30" s="3188">
        <v>12</v>
      </c>
      <c r="B30" s="3188" t="s">
        <v>3736</v>
      </c>
      <c r="C30" s="3188" t="s">
        <v>3726</v>
      </c>
      <c r="D30" s="3188" t="s">
        <v>3490</v>
      </c>
      <c r="E30" s="3188">
        <v>89.13</v>
      </c>
      <c r="F30" s="3188" t="s">
        <v>3402</v>
      </c>
      <c r="G30" s="3188" t="s">
        <v>3728</v>
      </c>
      <c r="H30" s="3188">
        <v>12</v>
      </c>
      <c r="I30" s="3188">
        <v>2016</v>
      </c>
      <c r="J30" s="3188">
        <v>31976</v>
      </c>
      <c r="K30" s="3188">
        <v>33034</v>
      </c>
      <c r="L30" s="3188">
        <v>2944320</v>
      </c>
      <c r="M30" s="3189">
        <v>45596</v>
      </c>
      <c r="P30" s="3204">
        <v>17</v>
      </c>
      <c r="Q30" s="3204" t="s">
        <v>3764</v>
      </c>
      <c r="R30" s="3204" t="s">
        <v>3724</v>
      </c>
      <c r="S30" s="3204" t="s">
        <v>3490</v>
      </c>
      <c r="T30" s="3204">
        <v>155.27000000000001</v>
      </c>
      <c r="U30" s="3204" t="s">
        <v>3402</v>
      </c>
      <c r="V30" s="3204" t="s">
        <v>3765</v>
      </c>
      <c r="W30" s="3204">
        <v>21</v>
      </c>
      <c r="X30" s="3204">
        <v>36710</v>
      </c>
      <c r="Y30" s="3204">
        <v>36872</v>
      </c>
      <c r="Z30" s="3204">
        <v>5725115</v>
      </c>
      <c r="AA30" s="3205">
        <v>45769</v>
      </c>
      <c r="AD30" s="3188">
        <v>12</v>
      </c>
      <c r="AE30" s="3188" t="s">
        <v>3919</v>
      </c>
      <c r="AF30" s="3188" t="s">
        <v>3903</v>
      </c>
      <c r="AG30" s="3188" t="s">
        <v>3490</v>
      </c>
      <c r="AH30" s="3188">
        <v>90.18</v>
      </c>
      <c r="AI30" s="3188" t="s">
        <v>3402</v>
      </c>
      <c r="AJ30" s="3188" t="s">
        <v>3906</v>
      </c>
      <c r="AK30" s="3188">
        <v>18</v>
      </c>
      <c r="AL30" s="3188">
        <v>2013</v>
      </c>
      <c r="AM30" s="3188">
        <v>29940</v>
      </c>
      <c r="AN30" s="3188">
        <v>30034</v>
      </c>
      <c r="AO30" s="3188">
        <v>2708466</v>
      </c>
      <c r="AP30" s="3189">
        <v>45926</v>
      </c>
      <c r="AS30" s="3186">
        <v>11</v>
      </c>
      <c r="AT30" s="3186" t="s">
        <v>4070</v>
      </c>
      <c r="AU30" s="3186" t="s">
        <v>3506</v>
      </c>
      <c r="AV30" s="3186" t="s">
        <v>3490</v>
      </c>
      <c r="AW30" s="3186">
        <v>128.15</v>
      </c>
      <c r="AX30" s="3186" t="s">
        <v>3402</v>
      </c>
      <c r="AY30" s="3186" t="s">
        <v>3797</v>
      </c>
      <c r="AZ30" s="3186">
        <v>2</v>
      </c>
      <c r="BA30" s="3186">
        <v>2014</v>
      </c>
      <c r="BB30" s="3186">
        <v>35038</v>
      </c>
      <c r="BC30" s="3186">
        <v>35039</v>
      </c>
      <c r="BD30" s="3186">
        <v>4490248</v>
      </c>
      <c r="BE30" s="3187">
        <v>45561</v>
      </c>
    </row>
    <row r="31" spans="1:57" ht="60.75" hidden="1" thickBot="1">
      <c r="A31" s="3186">
        <v>13</v>
      </c>
      <c r="B31" s="3186" t="s">
        <v>3737</v>
      </c>
      <c r="C31" s="3186" t="s">
        <v>3726</v>
      </c>
      <c r="D31" s="3186" t="s">
        <v>3490</v>
      </c>
      <c r="E31" s="3186">
        <v>89.57</v>
      </c>
      <c r="F31" s="3186" t="s">
        <v>3402</v>
      </c>
      <c r="G31" s="3186" t="s">
        <v>3728</v>
      </c>
      <c r="H31" s="3186">
        <v>23</v>
      </c>
      <c r="I31" s="3186">
        <v>2016</v>
      </c>
      <c r="J31" s="3186">
        <v>32154</v>
      </c>
      <c r="K31" s="3186">
        <v>33147</v>
      </c>
      <c r="L31" s="3186">
        <v>2968977</v>
      </c>
      <c r="M31" s="3187">
        <v>45596</v>
      </c>
      <c r="P31" s="3204">
        <v>18</v>
      </c>
      <c r="Q31" s="3204" t="s">
        <v>3766</v>
      </c>
      <c r="R31" s="3204" t="s">
        <v>3724</v>
      </c>
      <c r="S31" s="3204" t="s">
        <v>3490</v>
      </c>
      <c r="T31" s="3204">
        <v>85.37</v>
      </c>
      <c r="U31" s="3204" t="s">
        <v>3402</v>
      </c>
      <c r="V31" s="3204">
        <v>29</v>
      </c>
      <c r="W31" s="3204">
        <v>1</v>
      </c>
      <c r="X31" s="3204">
        <v>29694</v>
      </c>
      <c r="Y31" s="3204">
        <v>29834</v>
      </c>
      <c r="Z31" s="3204">
        <v>2546929</v>
      </c>
      <c r="AA31" s="3205">
        <v>45738</v>
      </c>
      <c r="AD31" s="3186">
        <v>13</v>
      </c>
      <c r="AE31" s="3186" t="s">
        <v>3920</v>
      </c>
      <c r="AF31" s="3186" t="s">
        <v>3908</v>
      </c>
      <c r="AG31" s="3186" t="s">
        <v>3490</v>
      </c>
      <c r="AH31" s="3186">
        <v>89.33</v>
      </c>
      <c r="AI31" s="3186" t="s">
        <v>3402</v>
      </c>
      <c r="AJ31" s="3186" t="s">
        <v>3906</v>
      </c>
      <c r="AK31" s="3186">
        <v>10</v>
      </c>
      <c r="AL31" s="3186">
        <v>2013</v>
      </c>
      <c r="AM31" s="3186">
        <v>33024</v>
      </c>
      <c r="AN31" s="3186">
        <v>33101</v>
      </c>
      <c r="AO31" s="3186">
        <v>2956912</v>
      </c>
      <c r="AP31" s="3187">
        <v>45904</v>
      </c>
      <c r="AS31" s="3188">
        <v>12</v>
      </c>
      <c r="AT31" s="3188" t="s">
        <v>4071</v>
      </c>
      <c r="AU31" s="3188" t="s">
        <v>3506</v>
      </c>
      <c r="AV31" s="3188" t="s">
        <v>3490</v>
      </c>
      <c r="AW31" s="3188">
        <v>116.78</v>
      </c>
      <c r="AX31" s="3188" t="s">
        <v>3402</v>
      </c>
      <c r="AY31" s="3188" t="s">
        <v>4072</v>
      </c>
      <c r="AZ31" s="3188">
        <v>3</v>
      </c>
      <c r="BA31" s="3188">
        <v>2014</v>
      </c>
      <c r="BB31" s="3188">
        <v>34055</v>
      </c>
      <c r="BC31" s="3188">
        <v>34607</v>
      </c>
      <c r="BD31" s="3188">
        <v>4041405</v>
      </c>
      <c r="BE31" s="3189">
        <v>45517</v>
      </c>
    </row>
    <row r="32" spans="1:57" ht="60.75" hidden="1" thickBot="1">
      <c r="A32" s="3188">
        <v>14</v>
      </c>
      <c r="B32" s="3188" t="s">
        <v>3738</v>
      </c>
      <c r="C32" s="3188" t="s">
        <v>3726</v>
      </c>
      <c r="D32" s="3188" t="s">
        <v>3490</v>
      </c>
      <c r="E32" s="3188">
        <v>89.13</v>
      </c>
      <c r="F32" s="3188" t="s">
        <v>3402</v>
      </c>
      <c r="G32" s="3188">
        <v>31</v>
      </c>
      <c r="H32" s="3188">
        <v>10</v>
      </c>
      <c r="I32" s="3188">
        <v>2016</v>
      </c>
      <c r="J32" s="3188">
        <v>33659</v>
      </c>
      <c r="K32" s="3188">
        <v>33962</v>
      </c>
      <c r="L32" s="3188">
        <v>3027033</v>
      </c>
      <c r="M32" s="3189">
        <v>45595</v>
      </c>
      <c r="P32" s="3204">
        <v>19</v>
      </c>
      <c r="Q32" s="3204" t="s">
        <v>3767</v>
      </c>
      <c r="R32" s="3204" t="s">
        <v>3724</v>
      </c>
      <c r="S32" s="3204" t="s">
        <v>3490</v>
      </c>
      <c r="T32" s="3204">
        <v>156.38</v>
      </c>
      <c r="U32" s="3204" t="s">
        <v>3402</v>
      </c>
      <c r="V32" s="3204" t="s">
        <v>3768</v>
      </c>
      <c r="W32" s="3204">
        <v>8</v>
      </c>
      <c r="X32" s="3204">
        <v>36194</v>
      </c>
      <c r="Y32" s="3204">
        <v>36445</v>
      </c>
      <c r="Z32" s="3204">
        <v>5699269</v>
      </c>
      <c r="AA32" s="3205">
        <v>45731</v>
      </c>
      <c r="AD32" s="3186">
        <v>15</v>
      </c>
      <c r="AE32" s="3186" t="s">
        <v>3922</v>
      </c>
      <c r="AF32" s="3186" t="s">
        <v>3903</v>
      </c>
      <c r="AG32" s="3186" t="s">
        <v>3490</v>
      </c>
      <c r="AH32" s="3186">
        <v>84.39</v>
      </c>
      <c r="AI32" s="3186" t="s">
        <v>3402</v>
      </c>
      <c r="AJ32" s="3186" t="s">
        <v>3906</v>
      </c>
      <c r="AK32" s="3186">
        <v>6</v>
      </c>
      <c r="AL32" s="3186">
        <v>2013</v>
      </c>
      <c r="AM32" s="3186">
        <v>31520</v>
      </c>
      <c r="AN32" s="3186">
        <v>31754</v>
      </c>
      <c r="AO32" s="3186">
        <v>2679720</v>
      </c>
      <c r="AP32" s="3187">
        <v>45891</v>
      </c>
      <c r="AS32" s="3188">
        <v>14</v>
      </c>
      <c r="AT32" s="3188" t="s">
        <v>4073</v>
      </c>
      <c r="AU32" s="3188" t="s">
        <v>3506</v>
      </c>
      <c r="AV32" s="3188" t="s">
        <v>3490</v>
      </c>
      <c r="AW32" s="3188">
        <v>95.84</v>
      </c>
      <c r="AX32" s="3188" t="s">
        <v>3402</v>
      </c>
      <c r="AY32" s="3188">
        <v>12</v>
      </c>
      <c r="AZ32" s="3188">
        <v>3</v>
      </c>
      <c r="BA32" s="3188">
        <v>2014</v>
      </c>
      <c r="BB32" s="3188">
        <v>33180</v>
      </c>
      <c r="BC32" s="3188">
        <v>33578</v>
      </c>
      <c r="BD32" s="3188">
        <v>3218116</v>
      </c>
      <c r="BE32" s="3189">
        <v>45489</v>
      </c>
    </row>
    <row r="33" spans="1:57" ht="60.75" hidden="1" thickBot="1">
      <c r="A33" s="3198">
        <v>15</v>
      </c>
      <c r="B33" s="3198" t="s">
        <v>3739</v>
      </c>
      <c r="C33" s="3198" t="s">
        <v>3726</v>
      </c>
      <c r="D33" s="3198" t="s">
        <v>3490</v>
      </c>
      <c r="E33" s="3198">
        <v>59.2</v>
      </c>
      <c r="F33" s="3198" t="s">
        <v>3402</v>
      </c>
      <c r="G33" s="3198" t="s">
        <v>3728</v>
      </c>
      <c r="H33" s="3198">
        <v>18</v>
      </c>
      <c r="I33" s="3198">
        <v>2016</v>
      </c>
      <c r="J33" s="3198">
        <v>32095</v>
      </c>
      <c r="K33" s="3198">
        <v>32189</v>
      </c>
      <c r="L33" s="3198">
        <v>1905589</v>
      </c>
      <c r="M33" s="3199">
        <v>45584</v>
      </c>
      <c r="P33" s="3204">
        <v>21</v>
      </c>
      <c r="Q33" s="3204" t="s">
        <v>3769</v>
      </c>
      <c r="R33" s="3204" t="s">
        <v>3724</v>
      </c>
      <c r="S33" s="3204" t="s">
        <v>3490</v>
      </c>
      <c r="T33" s="3204">
        <v>88.83</v>
      </c>
      <c r="U33" s="3204" t="s">
        <v>3402</v>
      </c>
      <c r="V33" s="3204" t="s">
        <v>3746</v>
      </c>
      <c r="W33" s="3204">
        <v>17</v>
      </c>
      <c r="X33" s="3204">
        <v>34673</v>
      </c>
      <c r="Y33" s="3204">
        <v>34884</v>
      </c>
      <c r="Z33" s="3204">
        <v>3098746</v>
      </c>
      <c r="AA33" s="3205">
        <v>45728</v>
      </c>
      <c r="AD33" s="3186">
        <v>17</v>
      </c>
      <c r="AE33" s="3186" t="s">
        <v>3923</v>
      </c>
      <c r="AF33" s="3186" t="s">
        <v>3908</v>
      </c>
      <c r="AG33" s="3186" t="s">
        <v>3490</v>
      </c>
      <c r="AH33" s="3186">
        <v>89.46</v>
      </c>
      <c r="AI33" s="3186" t="s">
        <v>3402</v>
      </c>
      <c r="AJ33" s="3186" t="s">
        <v>3918</v>
      </c>
      <c r="AK33" s="3186">
        <v>23</v>
      </c>
      <c r="AL33" s="3186" t="s">
        <v>633</v>
      </c>
      <c r="AM33" s="3186">
        <v>38006</v>
      </c>
      <c r="AN33" s="3186">
        <v>36242</v>
      </c>
      <c r="AO33" s="3186">
        <v>3242209</v>
      </c>
      <c r="AP33" s="3187">
        <v>45846</v>
      </c>
      <c r="AS33" s="3186">
        <v>15</v>
      </c>
      <c r="AT33" s="3186" t="s">
        <v>4074</v>
      </c>
      <c r="AU33" s="3186" t="s">
        <v>3506</v>
      </c>
      <c r="AV33" s="3186" t="s">
        <v>3490</v>
      </c>
      <c r="AW33" s="3186">
        <v>128.15</v>
      </c>
      <c r="AX33" s="3186" t="s">
        <v>3402</v>
      </c>
      <c r="AY33" s="3186" t="s">
        <v>3797</v>
      </c>
      <c r="AZ33" s="3186">
        <v>2</v>
      </c>
      <c r="BA33" s="3186">
        <v>2014</v>
      </c>
      <c r="BB33" s="3186">
        <v>39251</v>
      </c>
      <c r="BC33" s="3186">
        <v>38460</v>
      </c>
      <c r="BD33" s="3186">
        <v>4928649</v>
      </c>
      <c r="BE33" s="3187">
        <v>45302</v>
      </c>
    </row>
    <row r="34" spans="1:57" ht="60.75" hidden="1" thickBot="1">
      <c r="A34" s="3188">
        <v>16</v>
      </c>
      <c r="B34" s="3188" t="s">
        <v>3740</v>
      </c>
      <c r="C34" s="3188" t="s">
        <v>3726</v>
      </c>
      <c r="D34" s="3188" t="s">
        <v>3490</v>
      </c>
      <c r="E34" s="3188">
        <v>88.91</v>
      </c>
      <c r="F34" s="3188" t="s">
        <v>3402</v>
      </c>
      <c r="G34" s="3188" t="s">
        <v>3728</v>
      </c>
      <c r="H34" s="3188">
        <v>14</v>
      </c>
      <c r="I34" s="3188">
        <v>2016</v>
      </c>
      <c r="J34" s="3188">
        <v>34867</v>
      </c>
      <c r="K34" s="3188">
        <v>35127</v>
      </c>
      <c r="L34" s="3188">
        <v>3123142</v>
      </c>
      <c r="M34" s="3189">
        <v>45602</v>
      </c>
      <c r="P34" s="3204">
        <v>22</v>
      </c>
      <c r="Q34" s="3204" t="s">
        <v>3770</v>
      </c>
      <c r="R34" s="3204" t="s">
        <v>3724</v>
      </c>
      <c r="S34" s="3204" t="s">
        <v>3490</v>
      </c>
      <c r="T34" s="3204">
        <v>84.47</v>
      </c>
      <c r="U34" s="3204" t="s">
        <v>3402</v>
      </c>
      <c r="V34" s="3204">
        <v>29</v>
      </c>
      <c r="W34" s="3204">
        <v>6</v>
      </c>
      <c r="X34" s="3204">
        <v>30543</v>
      </c>
      <c r="Y34" s="3204">
        <v>30682</v>
      </c>
      <c r="Z34" s="3204">
        <v>2591709</v>
      </c>
      <c r="AA34" s="3205">
        <v>45722</v>
      </c>
      <c r="AD34" s="3188">
        <v>18</v>
      </c>
      <c r="AE34" s="3188" t="s">
        <v>3924</v>
      </c>
      <c r="AF34" s="3188" t="s">
        <v>3911</v>
      </c>
      <c r="AG34" s="3188" t="s">
        <v>3490</v>
      </c>
      <c r="AH34" s="3188">
        <v>83.56</v>
      </c>
      <c r="AI34" s="3188" t="s">
        <v>3402</v>
      </c>
      <c r="AJ34" s="3188" t="s">
        <v>3914</v>
      </c>
      <c r="AK34" s="3188">
        <v>9</v>
      </c>
      <c r="AL34" s="3188">
        <v>2013</v>
      </c>
      <c r="AM34" s="3188">
        <v>31905</v>
      </c>
      <c r="AN34" s="3188">
        <v>32136</v>
      </c>
      <c r="AO34" s="3188">
        <v>2685284</v>
      </c>
      <c r="AP34" s="3189">
        <v>45824</v>
      </c>
      <c r="AS34" s="3188">
        <v>16</v>
      </c>
      <c r="AT34" s="3188" t="s">
        <v>4075</v>
      </c>
      <c r="AU34" s="3188" t="s">
        <v>3506</v>
      </c>
      <c r="AV34" s="3188" t="s">
        <v>3490</v>
      </c>
      <c r="AW34" s="3188">
        <v>127.12</v>
      </c>
      <c r="AX34" s="3188" t="s">
        <v>3402</v>
      </c>
      <c r="AY34" s="3188" t="s">
        <v>3890</v>
      </c>
      <c r="AZ34" s="3188">
        <v>9</v>
      </c>
      <c r="BA34" s="3188" t="s">
        <v>633</v>
      </c>
      <c r="BB34" s="3188">
        <v>39608</v>
      </c>
      <c r="BC34" s="3188">
        <v>38082</v>
      </c>
      <c r="BD34" s="3188">
        <v>4840984</v>
      </c>
      <c r="BE34" s="3189">
        <v>45296</v>
      </c>
    </row>
    <row r="35" spans="1:57" ht="60.75" hidden="1" thickBot="1">
      <c r="A35" s="3186">
        <v>17</v>
      </c>
      <c r="B35" s="3186" t="s">
        <v>3741</v>
      </c>
      <c r="C35" s="3186" t="s">
        <v>3726</v>
      </c>
      <c r="D35" s="3186" t="s">
        <v>3490</v>
      </c>
      <c r="E35" s="3186">
        <v>58.55</v>
      </c>
      <c r="F35" s="3186" t="s">
        <v>3402</v>
      </c>
      <c r="G35" s="3186" t="s">
        <v>3728</v>
      </c>
      <c r="H35" s="3186">
        <v>1</v>
      </c>
      <c r="I35" s="3186">
        <v>2016</v>
      </c>
      <c r="J35" s="3186">
        <v>27327</v>
      </c>
      <c r="K35" s="3186">
        <v>29470</v>
      </c>
      <c r="L35" s="3186">
        <v>1725469</v>
      </c>
      <c r="M35" s="3187">
        <v>45573</v>
      </c>
      <c r="P35" s="3204">
        <v>25</v>
      </c>
      <c r="Q35" s="3204" t="s">
        <v>3771</v>
      </c>
      <c r="R35" s="3204" t="s">
        <v>3724</v>
      </c>
      <c r="S35" s="3204" t="s">
        <v>3490</v>
      </c>
      <c r="T35" s="3204">
        <v>91.76</v>
      </c>
      <c r="U35" s="3204" t="s">
        <v>3402</v>
      </c>
      <c r="V35" s="3204">
        <v>28</v>
      </c>
      <c r="W35" s="3204">
        <v>9</v>
      </c>
      <c r="X35" s="3204">
        <v>33675</v>
      </c>
      <c r="Y35" s="3204">
        <v>33719</v>
      </c>
      <c r="Z35" s="3204">
        <v>3094055</v>
      </c>
      <c r="AA35" s="3205">
        <v>45700</v>
      </c>
      <c r="AD35" s="3186">
        <v>19</v>
      </c>
      <c r="AE35" s="3186" t="s">
        <v>3925</v>
      </c>
      <c r="AF35" s="3186" t="s">
        <v>3908</v>
      </c>
      <c r="AG35" s="3186" t="s">
        <v>3490</v>
      </c>
      <c r="AH35" s="3186">
        <v>84.44</v>
      </c>
      <c r="AI35" s="3186" t="s">
        <v>3402</v>
      </c>
      <c r="AJ35" s="3186" t="s">
        <v>3906</v>
      </c>
      <c r="AK35" s="3186">
        <v>13</v>
      </c>
      <c r="AL35" s="3186">
        <v>2013</v>
      </c>
      <c r="AM35" s="3186">
        <v>31857</v>
      </c>
      <c r="AN35" s="3186">
        <v>31865</v>
      </c>
      <c r="AO35" s="3186">
        <v>2690681</v>
      </c>
      <c r="AP35" s="3187">
        <v>45824</v>
      </c>
      <c r="AS35" s="3188">
        <v>18</v>
      </c>
      <c r="AT35" s="3188" t="s">
        <v>4076</v>
      </c>
      <c r="AU35" s="3188" t="s">
        <v>3506</v>
      </c>
      <c r="AV35" s="3188" t="s">
        <v>3490</v>
      </c>
      <c r="AW35" s="3188">
        <v>127.12</v>
      </c>
      <c r="AX35" s="3188" t="s">
        <v>3402</v>
      </c>
      <c r="AY35" s="3188" t="s">
        <v>3890</v>
      </c>
      <c r="AZ35" s="3188">
        <v>3</v>
      </c>
      <c r="BA35" s="3188" t="s">
        <v>633</v>
      </c>
      <c r="BB35" s="3188">
        <v>36186</v>
      </c>
      <c r="BC35" s="3188">
        <v>36197</v>
      </c>
      <c r="BD35" s="3188">
        <v>4601363</v>
      </c>
      <c r="BE35" s="3189">
        <v>45233</v>
      </c>
    </row>
    <row r="36" spans="1:57" ht="60.75" hidden="1" thickBot="1">
      <c r="A36" s="3188">
        <v>18</v>
      </c>
      <c r="B36" s="3188" t="s">
        <v>3742</v>
      </c>
      <c r="C36" s="3188" t="s">
        <v>3726</v>
      </c>
      <c r="D36" s="3188" t="s">
        <v>3490</v>
      </c>
      <c r="E36" s="3188">
        <v>89.26</v>
      </c>
      <c r="F36" s="3188" t="s">
        <v>3402</v>
      </c>
      <c r="G36" s="3188" t="s">
        <v>3728</v>
      </c>
      <c r="H36" s="3188">
        <v>11</v>
      </c>
      <c r="I36" s="3188">
        <v>2016</v>
      </c>
      <c r="J36" s="3188">
        <v>32489</v>
      </c>
      <c r="K36" s="3188">
        <v>32918</v>
      </c>
      <c r="L36" s="3188">
        <v>2938261</v>
      </c>
      <c r="M36" s="3189">
        <v>45559</v>
      </c>
      <c r="P36" s="3204">
        <v>2</v>
      </c>
      <c r="Q36" s="3204" t="s">
        <v>3745</v>
      </c>
      <c r="R36" s="3204" t="s">
        <v>3724</v>
      </c>
      <c r="S36" s="3204" t="s">
        <v>3490</v>
      </c>
      <c r="T36" s="3204">
        <v>93</v>
      </c>
      <c r="U36" s="3204" t="s">
        <v>3402</v>
      </c>
      <c r="V36" s="3204" t="s">
        <v>3746</v>
      </c>
      <c r="W36" s="3204">
        <v>22</v>
      </c>
      <c r="X36" s="3204">
        <v>23656</v>
      </c>
      <c r="Y36" s="3204">
        <v>23688</v>
      </c>
      <c r="Z36" s="3204">
        <v>2202984</v>
      </c>
      <c r="AA36" s="3205">
        <v>46107</v>
      </c>
      <c r="AD36" s="3188">
        <v>20</v>
      </c>
      <c r="AE36" s="3188" t="s">
        <v>3926</v>
      </c>
      <c r="AF36" s="3188" t="s">
        <v>3927</v>
      </c>
      <c r="AG36" s="3188" t="s">
        <v>3490</v>
      </c>
      <c r="AH36" s="3188">
        <v>89.13</v>
      </c>
      <c r="AI36" s="3188" t="s">
        <v>3402</v>
      </c>
      <c r="AJ36" s="3188" t="s">
        <v>3530</v>
      </c>
      <c r="AK36" s="3188">
        <v>1</v>
      </c>
      <c r="AL36" s="3188" t="s">
        <v>633</v>
      </c>
      <c r="AM36" s="3188">
        <v>34107</v>
      </c>
      <c r="AN36" s="3188">
        <v>34273</v>
      </c>
      <c r="AO36" s="3188">
        <v>3054752</v>
      </c>
      <c r="AP36" s="3189">
        <v>45812</v>
      </c>
      <c r="AS36" s="3188">
        <v>20</v>
      </c>
      <c r="AT36" s="3188" t="s">
        <v>4077</v>
      </c>
      <c r="AU36" s="3188" t="s">
        <v>3506</v>
      </c>
      <c r="AV36" s="3188" t="s">
        <v>3490</v>
      </c>
      <c r="AW36" s="3188">
        <v>128.15</v>
      </c>
      <c r="AX36" s="3188" t="s">
        <v>3402</v>
      </c>
      <c r="AY36" s="3188" t="s">
        <v>3797</v>
      </c>
      <c r="AZ36" s="3188">
        <v>2</v>
      </c>
      <c r="BA36" s="3188">
        <v>2014</v>
      </c>
      <c r="BB36" s="3188">
        <v>39290</v>
      </c>
      <c r="BC36" s="3188">
        <v>36120</v>
      </c>
      <c r="BD36" s="3188">
        <v>4628778</v>
      </c>
      <c r="BE36" s="3189">
        <v>45154</v>
      </c>
    </row>
    <row r="37" spans="1:57" ht="60.75" hidden="1" thickBot="1">
      <c r="A37" s="3186">
        <v>19</v>
      </c>
      <c r="B37" s="3186" t="s">
        <v>3743</v>
      </c>
      <c r="C37" s="3186" t="s">
        <v>3726</v>
      </c>
      <c r="D37" s="3186" t="s">
        <v>3490</v>
      </c>
      <c r="E37" s="3186">
        <v>85.34</v>
      </c>
      <c r="F37" s="3186" t="s">
        <v>3402</v>
      </c>
      <c r="G37" s="3186" t="s">
        <v>3728</v>
      </c>
      <c r="H37" s="3186">
        <v>6</v>
      </c>
      <c r="I37" s="3186">
        <v>2016</v>
      </c>
      <c r="J37" s="3186">
        <v>29295</v>
      </c>
      <c r="K37" s="3186">
        <v>30435</v>
      </c>
      <c r="L37" s="3186">
        <v>2597323</v>
      </c>
      <c r="M37" s="3187">
        <v>45531</v>
      </c>
      <c r="P37" s="3204">
        <v>3</v>
      </c>
      <c r="Q37" s="3204" t="s">
        <v>3747</v>
      </c>
      <c r="R37" s="3204" t="s">
        <v>3724</v>
      </c>
      <c r="S37" s="3204" t="s">
        <v>3490</v>
      </c>
      <c r="T37" s="3204">
        <v>91.92</v>
      </c>
      <c r="U37" s="3204" t="s">
        <v>3402</v>
      </c>
      <c r="V37" s="3204" t="s">
        <v>3748</v>
      </c>
      <c r="W37" s="3204">
        <v>25</v>
      </c>
      <c r="X37" s="3204">
        <v>25783</v>
      </c>
      <c r="Y37" s="3204">
        <v>25946</v>
      </c>
      <c r="Z37" s="3204">
        <v>2384956</v>
      </c>
      <c r="AA37" s="3205">
        <v>46091</v>
      </c>
      <c r="AD37" s="3186">
        <v>21</v>
      </c>
      <c r="AE37" s="3186" t="s">
        <v>3928</v>
      </c>
      <c r="AF37" s="3186" t="s">
        <v>3911</v>
      </c>
      <c r="AG37" s="3186" t="s">
        <v>3490</v>
      </c>
      <c r="AH37" s="3186">
        <v>89.35</v>
      </c>
      <c r="AI37" s="3186" t="s">
        <v>3402</v>
      </c>
      <c r="AJ37" s="3186" t="s">
        <v>3914</v>
      </c>
      <c r="AK37" s="3186">
        <v>2</v>
      </c>
      <c r="AL37" s="3186">
        <v>2013</v>
      </c>
      <c r="AM37" s="3186">
        <v>35255</v>
      </c>
      <c r="AN37" s="3186">
        <v>35567</v>
      </c>
      <c r="AO37" s="3186">
        <v>3177911</v>
      </c>
      <c r="AP37" s="3187">
        <v>45785</v>
      </c>
      <c r="AS37" s="3186">
        <v>23</v>
      </c>
      <c r="AT37" s="3186" t="s">
        <v>4078</v>
      </c>
      <c r="AU37" s="3186" t="s">
        <v>3506</v>
      </c>
      <c r="AV37" s="3186" t="s">
        <v>3490</v>
      </c>
      <c r="AW37" s="3186">
        <v>165.88</v>
      </c>
      <c r="AX37" s="3186" t="s">
        <v>3402</v>
      </c>
      <c r="AY37" s="3186" t="s">
        <v>3797</v>
      </c>
      <c r="AZ37" s="3186">
        <v>8</v>
      </c>
      <c r="BA37" s="3186" t="s">
        <v>633</v>
      </c>
      <c r="BB37" s="3186">
        <v>47251</v>
      </c>
      <c r="BC37" s="3186">
        <v>43280</v>
      </c>
      <c r="BD37" s="3186">
        <v>7179286</v>
      </c>
      <c r="BE37" s="3187">
        <v>44869</v>
      </c>
    </row>
    <row r="38" spans="1:57" ht="60.75" thickBot="1">
      <c r="A38" s="3188">
        <v>20</v>
      </c>
      <c r="B38" s="3188" t="s">
        <v>3744</v>
      </c>
      <c r="C38" s="3188" t="s">
        <v>3726</v>
      </c>
      <c r="D38" s="3188" t="s">
        <v>3490</v>
      </c>
      <c r="E38" s="3188">
        <v>89.26</v>
      </c>
      <c r="F38" s="3188" t="s">
        <v>3402</v>
      </c>
      <c r="G38" s="3188" t="s">
        <v>3728</v>
      </c>
      <c r="H38" s="3188">
        <v>2</v>
      </c>
      <c r="I38" s="3188">
        <v>2016</v>
      </c>
      <c r="J38" s="3188">
        <v>31929</v>
      </c>
      <c r="K38" s="3188">
        <v>32071</v>
      </c>
      <c r="L38" s="3188">
        <v>2862657</v>
      </c>
      <c r="M38" s="3189">
        <v>45512</v>
      </c>
      <c r="P38" s="3571">
        <v>4</v>
      </c>
      <c r="Q38" s="3571" t="s">
        <v>3749</v>
      </c>
      <c r="R38" s="3571" t="s">
        <v>3724</v>
      </c>
      <c r="S38" s="3571" t="s">
        <v>3490</v>
      </c>
      <c r="T38" s="3571">
        <v>88.74</v>
      </c>
      <c r="U38" s="3571" t="s">
        <v>3402</v>
      </c>
      <c r="V38" s="3571" t="s">
        <v>3746</v>
      </c>
      <c r="W38" s="3571">
        <v>9</v>
      </c>
      <c r="X38" s="3571">
        <v>24453</v>
      </c>
      <c r="Y38" s="3571">
        <v>24546</v>
      </c>
      <c r="Z38" s="3571">
        <v>2178212</v>
      </c>
      <c r="AA38" s="3572">
        <v>46081</v>
      </c>
      <c r="AD38" s="3186">
        <v>23</v>
      </c>
      <c r="AE38" s="3186" t="s">
        <v>3930</v>
      </c>
      <c r="AF38" s="3186" t="s">
        <v>3911</v>
      </c>
      <c r="AG38" s="3186" t="s">
        <v>3490</v>
      </c>
      <c r="AH38" s="3186">
        <v>86.05</v>
      </c>
      <c r="AI38" s="3186" t="s">
        <v>3402</v>
      </c>
      <c r="AJ38" s="3186" t="s">
        <v>3931</v>
      </c>
      <c r="AK38" s="3186">
        <v>2</v>
      </c>
      <c r="AL38" s="3186" t="s">
        <v>633</v>
      </c>
      <c r="AM38" s="3186">
        <v>29750</v>
      </c>
      <c r="AN38" s="3186">
        <v>29921</v>
      </c>
      <c r="AO38" s="3186">
        <v>2574702</v>
      </c>
      <c r="AP38" s="3187">
        <v>45763</v>
      </c>
      <c r="AS38" s="3206">
        <v>24</v>
      </c>
      <c r="AT38" s="3206" t="s">
        <v>4079</v>
      </c>
      <c r="AU38" s="3206" t="s">
        <v>3506</v>
      </c>
      <c r="AV38" s="3206" t="s">
        <v>3490</v>
      </c>
      <c r="AW38" s="3206">
        <v>116.78</v>
      </c>
      <c r="AX38" s="3206" t="s">
        <v>3402</v>
      </c>
      <c r="AY38" s="3206" t="s">
        <v>4072</v>
      </c>
      <c r="AZ38" s="3206">
        <v>4</v>
      </c>
      <c r="BA38" s="3206">
        <v>2014</v>
      </c>
      <c r="BB38" s="3206">
        <v>41017</v>
      </c>
      <c r="BC38" s="3206">
        <v>37139</v>
      </c>
      <c r="BD38" s="3206">
        <v>4337092</v>
      </c>
      <c r="BE38" s="3207">
        <v>44547</v>
      </c>
    </row>
    <row r="39" spans="1:57" ht="60.75" thickBot="1">
      <c r="P39" s="3188">
        <v>30</v>
      </c>
      <c r="Q39" s="3188" t="s">
        <v>3772</v>
      </c>
      <c r="R39" s="3188" t="s">
        <v>3724</v>
      </c>
      <c r="S39" s="3188" t="s">
        <v>3490</v>
      </c>
      <c r="T39" s="3188">
        <v>66.42</v>
      </c>
      <c r="U39" s="3188" t="s">
        <v>3402</v>
      </c>
      <c r="V39" s="3188">
        <v>29</v>
      </c>
      <c r="W39" s="3188">
        <v>24</v>
      </c>
      <c r="X39" s="3188">
        <v>30864</v>
      </c>
      <c r="Y39" s="3188">
        <v>31343</v>
      </c>
      <c r="Z39" s="3188">
        <v>2081802</v>
      </c>
      <c r="AA39" s="3189">
        <v>45632</v>
      </c>
      <c r="AD39" s="3188">
        <v>24</v>
      </c>
      <c r="AE39" s="3188" t="s">
        <v>3932</v>
      </c>
      <c r="AF39" s="3188" t="s">
        <v>3908</v>
      </c>
      <c r="AG39" s="3188" t="s">
        <v>3490</v>
      </c>
      <c r="AH39" s="3188">
        <v>84.29</v>
      </c>
      <c r="AI39" s="3188" t="s">
        <v>3402</v>
      </c>
      <c r="AJ39" s="3188" t="s">
        <v>3906</v>
      </c>
      <c r="AK39" s="3188">
        <v>4</v>
      </c>
      <c r="AL39" s="3188">
        <v>2013</v>
      </c>
      <c r="AM39" s="3188">
        <v>31202</v>
      </c>
      <c r="AN39" s="3188">
        <v>31544</v>
      </c>
      <c r="AO39" s="3188">
        <v>2658844</v>
      </c>
      <c r="AP39" s="3189">
        <v>45756</v>
      </c>
      <c r="AS39" s="3206">
        <v>26</v>
      </c>
      <c r="AT39" s="3206" t="s">
        <v>4080</v>
      </c>
      <c r="AU39" s="3206" t="s">
        <v>3506</v>
      </c>
      <c r="AV39" s="3206" t="s">
        <v>3490</v>
      </c>
      <c r="AW39" s="3206">
        <v>173.95</v>
      </c>
      <c r="AX39" s="3206" t="s">
        <v>3402</v>
      </c>
      <c r="AY39" s="3206" t="s">
        <v>4081</v>
      </c>
      <c r="AZ39" s="3206">
        <v>2</v>
      </c>
      <c r="BA39" s="3206">
        <v>2014</v>
      </c>
      <c r="BB39" s="3206">
        <v>40414</v>
      </c>
      <c r="BC39" s="3206">
        <v>36374</v>
      </c>
      <c r="BD39" s="3206">
        <v>6327257</v>
      </c>
      <c r="BE39" s="3207">
        <v>44170</v>
      </c>
    </row>
    <row r="40" spans="1:57" ht="60.75" thickBot="1">
      <c r="P40" s="3188">
        <v>32</v>
      </c>
      <c r="Q40" s="3188" t="s">
        <v>3773</v>
      </c>
      <c r="R40" s="3188" t="s">
        <v>3724</v>
      </c>
      <c r="S40" s="3188" t="s">
        <v>3490</v>
      </c>
      <c r="T40" s="3188">
        <v>137.09</v>
      </c>
      <c r="U40" s="3188" t="s">
        <v>3402</v>
      </c>
      <c r="V40" s="3188">
        <v>28</v>
      </c>
      <c r="W40" s="3188">
        <v>22</v>
      </c>
      <c r="X40" s="3188">
        <v>37530</v>
      </c>
      <c r="Y40" s="3188">
        <v>37908</v>
      </c>
      <c r="Z40" s="3188">
        <v>5196808</v>
      </c>
      <c r="AA40" s="3189">
        <v>45615</v>
      </c>
      <c r="AD40" s="3186">
        <v>25</v>
      </c>
      <c r="AE40" s="3186" t="s">
        <v>3933</v>
      </c>
      <c r="AF40" s="3186" t="s">
        <v>3911</v>
      </c>
      <c r="AG40" s="3186" t="s">
        <v>3490</v>
      </c>
      <c r="AH40" s="3186">
        <v>89.29</v>
      </c>
      <c r="AI40" s="3186" t="s">
        <v>3402</v>
      </c>
      <c r="AJ40" s="3186" t="s">
        <v>3929</v>
      </c>
      <c r="AK40" s="3186">
        <v>1</v>
      </c>
      <c r="AL40" s="3186">
        <v>2013</v>
      </c>
      <c r="AM40" s="3186">
        <v>32120</v>
      </c>
      <c r="AN40" s="3186">
        <v>32174</v>
      </c>
      <c r="AO40" s="3186">
        <v>2872816</v>
      </c>
      <c r="AP40" s="3187">
        <v>45747</v>
      </c>
      <c r="AS40" s="3206">
        <v>27</v>
      </c>
      <c r="AT40" s="3206" t="s">
        <v>4082</v>
      </c>
      <c r="AU40" s="3206" t="s">
        <v>3506</v>
      </c>
      <c r="AV40" s="3206" t="s">
        <v>3490</v>
      </c>
      <c r="AW40" s="3206">
        <v>128.38999999999999</v>
      </c>
      <c r="AX40" s="3206" t="s">
        <v>3402</v>
      </c>
      <c r="AY40" s="3206" t="s">
        <v>3797</v>
      </c>
      <c r="AZ40" s="3206">
        <v>3</v>
      </c>
      <c r="BA40" s="3206">
        <v>2014</v>
      </c>
      <c r="BB40" s="3206">
        <v>41280</v>
      </c>
      <c r="BC40" s="3206">
        <v>39777</v>
      </c>
      <c r="BD40" s="3206">
        <v>5106969</v>
      </c>
      <c r="BE40" s="3207">
        <v>43998</v>
      </c>
    </row>
    <row r="41" spans="1:57" ht="60.75" hidden="1" thickBot="1">
      <c r="P41" s="3186">
        <v>33</v>
      </c>
      <c r="Q41" s="3186" t="s">
        <v>3774</v>
      </c>
      <c r="R41" s="3186" t="s">
        <v>3724</v>
      </c>
      <c r="S41" s="3186" t="s">
        <v>3490</v>
      </c>
      <c r="T41" s="3186">
        <v>92.95</v>
      </c>
      <c r="U41" s="3186" t="s">
        <v>3402</v>
      </c>
      <c r="V41" s="3186" t="s">
        <v>3746</v>
      </c>
      <c r="W41" s="3186">
        <v>7</v>
      </c>
      <c r="X41" s="3186">
        <v>33029</v>
      </c>
      <c r="Y41" s="3186">
        <v>33058</v>
      </c>
      <c r="Z41" s="3186">
        <v>3072741</v>
      </c>
      <c r="AA41" s="3187">
        <v>45609</v>
      </c>
      <c r="AD41" s="3188">
        <v>26</v>
      </c>
      <c r="AE41" s="3188" t="s">
        <v>3934</v>
      </c>
      <c r="AF41" s="3188" t="s">
        <v>3911</v>
      </c>
      <c r="AG41" s="3188" t="s">
        <v>3490</v>
      </c>
      <c r="AH41" s="3188">
        <v>89.87</v>
      </c>
      <c r="AI41" s="3188" t="s">
        <v>3402</v>
      </c>
      <c r="AJ41" s="3188" t="s">
        <v>3929</v>
      </c>
      <c r="AK41" s="3188">
        <v>7</v>
      </c>
      <c r="AL41" s="3188">
        <v>2013</v>
      </c>
      <c r="AM41" s="3188">
        <v>33827</v>
      </c>
      <c r="AN41" s="3188">
        <v>34105</v>
      </c>
      <c r="AO41" s="3188">
        <v>3065016</v>
      </c>
      <c r="AP41" s="3189">
        <v>45741</v>
      </c>
      <c r="AS41" s="3188">
        <v>28</v>
      </c>
      <c r="AT41" s="3188" t="s">
        <v>4083</v>
      </c>
      <c r="AU41" s="3188" t="s">
        <v>3506</v>
      </c>
      <c r="AV41" s="3188" t="s">
        <v>3490</v>
      </c>
      <c r="AW41" s="3188">
        <v>128.15</v>
      </c>
      <c r="AX41" s="3188" t="s">
        <v>3402</v>
      </c>
      <c r="AY41" s="3188" t="s">
        <v>3797</v>
      </c>
      <c r="AZ41" s="3188">
        <v>5</v>
      </c>
      <c r="BA41" s="3188">
        <v>2014</v>
      </c>
      <c r="BB41" s="3188">
        <v>41436</v>
      </c>
      <c r="BC41" s="3188">
        <v>39802</v>
      </c>
      <c r="BD41" s="3188">
        <v>5100626</v>
      </c>
      <c r="BE41" s="3189">
        <v>43958</v>
      </c>
    </row>
    <row r="42" spans="1:57" ht="60.75" hidden="1" thickBot="1">
      <c r="P42" s="3188">
        <v>34</v>
      </c>
      <c r="Q42" s="3188" t="s">
        <v>3775</v>
      </c>
      <c r="R42" s="3188" t="s">
        <v>3724</v>
      </c>
      <c r="S42" s="3188" t="s">
        <v>3490</v>
      </c>
      <c r="T42" s="3188">
        <v>91.91</v>
      </c>
      <c r="U42" s="3188" t="s">
        <v>3402</v>
      </c>
      <c r="V42" s="3188" t="s">
        <v>3752</v>
      </c>
      <c r="W42" s="3188">
        <v>4</v>
      </c>
      <c r="X42" s="3188">
        <v>29159</v>
      </c>
      <c r="Y42" s="3188">
        <v>29770</v>
      </c>
      <c r="Z42" s="3188">
        <v>2736161</v>
      </c>
      <c r="AA42" s="3189">
        <v>45603</v>
      </c>
      <c r="AD42" s="3188">
        <v>28</v>
      </c>
      <c r="AE42" s="3188" t="s">
        <v>3935</v>
      </c>
      <c r="AF42" s="3188" t="s">
        <v>3903</v>
      </c>
      <c r="AG42" s="3188" t="s">
        <v>3490</v>
      </c>
      <c r="AH42" s="3188">
        <v>83.96</v>
      </c>
      <c r="AI42" s="3188" t="s">
        <v>3402</v>
      </c>
      <c r="AJ42" s="3188" t="s">
        <v>3904</v>
      </c>
      <c r="AK42" s="3188">
        <v>6</v>
      </c>
      <c r="AL42" s="3188" t="s">
        <v>633</v>
      </c>
      <c r="AM42" s="3188">
        <v>33111</v>
      </c>
      <c r="AN42" s="3188">
        <v>33577</v>
      </c>
      <c r="AO42" s="3188">
        <v>2819125</v>
      </c>
      <c r="AP42" s="3189">
        <v>45727</v>
      </c>
      <c r="AS42" s="3186">
        <v>29</v>
      </c>
      <c r="AT42" s="3186" t="s">
        <v>4084</v>
      </c>
      <c r="AU42" s="3186" t="s">
        <v>3506</v>
      </c>
      <c r="AV42" s="3186" t="s">
        <v>3490</v>
      </c>
      <c r="AW42" s="3186">
        <v>175.47</v>
      </c>
      <c r="AX42" s="3186" t="s">
        <v>3402</v>
      </c>
      <c r="AY42" s="3186" t="s">
        <v>4081</v>
      </c>
      <c r="AZ42" s="3186">
        <v>6</v>
      </c>
      <c r="BA42" s="3186">
        <v>2014</v>
      </c>
      <c r="BB42" s="3186">
        <v>41033</v>
      </c>
      <c r="BC42" s="3186">
        <v>38996</v>
      </c>
      <c r="BD42" s="3186">
        <v>6842628</v>
      </c>
      <c r="BE42" s="3187">
        <v>43948</v>
      </c>
    </row>
    <row r="43" spans="1:57" ht="60.75" hidden="1" thickBot="1">
      <c r="P43" s="3186">
        <v>35</v>
      </c>
      <c r="Q43" s="3186" t="s">
        <v>3776</v>
      </c>
      <c r="R43" s="3186" t="s">
        <v>3724</v>
      </c>
      <c r="S43" s="3186" t="s">
        <v>3490</v>
      </c>
      <c r="T43" s="3186">
        <v>62.35</v>
      </c>
      <c r="U43" s="3186" t="s">
        <v>3402</v>
      </c>
      <c r="V43" s="3186" t="s">
        <v>3748</v>
      </c>
      <c r="W43" s="3186">
        <v>2</v>
      </c>
      <c r="X43" s="3186">
        <v>30794</v>
      </c>
      <c r="Y43" s="3186">
        <v>30970</v>
      </c>
      <c r="Z43" s="3186">
        <v>1930980</v>
      </c>
      <c r="AA43" s="3187">
        <v>45577</v>
      </c>
      <c r="AD43" s="3186">
        <v>29</v>
      </c>
      <c r="AE43" s="3186" t="s">
        <v>3936</v>
      </c>
      <c r="AF43" s="3186" t="s">
        <v>3908</v>
      </c>
      <c r="AG43" s="3186" t="s">
        <v>3490</v>
      </c>
      <c r="AH43" s="3186">
        <v>89.47</v>
      </c>
      <c r="AI43" s="3186" t="s">
        <v>3402</v>
      </c>
      <c r="AJ43" s="3186" t="s">
        <v>3937</v>
      </c>
      <c r="AK43" s="3186">
        <v>9</v>
      </c>
      <c r="AL43" s="3186">
        <v>2013</v>
      </c>
      <c r="AM43" s="3186">
        <v>39007</v>
      </c>
      <c r="AN43" s="3186">
        <v>39124</v>
      </c>
      <c r="AO43" s="3186">
        <v>3500424</v>
      </c>
      <c r="AP43" s="3187">
        <v>45720</v>
      </c>
      <c r="AS43" s="3188">
        <v>30</v>
      </c>
      <c r="AT43" s="3188" t="s">
        <v>4085</v>
      </c>
      <c r="AU43" s="3188" t="s">
        <v>3506</v>
      </c>
      <c r="AV43" s="3188" t="s">
        <v>3490</v>
      </c>
      <c r="AW43" s="3188">
        <v>128.15</v>
      </c>
      <c r="AX43" s="3188" t="s">
        <v>3402</v>
      </c>
      <c r="AY43" s="3188" t="s">
        <v>3797</v>
      </c>
      <c r="AZ43" s="3188">
        <v>5</v>
      </c>
      <c r="BA43" s="3188">
        <v>2014</v>
      </c>
      <c r="BB43" s="3188">
        <v>40343</v>
      </c>
      <c r="BC43" s="3188">
        <v>38264</v>
      </c>
      <c r="BD43" s="3188">
        <v>4903532</v>
      </c>
      <c r="BE43" s="3189">
        <v>43804</v>
      </c>
    </row>
    <row r="44" spans="1:57" ht="60.75" hidden="1" thickBot="1">
      <c r="P44" s="3188">
        <v>36</v>
      </c>
      <c r="Q44" s="3188" t="s">
        <v>3777</v>
      </c>
      <c r="R44" s="3188" t="s">
        <v>3724</v>
      </c>
      <c r="S44" s="3188" t="s">
        <v>3490</v>
      </c>
      <c r="T44" s="3188">
        <v>88.74</v>
      </c>
      <c r="U44" s="3188" t="s">
        <v>3402</v>
      </c>
      <c r="V44" s="3188">
        <v>28</v>
      </c>
      <c r="W44" s="3188">
        <v>10</v>
      </c>
      <c r="X44" s="3188">
        <v>30065</v>
      </c>
      <c r="Y44" s="3188">
        <v>30697</v>
      </c>
      <c r="Z44" s="3188">
        <v>2724052</v>
      </c>
      <c r="AA44" s="3189">
        <v>45576</v>
      </c>
      <c r="AD44" s="3188">
        <v>30</v>
      </c>
      <c r="AE44" s="3188" t="s">
        <v>3938</v>
      </c>
      <c r="AF44" s="3188" t="s">
        <v>3911</v>
      </c>
      <c r="AG44" s="3188" t="s">
        <v>3490</v>
      </c>
      <c r="AH44" s="3188">
        <v>119.49</v>
      </c>
      <c r="AI44" s="3188" t="s">
        <v>3402</v>
      </c>
      <c r="AJ44" s="3188" t="s">
        <v>3914</v>
      </c>
      <c r="AK44" s="3188">
        <v>17</v>
      </c>
      <c r="AL44" s="3188">
        <v>2013</v>
      </c>
      <c r="AM44" s="3188">
        <v>38079</v>
      </c>
      <c r="AN44" s="3188">
        <v>38369</v>
      </c>
      <c r="AO44" s="3188">
        <v>4584712</v>
      </c>
      <c r="AP44" s="3189">
        <v>45710</v>
      </c>
      <c r="AS44" s="3186">
        <v>31</v>
      </c>
      <c r="AT44" s="3186" t="s">
        <v>4086</v>
      </c>
      <c r="AU44" s="3186" t="s">
        <v>3506</v>
      </c>
      <c r="AV44" s="3186" t="s">
        <v>3490</v>
      </c>
      <c r="AW44" s="3186">
        <v>173.1</v>
      </c>
      <c r="AX44" s="3186" t="s">
        <v>3402</v>
      </c>
      <c r="AY44" s="3186" t="s">
        <v>4066</v>
      </c>
      <c r="AZ44" s="3186">
        <v>6</v>
      </c>
      <c r="BA44" s="3186" t="s">
        <v>633</v>
      </c>
      <c r="BB44" s="3186">
        <v>41999</v>
      </c>
      <c r="BC44" s="3186">
        <v>35528</v>
      </c>
      <c r="BD44" s="3186">
        <v>6149897</v>
      </c>
      <c r="BE44" s="3187">
        <v>43777</v>
      </c>
    </row>
    <row r="45" spans="1:57" ht="60.75" hidden="1" thickBot="1">
      <c r="P45" s="3186">
        <v>37</v>
      </c>
      <c r="Q45" s="3186" t="s">
        <v>3778</v>
      </c>
      <c r="R45" s="3186" t="s">
        <v>3724</v>
      </c>
      <c r="S45" s="3186" t="s">
        <v>3490</v>
      </c>
      <c r="T45" s="3186">
        <v>87</v>
      </c>
      <c r="U45" s="3186" t="s">
        <v>3402</v>
      </c>
      <c r="V45" s="3186" t="s">
        <v>3779</v>
      </c>
      <c r="W45" s="3186">
        <v>1</v>
      </c>
      <c r="X45" s="3186">
        <v>30345</v>
      </c>
      <c r="Y45" s="3186">
        <v>30453</v>
      </c>
      <c r="Z45" s="3186">
        <v>2649411</v>
      </c>
      <c r="AA45" s="3187">
        <v>45574</v>
      </c>
      <c r="AD45" s="3186">
        <v>31</v>
      </c>
      <c r="AE45" s="3186" t="s">
        <v>3939</v>
      </c>
      <c r="AF45" s="3186" t="s">
        <v>3911</v>
      </c>
      <c r="AG45" s="3186" t="s">
        <v>3490</v>
      </c>
      <c r="AH45" s="3186">
        <v>89.35</v>
      </c>
      <c r="AI45" s="3186" t="s">
        <v>3402</v>
      </c>
      <c r="AJ45" s="3186" t="s">
        <v>3914</v>
      </c>
      <c r="AK45" s="3186">
        <v>9</v>
      </c>
      <c r="AL45" s="3186" t="s">
        <v>633</v>
      </c>
      <c r="AM45" s="3186">
        <v>38612</v>
      </c>
      <c r="AN45" s="3186">
        <v>38647</v>
      </c>
      <c r="AO45" s="3186">
        <v>3453109</v>
      </c>
      <c r="AP45" s="3187">
        <v>45697</v>
      </c>
      <c r="AS45" s="3188">
        <v>32</v>
      </c>
      <c r="AT45" s="3188" t="s">
        <v>4087</v>
      </c>
      <c r="AU45" s="3188" t="s">
        <v>3506</v>
      </c>
      <c r="AV45" s="3188" t="s">
        <v>3490</v>
      </c>
      <c r="AW45" s="3188">
        <v>109.79</v>
      </c>
      <c r="AX45" s="3188" t="s">
        <v>3402</v>
      </c>
      <c r="AY45" s="3188" t="s">
        <v>3797</v>
      </c>
      <c r="AZ45" s="3188">
        <v>5</v>
      </c>
      <c r="BA45" s="3188" t="s">
        <v>633</v>
      </c>
      <c r="BB45" s="3188">
        <v>44448</v>
      </c>
      <c r="BC45" s="3188">
        <v>41912</v>
      </c>
      <c r="BD45" s="3188">
        <v>4601518</v>
      </c>
      <c r="BE45" s="3189">
        <v>43582</v>
      </c>
    </row>
    <row r="46" spans="1:57" ht="60.75" hidden="1" thickBot="1">
      <c r="P46" s="3188">
        <v>38</v>
      </c>
      <c r="Q46" s="3188" t="s">
        <v>3780</v>
      </c>
      <c r="R46" s="3188" t="s">
        <v>3724</v>
      </c>
      <c r="S46" s="3188" t="s">
        <v>3490</v>
      </c>
      <c r="T46" s="3188">
        <v>127.68</v>
      </c>
      <c r="U46" s="3188" t="s">
        <v>3402</v>
      </c>
      <c r="V46" s="3188">
        <v>14</v>
      </c>
      <c r="W46" s="3188">
        <v>11</v>
      </c>
      <c r="X46" s="3188">
        <v>33952</v>
      </c>
      <c r="Y46" s="3188">
        <v>34639</v>
      </c>
      <c r="Z46" s="3188">
        <v>4422708</v>
      </c>
      <c r="AA46" s="3189">
        <v>45574</v>
      </c>
      <c r="AD46" s="3188">
        <v>32</v>
      </c>
      <c r="AE46" s="3188" t="s">
        <v>3940</v>
      </c>
      <c r="AF46" s="3188" t="s">
        <v>3903</v>
      </c>
      <c r="AG46" s="3188" t="s">
        <v>3490</v>
      </c>
      <c r="AH46" s="3188">
        <v>85.16</v>
      </c>
      <c r="AI46" s="3188" t="s">
        <v>3402</v>
      </c>
      <c r="AJ46" s="3188" t="s">
        <v>3921</v>
      </c>
      <c r="AK46" s="3188">
        <v>17</v>
      </c>
      <c r="AL46" s="3188" t="s">
        <v>633</v>
      </c>
      <c r="AM46" s="3188">
        <v>35169</v>
      </c>
      <c r="AN46" s="3188">
        <v>35584</v>
      </c>
      <c r="AO46" s="3188">
        <v>3030333</v>
      </c>
      <c r="AP46" s="3189">
        <v>45668</v>
      </c>
      <c r="AS46" s="3186">
        <v>33</v>
      </c>
      <c r="AT46" s="3186" t="s">
        <v>4088</v>
      </c>
      <c r="AU46" s="3186" t="s">
        <v>3506</v>
      </c>
      <c r="AV46" s="3186" t="s">
        <v>3490</v>
      </c>
      <c r="AW46" s="3186">
        <v>117.84</v>
      </c>
      <c r="AX46" s="3186" t="s">
        <v>3402</v>
      </c>
      <c r="AY46" s="3186" t="s">
        <v>4072</v>
      </c>
      <c r="AZ46" s="3186">
        <v>3</v>
      </c>
      <c r="BA46" s="3186">
        <v>2014</v>
      </c>
      <c r="BB46" s="3186">
        <v>44807</v>
      </c>
      <c r="BC46" s="3186">
        <v>39908</v>
      </c>
      <c r="BD46" s="3186">
        <v>4702759</v>
      </c>
      <c r="BE46" s="3187">
        <v>43574</v>
      </c>
    </row>
    <row r="47" spans="1:57" ht="60.75" hidden="1" thickBot="1">
      <c r="P47" s="3186">
        <v>39</v>
      </c>
      <c r="Q47" s="3186" t="s">
        <v>3781</v>
      </c>
      <c r="R47" s="3186" t="s">
        <v>3724</v>
      </c>
      <c r="S47" s="3186" t="s">
        <v>3490</v>
      </c>
      <c r="T47" s="3186">
        <v>124.41</v>
      </c>
      <c r="U47" s="3186" t="s">
        <v>3402</v>
      </c>
      <c r="V47" s="3186" t="s">
        <v>3782</v>
      </c>
      <c r="W47" s="3186">
        <v>2</v>
      </c>
      <c r="X47" s="3186">
        <v>34563</v>
      </c>
      <c r="Y47" s="3186">
        <v>34891</v>
      </c>
      <c r="Z47" s="3186">
        <v>4340789</v>
      </c>
      <c r="AA47" s="3187">
        <v>45562</v>
      </c>
      <c r="AD47" s="3186">
        <v>33</v>
      </c>
      <c r="AE47" s="3186" t="s">
        <v>3941</v>
      </c>
      <c r="AF47" s="3186" t="s">
        <v>3908</v>
      </c>
      <c r="AG47" s="3186" t="s">
        <v>3490</v>
      </c>
      <c r="AH47" s="3186">
        <v>119.49</v>
      </c>
      <c r="AI47" s="3186" t="s">
        <v>3402</v>
      </c>
      <c r="AJ47" s="3186" t="s">
        <v>3942</v>
      </c>
      <c r="AK47" s="3186">
        <v>19</v>
      </c>
      <c r="AL47" s="3186" t="s">
        <v>633</v>
      </c>
      <c r="AM47" s="3186">
        <v>37660</v>
      </c>
      <c r="AN47" s="3186">
        <v>38128</v>
      </c>
      <c r="AO47" s="3186">
        <v>4555915</v>
      </c>
      <c r="AP47" s="3187">
        <v>45661</v>
      </c>
      <c r="AS47" s="3188">
        <v>34</v>
      </c>
      <c r="AT47" s="3188" t="s">
        <v>4089</v>
      </c>
      <c r="AU47" s="3188" t="s">
        <v>3506</v>
      </c>
      <c r="AV47" s="3188" t="s">
        <v>3490</v>
      </c>
      <c r="AW47" s="3188">
        <v>128.15</v>
      </c>
      <c r="AX47" s="3188" t="s">
        <v>3402</v>
      </c>
      <c r="AY47" s="3188" t="s">
        <v>3797</v>
      </c>
      <c r="AZ47" s="3188">
        <v>7</v>
      </c>
      <c r="BA47" s="3188">
        <v>2014</v>
      </c>
      <c r="BB47" s="3188">
        <v>44776</v>
      </c>
      <c r="BC47" s="3188">
        <v>39172</v>
      </c>
      <c r="BD47" s="3188">
        <v>5019892</v>
      </c>
      <c r="BE47" s="3189">
        <v>43480</v>
      </c>
    </row>
    <row r="48" spans="1:57" ht="60.75" hidden="1" thickBot="1">
      <c r="P48" s="3188">
        <v>40</v>
      </c>
      <c r="Q48" s="3188" t="s">
        <v>3783</v>
      </c>
      <c r="R48" s="3188" t="s">
        <v>3724</v>
      </c>
      <c r="S48" s="3188" t="s">
        <v>3490</v>
      </c>
      <c r="T48" s="3188">
        <v>127.89</v>
      </c>
      <c r="U48" s="3188" t="s">
        <v>3402</v>
      </c>
      <c r="V48" s="3188">
        <v>14</v>
      </c>
      <c r="W48" s="3188">
        <v>6</v>
      </c>
      <c r="X48" s="3188">
        <v>38158</v>
      </c>
      <c r="Y48" s="3188">
        <v>38353</v>
      </c>
      <c r="Z48" s="3188">
        <v>4904965</v>
      </c>
      <c r="AA48" s="3189">
        <v>45553</v>
      </c>
      <c r="AD48" s="3188">
        <v>34</v>
      </c>
      <c r="AE48" s="3188" t="s">
        <v>3943</v>
      </c>
      <c r="AF48" s="3188" t="s">
        <v>3903</v>
      </c>
      <c r="AG48" s="3188" t="s">
        <v>3490</v>
      </c>
      <c r="AH48" s="3188">
        <v>83.96</v>
      </c>
      <c r="AI48" s="3188" t="s">
        <v>3402</v>
      </c>
      <c r="AJ48" s="3188" t="s">
        <v>3914</v>
      </c>
      <c r="AK48" s="3188">
        <v>22</v>
      </c>
      <c r="AL48" s="3188" t="s">
        <v>633</v>
      </c>
      <c r="AM48" s="3188">
        <v>33349</v>
      </c>
      <c r="AN48" s="3188">
        <v>33804</v>
      </c>
      <c r="AO48" s="3188">
        <v>2838184</v>
      </c>
      <c r="AP48" s="3189">
        <v>45659</v>
      </c>
      <c r="AS48" s="3186">
        <v>35</v>
      </c>
      <c r="AT48" s="3186" t="s">
        <v>4090</v>
      </c>
      <c r="AU48" s="3186" t="s">
        <v>3506</v>
      </c>
      <c r="AV48" s="3186" t="s">
        <v>3490</v>
      </c>
      <c r="AW48" s="3186">
        <v>128.15</v>
      </c>
      <c r="AX48" s="3186" t="s">
        <v>3402</v>
      </c>
      <c r="AY48" s="3186" t="s">
        <v>3797</v>
      </c>
      <c r="AZ48" s="3186">
        <v>7</v>
      </c>
      <c r="BA48" s="3186">
        <v>2014</v>
      </c>
      <c r="BB48" s="3186">
        <v>48771</v>
      </c>
      <c r="BC48" s="3186">
        <v>40454</v>
      </c>
      <c r="BD48" s="3186">
        <v>5184180</v>
      </c>
      <c r="BE48" s="3187">
        <v>43048</v>
      </c>
    </row>
    <row r="49" spans="16:42" ht="60.75" hidden="1" thickBot="1">
      <c r="P49" s="3188">
        <v>42</v>
      </c>
      <c r="Q49" s="3188" t="s">
        <v>3785</v>
      </c>
      <c r="R49" s="3188" t="s">
        <v>3724</v>
      </c>
      <c r="S49" s="3188" t="s">
        <v>3490</v>
      </c>
      <c r="T49" s="3188">
        <v>83.05</v>
      </c>
      <c r="U49" s="3188" t="s">
        <v>3402</v>
      </c>
      <c r="V49" s="3188" t="s">
        <v>3786</v>
      </c>
      <c r="W49" s="3188">
        <v>2</v>
      </c>
      <c r="X49" s="3188">
        <v>37688</v>
      </c>
      <c r="Y49" s="3188">
        <v>37802</v>
      </c>
      <c r="Z49" s="3188">
        <v>3139456</v>
      </c>
      <c r="AA49" s="3189">
        <v>45528</v>
      </c>
      <c r="AD49" s="3186">
        <v>35</v>
      </c>
      <c r="AE49" s="3186" t="s">
        <v>3944</v>
      </c>
      <c r="AF49" s="3186" t="s">
        <v>3903</v>
      </c>
      <c r="AG49" s="3186" t="s">
        <v>3490</v>
      </c>
      <c r="AH49" s="3186">
        <v>87.43</v>
      </c>
      <c r="AI49" s="3186" t="s">
        <v>3402</v>
      </c>
      <c r="AJ49" s="3186" t="s">
        <v>3945</v>
      </c>
      <c r="AK49" s="3186">
        <v>11</v>
      </c>
      <c r="AL49" s="3186" t="s">
        <v>633</v>
      </c>
      <c r="AM49" s="3186">
        <v>33284</v>
      </c>
      <c r="AN49" s="3186">
        <v>33976</v>
      </c>
      <c r="AO49" s="3186">
        <v>2970522</v>
      </c>
      <c r="AP49" s="3187">
        <v>45652</v>
      </c>
    </row>
    <row r="50" spans="16:42" ht="60.75" hidden="1" thickBot="1">
      <c r="P50" s="3186">
        <v>43</v>
      </c>
      <c r="Q50" s="3186" t="s">
        <v>3787</v>
      </c>
      <c r="R50" s="3186" t="s">
        <v>3724</v>
      </c>
      <c r="S50" s="3186" t="s">
        <v>3490</v>
      </c>
      <c r="T50" s="3186">
        <v>88.83</v>
      </c>
      <c r="U50" s="3186" t="s">
        <v>3402</v>
      </c>
      <c r="V50" s="3186" t="s">
        <v>3746</v>
      </c>
      <c r="W50" s="3186">
        <v>14</v>
      </c>
      <c r="X50" s="3186">
        <v>35236</v>
      </c>
      <c r="Y50" s="3186">
        <v>35553</v>
      </c>
      <c r="Z50" s="3186">
        <v>3158173</v>
      </c>
      <c r="AA50" s="3187">
        <v>45524</v>
      </c>
      <c r="AD50" s="3188">
        <v>36</v>
      </c>
      <c r="AE50" s="3188" t="s">
        <v>3946</v>
      </c>
      <c r="AF50" s="3188" t="s">
        <v>3908</v>
      </c>
      <c r="AG50" s="3188" t="s">
        <v>3490</v>
      </c>
      <c r="AH50" s="3188">
        <v>89.05</v>
      </c>
      <c r="AI50" s="3188" t="s">
        <v>3402</v>
      </c>
      <c r="AJ50" s="3188" t="s">
        <v>3937</v>
      </c>
      <c r="AK50" s="3188">
        <v>12</v>
      </c>
      <c r="AL50" s="3188" t="s">
        <v>633</v>
      </c>
      <c r="AM50" s="3188">
        <v>39865</v>
      </c>
      <c r="AN50" s="3188">
        <v>40027</v>
      </c>
      <c r="AO50" s="3188">
        <v>3564404</v>
      </c>
      <c r="AP50" s="3189">
        <v>45625</v>
      </c>
    </row>
    <row r="51" spans="16:42" ht="60.75" hidden="1" thickBot="1">
      <c r="P51" s="3188">
        <v>44</v>
      </c>
      <c r="Q51" s="3188" t="s">
        <v>3788</v>
      </c>
      <c r="R51" s="3188" t="s">
        <v>3724</v>
      </c>
      <c r="S51" s="3188" t="s">
        <v>3490</v>
      </c>
      <c r="T51" s="3188">
        <v>87.11</v>
      </c>
      <c r="U51" s="3188" t="s">
        <v>3402</v>
      </c>
      <c r="V51" s="3188" t="s">
        <v>3752</v>
      </c>
      <c r="W51" s="3188">
        <v>14</v>
      </c>
      <c r="X51" s="3188">
        <v>35071</v>
      </c>
      <c r="Y51" s="3188">
        <v>35268</v>
      </c>
      <c r="Z51" s="3188">
        <v>3072195</v>
      </c>
      <c r="AA51" s="3189">
        <v>45517</v>
      </c>
      <c r="AD51" s="3186">
        <v>37</v>
      </c>
      <c r="AE51" s="3186" t="s">
        <v>3947</v>
      </c>
      <c r="AF51" s="3186" t="s">
        <v>3911</v>
      </c>
      <c r="AG51" s="3186" t="s">
        <v>3490</v>
      </c>
      <c r="AH51" s="3186">
        <v>83.56</v>
      </c>
      <c r="AI51" s="3186" t="s">
        <v>3402</v>
      </c>
      <c r="AJ51" s="3186" t="s">
        <v>3914</v>
      </c>
      <c r="AK51" s="3186">
        <v>18</v>
      </c>
      <c r="AL51" s="3186">
        <v>2013</v>
      </c>
      <c r="AM51" s="3186">
        <v>33748</v>
      </c>
      <c r="AN51" s="3186">
        <v>33779</v>
      </c>
      <c r="AO51" s="3186">
        <v>2822573</v>
      </c>
      <c r="AP51" s="3187">
        <v>45609</v>
      </c>
    </row>
    <row r="52" spans="16:42" ht="60.75" hidden="1" thickBot="1">
      <c r="P52" s="3186">
        <v>45</v>
      </c>
      <c r="Q52" s="3186" t="s">
        <v>3789</v>
      </c>
      <c r="R52" s="3186" t="s">
        <v>3724</v>
      </c>
      <c r="S52" s="3186" t="s">
        <v>3490</v>
      </c>
      <c r="T52" s="3186">
        <v>91.92</v>
      </c>
      <c r="U52" s="3186" t="s">
        <v>3402</v>
      </c>
      <c r="V52" s="3186">
        <v>29</v>
      </c>
      <c r="W52" s="3186">
        <v>8</v>
      </c>
      <c r="X52" s="3186">
        <v>33943</v>
      </c>
      <c r="Y52" s="3186">
        <v>34318</v>
      </c>
      <c r="Z52" s="3186">
        <v>3154511</v>
      </c>
      <c r="AA52" s="3187">
        <v>45514</v>
      </c>
      <c r="AD52" s="3188">
        <v>38</v>
      </c>
      <c r="AE52" s="3188" t="s">
        <v>3948</v>
      </c>
      <c r="AF52" s="3188" t="s">
        <v>3911</v>
      </c>
      <c r="AG52" s="3188" t="s">
        <v>3490</v>
      </c>
      <c r="AH52" s="3188">
        <v>89.45</v>
      </c>
      <c r="AI52" s="3188" t="s">
        <v>3402</v>
      </c>
      <c r="AJ52" s="3188" t="s">
        <v>3530</v>
      </c>
      <c r="AK52" s="3188">
        <v>17</v>
      </c>
      <c r="AL52" s="3188" t="s">
        <v>633</v>
      </c>
      <c r="AM52" s="3188">
        <v>38345</v>
      </c>
      <c r="AN52" s="3188">
        <v>38435</v>
      </c>
      <c r="AO52" s="3188">
        <v>3438011</v>
      </c>
      <c r="AP52" s="3189">
        <v>45609</v>
      </c>
    </row>
    <row r="53" spans="16:42" ht="60.75" hidden="1" thickBot="1">
      <c r="P53" s="3186">
        <v>47</v>
      </c>
      <c r="Q53" s="3186" t="s">
        <v>3791</v>
      </c>
      <c r="R53" s="3186" t="s">
        <v>3724</v>
      </c>
      <c r="S53" s="3186" t="s">
        <v>3490</v>
      </c>
      <c r="T53" s="3186">
        <v>87.11</v>
      </c>
      <c r="U53" s="3186" t="s">
        <v>3402</v>
      </c>
      <c r="V53" s="3186" t="s">
        <v>3752</v>
      </c>
      <c r="W53" s="3186">
        <v>21</v>
      </c>
      <c r="X53" s="3186">
        <v>35358</v>
      </c>
      <c r="Y53" s="3186">
        <v>35376</v>
      </c>
      <c r="Z53" s="3186">
        <v>3081603</v>
      </c>
      <c r="AA53" s="3187">
        <v>45511</v>
      </c>
      <c r="AD53" s="3186">
        <v>39</v>
      </c>
      <c r="AE53" s="3186" t="s">
        <v>3949</v>
      </c>
      <c r="AF53" s="3186" t="s">
        <v>3911</v>
      </c>
      <c r="AG53" s="3186" t="s">
        <v>3490</v>
      </c>
      <c r="AH53" s="3186">
        <v>89.87</v>
      </c>
      <c r="AI53" s="3186" t="s">
        <v>3402</v>
      </c>
      <c r="AJ53" s="3186" t="s">
        <v>3530</v>
      </c>
      <c r="AK53" s="3186">
        <v>9</v>
      </c>
      <c r="AL53" s="3186" t="s">
        <v>633</v>
      </c>
      <c r="AM53" s="3186">
        <v>37666</v>
      </c>
      <c r="AN53" s="3186">
        <v>37832</v>
      </c>
      <c r="AO53" s="3186">
        <v>3399962</v>
      </c>
      <c r="AP53" s="3187">
        <v>45604</v>
      </c>
    </row>
    <row r="54" spans="16:42" ht="60.75" hidden="1" thickBot="1">
      <c r="P54" s="3188">
        <v>48</v>
      </c>
      <c r="Q54" s="3188" t="s">
        <v>3792</v>
      </c>
      <c r="R54" s="3188" t="s">
        <v>3724</v>
      </c>
      <c r="S54" s="3188" t="s">
        <v>3490</v>
      </c>
      <c r="T54" s="3188">
        <v>119.21</v>
      </c>
      <c r="U54" s="3188" t="s">
        <v>3402</v>
      </c>
      <c r="V54" s="3188" t="s">
        <v>3768</v>
      </c>
      <c r="W54" s="3188">
        <v>1</v>
      </c>
      <c r="X54" s="3188">
        <v>35064</v>
      </c>
      <c r="Y54" s="3188">
        <v>35159</v>
      </c>
      <c r="Z54" s="3188">
        <v>4191304</v>
      </c>
      <c r="AA54" s="3189">
        <v>45514</v>
      </c>
      <c r="AD54" s="3188">
        <v>40</v>
      </c>
      <c r="AE54" s="3188" t="s">
        <v>3950</v>
      </c>
      <c r="AF54" s="3188" t="s">
        <v>3911</v>
      </c>
      <c r="AG54" s="3188" t="s">
        <v>3490</v>
      </c>
      <c r="AH54" s="3188">
        <v>89.35</v>
      </c>
      <c r="AI54" s="3188" t="s">
        <v>3402</v>
      </c>
      <c r="AJ54" s="3188" t="s">
        <v>3904</v>
      </c>
      <c r="AK54" s="3188">
        <v>13</v>
      </c>
      <c r="AL54" s="3188" t="s">
        <v>633</v>
      </c>
      <c r="AM54" s="3188">
        <v>35367</v>
      </c>
      <c r="AN54" s="3188">
        <v>35453</v>
      </c>
      <c r="AO54" s="3188">
        <v>3167726</v>
      </c>
      <c r="AP54" s="3189">
        <v>45595</v>
      </c>
    </row>
    <row r="55" spans="16:42" ht="60.75" hidden="1" thickBot="1">
      <c r="P55" s="3186">
        <v>49</v>
      </c>
      <c r="Q55" s="3186" t="s">
        <v>3793</v>
      </c>
      <c r="R55" s="3186" t="s">
        <v>3724</v>
      </c>
      <c r="S55" s="3186" t="s">
        <v>3490</v>
      </c>
      <c r="T55" s="3186">
        <v>91.86</v>
      </c>
      <c r="U55" s="3186" t="s">
        <v>3402</v>
      </c>
      <c r="V55" s="3186" t="s">
        <v>3790</v>
      </c>
      <c r="W55" s="3186">
        <v>24</v>
      </c>
      <c r="X55" s="3186">
        <v>33203</v>
      </c>
      <c r="Y55" s="3186">
        <v>33273</v>
      </c>
      <c r="Z55" s="3186">
        <v>3056458</v>
      </c>
      <c r="AA55" s="3187">
        <v>45503</v>
      </c>
      <c r="AD55" s="3186">
        <v>41</v>
      </c>
      <c r="AE55" s="3186" t="s">
        <v>3951</v>
      </c>
      <c r="AF55" s="3186" t="s">
        <v>3908</v>
      </c>
      <c r="AG55" s="3186" t="s">
        <v>3490</v>
      </c>
      <c r="AH55" s="3186">
        <v>89.68</v>
      </c>
      <c r="AI55" s="3186" t="s">
        <v>3402</v>
      </c>
      <c r="AJ55" s="3186" t="s">
        <v>3952</v>
      </c>
      <c r="AK55" s="3186">
        <v>4</v>
      </c>
      <c r="AL55" s="3186" t="s">
        <v>633</v>
      </c>
      <c r="AM55" s="3186">
        <v>33452</v>
      </c>
      <c r="AN55" s="3186">
        <v>35354</v>
      </c>
      <c r="AO55" s="3186">
        <v>3170547</v>
      </c>
      <c r="AP55" s="3187">
        <v>45594</v>
      </c>
    </row>
    <row r="56" spans="16:42" ht="60.75" hidden="1" thickBot="1">
      <c r="P56" s="3188">
        <v>50</v>
      </c>
      <c r="Q56" s="3188" t="s">
        <v>3794</v>
      </c>
      <c r="R56" s="3188" t="s">
        <v>3724</v>
      </c>
      <c r="S56" s="3188" t="s">
        <v>3490</v>
      </c>
      <c r="T56" s="3188">
        <v>139.96</v>
      </c>
      <c r="U56" s="3188" t="s">
        <v>3402</v>
      </c>
      <c r="V56" s="3188" t="s">
        <v>3759</v>
      </c>
      <c r="W56" s="3188">
        <v>5</v>
      </c>
      <c r="X56" s="3188">
        <v>37868</v>
      </c>
      <c r="Y56" s="3188">
        <v>38153</v>
      </c>
      <c r="Z56" s="3188">
        <v>5339894</v>
      </c>
      <c r="AA56" s="3189">
        <v>45500</v>
      </c>
      <c r="AD56" s="3188">
        <v>42</v>
      </c>
      <c r="AE56" s="3188" t="s">
        <v>3953</v>
      </c>
      <c r="AF56" s="3188" t="s">
        <v>3903</v>
      </c>
      <c r="AG56" s="3188" t="s">
        <v>3490</v>
      </c>
      <c r="AH56" s="3188">
        <v>119.9</v>
      </c>
      <c r="AI56" s="3188" t="s">
        <v>3402</v>
      </c>
      <c r="AJ56" s="3188" t="s">
        <v>3914</v>
      </c>
      <c r="AK56" s="3188">
        <v>20</v>
      </c>
      <c r="AL56" s="3188">
        <v>2013</v>
      </c>
      <c r="AM56" s="3188">
        <v>37531</v>
      </c>
      <c r="AN56" s="3188">
        <v>37902</v>
      </c>
      <c r="AO56" s="3188">
        <v>4544450</v>
      </c>
      <c r="AP56" s="3189">
        <v>45590</v>
      </c>
    </row>
    <row r="57" spans="16:42" ht="60.75" hidden="1" thickBot="1">
      <c r="P57" s="3186">
        <v>51</v>
      </c>
      <c r="Q57" s="3186" t="s">
        <v>3795</v>
      </c>
      <c r="R57" s="3186" t="s">
        <v>3724</v>
      </c>
      <c r="S57" s="3186" t="s">
        <v>3490</v>
      </c>
      <c r="T57" s="3186">
        <v>137.09</v>
      </c>
      <c r="U57" s="3186" t="s">
        <v>3402</v>
      </c>
      <c r="V57" s="3186" t="s">
        <v>3760</v>
      </c>
      <c r="W57" s="3186">
        <v>21</v>
      </c>
      <c r="X57" s="3186">
        <v>38478</v>
      </c>
      <c r="Y57" s="3186">
        <v>38737</v>
      </c>
      <c r="Z57" s="3186">
        <v>5310455</v>
      </c>
      <c r="AA57" s="3187">
        <v>45496</v>
      </c>
      <c r="AD57" s="3186">
        <v>43</v>
      </c>
      <c r="AE57" s="3186" t="s">
        <v>3954</v>
      </c>
      <c r="AF57" s="3186" t="s">
        <v>3911</v>
      </c>
      <c r="AG57" s="3186" t="s">
        <v>3490</v>
      </c>
      <c r="AH57" s="3186">
        <v>83.6</v>
      </c>
      <c r="AI57" s="3186" t="s">
        <v>3402</v>
      </c>
      <c r="AJ57" s="3186" t="s">
        <v>3914</v>
      </c>
      <c r="AK57" s="3186">
        <v>13</v>
      </c>
      <c r="AL57" s="3186">
        <v>2013</v>
      </c>
      <c r="AM57" s="3186">
        <v>33947</v>
      </c>
      <c r="AN57" s="3186">
        <v>34052</v>
      </c>
      <c r="AO57" s="3186">
        <v>2846747</v>
      </c>
      <c r="AP57" s="3187">
        <v>45595</v>
      </c>
    </row>
    <row r="58" spans="16:42" ht="60.75" hidden="1" thickBot="1">
      <c r="P58" s="3188">
        <v>52</v>
      </c>
      <c r="Q58" s="3188" t="s">
        <v>3796</v>
      </c>
      <c r="R58" s="3188" t="s">
        <v>3724</v>
      </c>
      <c r="S58" s="3188" t="s">
        <v>3490</v>
      </c>
      <c r="T58" s="3188">
        <v>87.11</v>
      </c>
      <c r="U58" s="3188" t="s">
        <v>3402</v>
      </c>
      <c r="V58" s="3188" t="s">
        <v>3752</v>
      </c>
      <c r="W58" s="3188">
        <v>20</v>
      </c>
      <c r="X58" s="3188">
        <v>34554</v>
      </c>
      <c r="Y58" s="3188">
        <v>35190</v>
      </c>
      <c r="Z58" s="3188">
        <v>3065401</v>
      </c>
      <c r="AA58" s="3189">
        <v>45493</v>
      </c>
      <c r="AD58" s="3186">
        <v>45</v>
      </c>
      <c r="AE58" s="3186" t="s">
        <v>3955</v>
      </c>
      <c r="AF58" s="3186" t="s">
        <v>3903</v>
      </c>
      <c r="AG58" s="3186" t="s">
        <v>3490</v>
      </c>
      <c r="AH58" s="3186">
        <v>89.35</v>
      </c>
      <c r="AI58" s="3186" t="s">
        <v>3402</v>
      </c>
      <c r="AJ58" s="3186" t="s">
        <v>3921</v>
      </c>
      <c r="AK58" s="3186">
        <v>17</v>
      </c>
      <c r="AL58" s="3186" t="s">
        <v>633</v>
      </c>
      <c r="AM58" s="3186">
        <v>38836</v>
      </c>
      <c r="AN58" s="3186">
        <v>39087</v>
      </c>
      <c r="AO58" s="3186">
        <v>3492423</v>
      </c>
      <c r="AP58" s="3187">
        <v>45560</v>
      </c>
    </row>
    <row r="59" spans="16:42" ht="60.75" hidden="1" thickBot="1">
      <c r="P59" s="3188">
        <v>54</v>
      </c>
      <c r="Q59" s="3188" t="s">
        <v>3798</v>
      </c>
      <c r="R59" s="3188" t="s">
        <v>3724</v>
      </c>
      <c r="S59" s="3188" t="s">
        <v>3490</v>
      </c>
      <c r="T59" s="3188">
        <v>90.27</v>
      </c>
      <c r="U59" s="3188" t="s">
        <v>3402</v>
      </c>
      <c r="V59" s="3188" t="s">
        <v>3779</v>
      </c>
      <c r="W59" s="3188">
        <v>9</v>
      </c>
      <c r="X59" s="3188">
        <v>32791</v>
      </c>
      <c r="Y59" s="3188">
        <v>33540</v>
      </c>
      <c r="Z59" s="3188">
        <v>3027656</v>
      </c>
      <c r="AA59" s="3189">
        <v>45487</v>
      </c>
      <c r="AD59" s="3188">
        <v>46</v>
      </c>
      <c r="AE59" s="3188" t="s">
        <v>3956</v>
      </c>
      <c r="AF59" s="3188" t="s">
        <v>3903</v>
      </c>
      <c r="AG59" s="3188" t="s">
        <v>3490</v>
      </c>
      <c r="AH59" s="3188">
        <v>90.18</v>
      </c>
      <c r="AI59" s="3188" t="s">
        <v>3402</v>
      </c>
      <c r="AJ59" s="3188" t="s">
        <v>3918</v>
      </c>
      <c r="AK59" s="3188">
        <v>20</v>
      </c>
      <c r="AL59" s="3188" t="s">
        <v>633</v>
      </c>
      <c r="AM59" s="3188">
        <v>35485</v>
      </c>
      <c r="AN59" s="3188">
        <v>35549</v>
      </c>
      <c r="AO59" s="3188">
        <v>3205809</v>
      </c>
      <c r="AP59" s="3189">
        <v>45546</v>
      </c>
    </row>
    <row r="60" spans="16:42" ht="60.75" hidden="1" thickBot="1">
      <c r="P60" s="3186">
        <v>55</v>
      </c>
      <c r="Q60" s="3186" t="s">
        <v>3799</v>
      </c>
      <c r="R60" s="3186" t="s">
        <v>3724</v>
      </c>
      <c r="S60" s="3186" t="s">
        <v>3490</v>
      </c>
      <c r="T60" s="3186">
        <v>151.91999999999999</v>
      </c>
      <c r="U60" s="3186" t="s">
        <v>3402</v>
      </c>
      <c r="V60" s="3186" t="s">
        <v>3784</v>
      </c>
      <c r="W60" s="3186">
        <v>2</v>
      </c>
      <c r="X60" s="3186">
        <v>37520</v>
      </c>
      <c r="Y60" s="3186">
        <v>37584</v>
      </c>
      <c r="Z60" s="3186">
        <v>5709761</v>
      </c>
      <c r="AA60" s="3187">
        <v>45475</v>
      </c>
      <c r="AD60" s="3186">
        <v>47</v>
      </c>
      <c r="AE60" s="3186" t="s">
        <v>3957</v>
      </c>
      <c r="AF60" s="3186" t="s">
        <v>3908</v>
      </c>
      <c r="AG60" s="3186" t="s">
        <v>3490</v>
      </c>
      <c r="AH60" s="3186">
        <v>89.46</v>
      </c>
      <c r="AI60" s="3186" t="s">
        <v>3402</v>
      </c>
      <c r="AJ60" s="3186" t="s">
        <v>3918</v>
      </c>
      <c r="AK60" s="3186">
        <v>19</v>
      </c>
      <c r="AL60" s="3186" t="s">
        <v>633</v>
      </c>
      <c r="AM60" s="3186">
        <v>39794</v>
      </c>
      <c r="AN60" s="3186">
        <v>39814</v>
      </c>
      <c r="AO60" s="3186">
        <v>3561760</v>
      </c>
      <c r="AP60" s="3187">
        <v>45485</v>
      </c>
    </row>
    <row r="61" spans="16:42" ht="60.75" hidden="1" thickBot="1">
      <c r="P61" s="3186">
        <v>57</v>
      </c>
      <c r="Q61" s="3186" t="s">
        <v>3801</v>
      </c>
      <c r="R61" s="3186" t="s">
        <v>3724</v>
      </c>
      <c r="S61" s="3186" t="s">
        <v>3490</v>
      </c>
      <c r="T61" s="3186">
        <v>190.54</v>
      </c>
      <c r="U61" s="3186" t="s">
        <v>3402</v>
      </c>
      <c r="V61" s="3186" t="s">
        <v>3765</v>
      </c>
      <c r="W61" s="3186">
        <v>24</v>
      </c>
      <c r="X61" s="3186">
        <v>37420</v>
      </c>
      <c r="Y61" s="3186">
        <v>37661</v>
      </c>
      <c r="Z61" s="3186">
        <v>7175927</v>
      </c>
      <c r="AA61" s="3187">
        <v>45463</v>
      </c>
      <c r="AD61" s="3186">
        <v>49</v>
      </c>
      <c r="AE61" s="3186" t="s">
        <v>3958</v>
      </c>
      <c r="AF61" s="3186" t="s">
        <v>3903</v>
      </c>
      <c r="AG61" s="3186" t="s">
        <v>3490</v>
      </c>
      <c r="AH61" s="3186">
        <v>84.39</v>
      </c>
      <c r="AI61" s="3186" t="s">
        <v>3402</v>
      </c>
      <c r="AJ61" s="3186" t="s">
        <v>3918</v>
      </c>
      <c r="AK61" s="3186">
        <v>22</v>
      </c>
      <c r="AL61" s="3186" t="s">
        <v>633</v>
      </c>
      <c r="AM61" s="3186">
        <v>36142</v>
      </c>
      <c r="AN61" s="3186">
        <v>36145</v>
      </c>
      <c r="AO61" s="3186">
        <v>3050277</v>
      </c>
      <c r="AP61" s="3187">
        <v>45450</v>
      </c>
    </row>
    <row r="62" spans="16:42" ht="60.75" hidden="1" thickBot="1">
      <c r="P62" s="3188">
        <v>58</v>
      </c>
      <c r="Q62" s="3188" t="s">
        <v>3802</v>
      </c>
      <c r="R62" s="3188" t="s">
        <v>3724</v>
      </c>
      <c r="S62" s="3188" t="s">
        <v>3490</v>
      </c>
      <c r="T62" s="3188">
        <v>139.13</v>
      </c>
      <c r="U62" s="3188" t="s">
        <v>3402</v>
      </c>
      <c r="V62" s="3188" t="s">
        <v>3759</v>
      </c>
      <c r="W62" s="3188">
        <v>5</v>
      </c>
      <c r="X62" s="3188">
        <v>37375</v>
      </c>
      <c r="Y62" s="3188">
        <v>37435</v>
      </c>
      <c r="Z62" s="3188">
        <v>5208332</v>
      </c>
      <c r="AA62" s="3189">
        <v>45465</v>
      </c>
      <c r="AD62" s="3188">
        <v>50</v>
      </c>
      <c r="AE62" s="3188" t="s">
        <v>3959</v>
      </c>
      <c r="AF62" s="3188" t="s">
        <v>3908</v>
      </c>
      <c r="AG62" s="3188" t="s">
        <v>3490</v>
      </c>
      <c r="AH62" s="3188">
        <v>89.68</v>
      </c>
      <c r="AI62" s="3188" t="s">
        <v>3402</v>
      </c>
      <c r="AJ62" s="3188" t="s">
        <v>3942</v>
      </c>
      <c r="AK62" s="3188">
        <v>12</v>
      </c>
      <c r="AL62" s="3188" t="s">
        <v>633</v>
      </c>
      <c r="AM62" s="3188">
        <v>36017</v>
      </c>
      <c r="AN62" s="3188">
        <v>36228</v>
      </c>
      <c r="AO62" s="3188">
        <v>3248927</v>
      </c>
      <c r="AP62" s="3189">
        <v>45450</v>
      </c>
    </row>
    <row r="63" spans="16:42" ht="60.75" hidden="1" thickBot="1">
      <c r="P63" s="3186">
        <v>59</v>
      </c>
      <c r="Q63" s="3186" t="s">
        <v>3803</v>
      </c>
      <c r="R63" s="3186" t="s">
        <v>3724</v>
      </c>
      <c r="S63" s="3186" t="s">
        <v>3490</v>
      </c>
      <c r="T63" s="3186">
        <v>137.07</v>
      </c>
      <c r="U63" s="3186" t="s">
        <v>3402</v>
      </c>
      <c r="V63" s="3186" t="s">
        <v>3760</v>
      </c>
      <c r="W63" s="3186">
        <v>13</v>
      </c>
      <c r="X63" s="3186">
        <v>38520</v>
      </c>
      <c r="Y63" s="3186">
        <v>38606</v>
      </c>
      <c r="Z63" s="3186">
        <v>5291724</v>
      </c>
      <c r="AA63" s="3187">
        <v>45461</v>
      </c>
      <c r="AD63" s="3186">
        <v>51</v>
      </c>
      <c r="AE63" s="3186" t="s">
        <v>3960</v>
      </c>
      <c r="AF63" s="3186" t="s">
        <v>3911</v>
      </c>
      <c r="AG63" s="3186" t="s">
        <v>3490</v>
      </c>
      <c r="AH63" s="3186">
        <v>88.83</v>
      </c>
      <c r="AI63" s="3186" t="s">
        <v>3402</v>
      </c>
      <c r="AJ63" s="3186" t="s">
        <v>3961</v>
      </c>
      <c r="AK63" s="3186">
        <v>10</v>
      </c>
      <c r="AL63" s="3186" t="s">
        <v>633</v>
      </c>
      <c r="AM63" s="3186">
        <v>38726</v>
      </c>
      <c r="AN63" s="3186">
        <v>37292</v>
      </c>
      <c r="AO63" s="3186">
        <v>3312648</v>
      </c>
      <c r="AP63" s="3187">
        <v>45389</v>
      </c>
    </row>
    <row r="64" spans="16:42" ht="60.75" hidden="1" thickBot="1">
      <c r="P64" s="3188">
        <v>60</v>
      </c>
      <c r="Q64" s="3188" t="s">
        <v>3804</v>
      </c>
      <c r="R64" s="3188" t="s">
        <v>3724</v>
      </c>
      <c r="S64" s="3188" t="s">
        <v>3490</v>
      </c>
      <c r="T64" s="3188">
        <v>154.94999999999999</v>
      </c>
      <c r="U64" s="3188" t="s">
        <v>3402</v>
      </c>
      <c r="V64" s="3188" t="s">
        <v>3800</v>
      </c>
      <c r="W64" s="3188">
        <v>1</v>
      </c>
      <c r="X64" s="3188">
        <v>32527</v>
      </c>
      <c r="Y64" s="3188">
        <v>33666</v>
      </c>
      <c r="Z64" s="3188">
        <v>5216547</v>
      </c>
      <c r="AA64" s="3189">
        <v>45420</v>
      </c>
      <c r="AD64" s="3188">
        <v>52</v>
      </c>
      <c r="AE64" s="3188" t="s">
        <v>3962</v>
      </c>
      <c r="AF64" s="3188" t="s">
        <v>3927</v>
      </c>
      <c r="AG64" s="3188" t="s">
        <v>3490</v>
      </c>
      <c r="AH64" s="3188">
        <v>89.31</v>
      </c>
      <c r="AI64" s="3188" t="s">
        <v>3402</v>
      </c>
      <c r="AJ64" s="3188" t="s">
        <v>3929</v>
      </c>
      <c r="AK64" s="3188">
        <v>4</v>
      </c>
      <c r="AL64" s="3188">
        <v>2013</v>
      </c>
      <c r="AM64" s="3188">
        <v>42101</v>
      </c>
      <c r="AN64" s="3188">
        <v>40950</v>
      </c>
      <c r="AO64" s="3188">
        <v>3657245</v>
      </c>
      <c r="AP64" s="3189">
        <v>45370</v>
      </c>
    </row>
    <row r="65" spans="16:42" ht="60.75" hidden="1" thickBot="1">
      <c r="P65" s="3186">
        <v>61</v>
      </c>
      <c r="Q65" s="3186" t="s">
        <v>3805</v>
      </c>
      <c r="R65" s="3186" t="s">
        <v>3724</v>
      </c>
      <c r="S65" s="3186" t="s">
        <v>3490</v>
      </c>
      <c r="T65" s="3186">
        <v>114.9</v>
      </c>
      <c r="U65" s="3186" t="s">
        <v>3402</v>
      </c>
      <c r="V65" s="3186" t="s">
        <v>3760</v>
      </c>
      <c r="W65" s="3186">
        <v>1</v>
      </c>
      <c r="X65" s="3186">
        <v>37859</v>
      </c>
      <c r="Y65" s="3186">
        <v>38185</v>
      </c>
      <c r="Z65" s="3186">
        <v>4387457</v>
      </c>
      <c r="AA65" s="3187">
        <v>45406</v>
      </c>
      <c r="AD65" s="3186">
        <v>53</v>
      </c>
      <c r="AE65" s="3186" t="s">
        <v>3963</v>
      </c>
      <c r="AF65" s="3186" t="s">
        <v>3911</v>
      </c>
      <c r="AG65" s="3186" t="s">
        <v>3490</v>
      </c>
      <c r="AH65" s="3186">
        <v>89.1</v>
      </c>
      <c r="AI65" s="3186" t="s">
        <v>3402</v>
      </c>
      <c r="AJ65" s="3186" t="s">
        <v>3931</v>
      </c>
      <c r="AK65" s="3186">
        <v>22</v>
      </c>
      <c r="AL65" s="3186" t="s">
        <v>633</v>
      </c>
      <c r="AM65" s="3186">
        <v>39282</v>
      </c>
      <c r="AN65" s="3186">
        <v>39245</v>
      </c>
      <c r="AO65" s="3186">
        <v>3496730</v>
      </c>
      <c r="AP65" s="3187">
        <v>45314</v>
      </c>
    </row>
    <row r="66" spans="16:42" ht="45.75" hidden="1" thickBot="1">
      <c r="P66" s="3186">
        <v>65</v>
      </c>
      <c r="Q66" s="3186" t="s">
        <v>3806</v>
      </c>
      <c r="R66" s="3186" t="s">
        <v>3724</v>
      </c>
      <c r="S66" s="3186" t="s">
        <v>3490</v>
      </c>
      <c r="T66" s="3186">
        <v>91.76</v>
      </c>
      <c r="U66" s="3186" t="s">
        <v>3402</v>
      </c>
      <c r="V66" s="3186" t="s">
        <v>3790</v>
      </c>
      <c r="W66" s="3186">
        <v>6</v>
      </c>
      <c r="X66" s="3186">
        <v>36944</v>
      </c>
      <c r="Y66" s="3186">
        <v>33915</v>
      </c>
      <c r="Z66" s="3186">
        <v>3112040</v>
      </c>
      <c r="AA66" s="3187">
        <v>45374</v>
      </c>
      <c r="AD66" s="3188">
        <v>54</v>
      </c>
      <c r="AE66" s="3188" t="s">
        <v>3964</v>
      </c>
      <c r="AF66" s="3188" t="s">
        <v>3908</v>
      </c>
      <c r="AG66" s="3188" t="s">
        <v>3490</v>
      </c>
      <c r="AH66" s="3188">
        <v>89.49</v>
      </c>
      <c r="AI66" s="3188" t="s">
        <v>3402</v>
      </c>
      <c r="AJ66" s="3188" t="s">
        <v>3952</v>
      </c>
      <c r="AK66" s="3188">
        <v>4</v>
      </c>
      <c r="AL66" s="3188" t="s">
        <v>633</v>
      </c>
      <c r="AM66" s="3188">
        <v>41569</v>
      </c>
      <c r="AN66" s="3188">
        <v>39690</v>
      </c>
      <c r="AO66" s="3188">
        <v>3551858</v>
      </c>
      <c r="AP66" s="3189">
        <v>45307</v>
      </c>
    </row>
    <row r="67" spans="16:42" ht="60.75" hidden="1" thickBot="1">
      <c r="P67" s="3188">
        <v>66</v>
      </c>
      <c r="Q67" s="3188" t="s">
        <v>3807</v>
      </c>
      <c r="R67" s="3188" t="s">
        <v>3724</v>
      </c>
      <c r="S67" s="3188" t="s">
        <v>3490</v>
      </c>
      <c r="T67" s="3188">
        <v>88.79</v>
      </c>
      <c r="U67" s="3188" t="s">
        <v>3402</v>
      </c>
      <c r="V67" s="3188" t="s">
        <v>3746</v>
      </c>
      <c r="W67" s="3188">
        <v>12</v>
      </c>
      <c r="X67" s="3188">
        <v>38180</v>
      </c>
      <c r="Y67" s="3188">
        <v>35585</v>
      </c>
      <c r="Z67" s="3188">
        <v>3159592</v>
      </c>
      <c r="AA67" s="3189">
        <v>45367</v>
      </c>
      <c r="AD67" s="3186">
        <v>55</v>
      </c>
      <c r="AE67" s="3186" t="s">
        <v>3965</v>
      </c>
      <c r="AF67" s="3186" t="s">
        <v>3908</v>
      </c>
      <c r="AG67" s="3186" t="s">
        <v>3490</v>
      </c>
      <c r="AH67" s="3186">
        <v>89.47</v>
      </c>
      <c r="AI67" s="3186" t="s">
        <v>3402</v>
      </c>
      <c r="AJ67" s="3186" t="s">
        <v>3909</v>
      </c>
      <c r="AK67" s="3186">
        <v>24</v>
      </c>
      <c r="AL67" s="3186" t="s">
        <v>633</v>
      </c>
      <c r="AM67" s="3186">
        <v>42472</v>
      </c>
      <c r="AN67" s="3186">
        <v>41707</v>
      </c>
      <c r="AO67" s="3186">
        <v>3731525</v>
      </c>
      <c r="AP67" s="3187">
        <v>45287</v>
      </c>
    </row>
    <row r="68" spans="16:42" ht="60.75" hidden="1" thickBot="1">
      <c r="P68" s="3186">
        <v>67</v>
      </c>
      <c r="Q68" s="3186" t="s">
        <v>3808</v>
      </c>
      <c r="R68" s="3186" t="s">
        <v>3724</v>
      </c>
      <c r="S68" s="3186" t="s">
        <v>3490</v>
      </c>
      <c r="T68" s="3186">
        <v>92.18</v>
      </c>
      <c r="U68" s="3186" t="s">
        <v>3402</v>
      </c>
      <c r="V68" s="3186" t="s">
        <v>3748</v>
      </c>
      <c r="W68" s="3186">
        <v>26</v>
      </c>
      <c r="X68" s="3186">
        <v>33630</v>
      </c>
      <c r="Y68" s="3186">
        <v>32602</v>
      </c>
      <c r="Z68" s="3186">
        <v>3005252</v>
      </c>
      <c r="AA68" s="3187">
        <v>45344</v>
      </c>
      <c r="AD68" s="3188">
        <v>56</v>
      </c>
      <c r="AE68" s="3188" t="s">
        <v>3966</v>
      </c>
      <c r="AF68" s="3188" t="s">
        <v>3908</v>
      </c>
      <c r="AG68" s="3188" t="s">
        <v>3490</v>
      </c>
      <c r="AH68" s="3188">
        <v>84.29</v>
      </c>
      <c r="AI68" s="3188" t="s">
        <v>3402</v>
      </c>
      <c r="AJ68" s="3188" t="s">
        <v>3918</v>
      </c>
      <c r="AK68" s="3188">
        <v>27</v>
      </c>
      <c r="AL68" s="3188" t="s">
        <v>633</v>
      </c>
      <c r="AM68" s="3188">
        <v>40800</v>
      </c>
      <c r="AN68" s="3188">
        <v>39294</v>
      </c>
      <c r="AO68" s="3188">
        <v>3312091</v>
      </c>
      <c r="AP68" s="3189">
        <v>45283</v>
      </c>
    </row>
    <row r="69" spans="16:42" ht="60.75" hidden="1" thickBot="1">
      <c r="P69" s="3188">
        <v>68</v>
      </c>
      <c r="Q69" s="3188" t="s">
        <v>3809</v>
      </c>
      <c r="R69" s="3188" t="s">
        <v>3724</v>
      </c>
      <c r="S69" s="3188" t="s">
        <v>3490</v>
      </c>
      <c r="T69" s="3188">
        <v>155.38</v>
      </c>
      <c r="U69" s="3188" t="s">
        <v>3402</v>
      </c>
      <c r="V69" s="3188" t="s">
        <v>3760</v>
      </c>
      <c r="W69" s="3188">
        <v>19</v>
      </c>
      <c r="X69" s="3188">
        <v>42348</v>
      </c>
      <c r="Y69" s="3188">
        <v>40073</v>
      </c>
      <c r="Z69" s="3188">
        <v>6226543</v>
      </c>
      <c r="AA69" s="3189">
        <v>45344</v>
      </c>
      <c r="AD69" s="3186">
        <v>57</v>
      </c>
      <c r="AE69" s="3186" t="s">
        <v>3967</v>
      </c>
      <c r="AF69" s="3186" t="s">
        <v>3903</v>
      </c>
      <c r="AG69" s="3186" t="s">
        <v>3490</v>
      </c>
      <c r="AH69" s="3186">
        <v>90.18</v>
      </c>
      <c r="AI69" s="3186" t="s">
        <v>3402</v>
      </c>
      <c r="AJ69" s="3186" t="s">
        <v>3918</v>
      </c>
      <c r="AK69" s="3186">
        <v>19</v>
      </c>
      <c r="AL69" s="3186" t="s">
        <v>633</v>
      </c>
      <c r="AM69" s="3186">
        <v>41805</v>
      </c>
      <c r="AN69" s="3186">
        <v>38462</v>
      </c>
      <c r="AO69" s="3186">
        <v>3468503</v>
      </c>
      <c r="AP69" s="3187">
        <v>45223</v>
      </c>
    </row>
    <row r="70" spans="16:42" ht="60.75" hidden="1" thickBot="1">
      <c r="P70" s="3186">
        <v>69</v>
      </c>
      <c r="Q70" s="3186" t="s">
        <v>3810</v>
      </c>
      <c r="R70" s="3186" t="s">
        <v>3724</v>
      </c>
      <c r="S70" s="3186" t="s">
        <v>3490</v>
      </c>
      <c r="T70" s="3186">
        <v>88.79</v>
      </c>
      <c r="U70" s="3186" t="s">
        <v>3402</v>
      </c>
      <c r="V70" s="3186" t="s">
        <v>3746</v>
      </c>
      <c r="W70" s="3186">
        <v>18</v>
      </c>
      <c r="X70" s="3186">
        <v>38067</v>
      </c>
      <c r="Y70" s="3186">
        <v>38106</v>
      </c>
      <c r="Z70" s="3186">
        <v>3383432</v>
      </c>
      <c r="AA70" s="3187">
        <v>45357</v>
      </c>
      <c r="AD70" s="3188">
        <v>58</v>
      </c>
      <c r="AE70" s="3188" t="s">
        <v>3968</v>
      </c>
      <c r="AF70" s="3188" t="s">
        <v>3903</v>
      </c>
      <c r="AG70" s="3188" t="s">
        <v>3490</v>
      </c>
      <c r="AH70" s="3188">
        <v>89.77</v>
      </c>
      <c r="AI70" s="3188" t="s">
        <v>3402</v>
      </c>
      <c r="AJ70" s="3188" t="s">
        <v>3921</v>
      </c>
      <c r="AK70" s="3188">
        <v>17</v>
      </c>
      <c r="AL70" s="3188" t="s">
        <v>633</v>
      </c>
      <c r="AM70" s="3188">
        <v>45984</v>
      </c>
      <c r="AN70" s="3188">
        <v>44138</v>
      </c>
      <c r="AO70" s="3188">
        <v>3962268</v>
      </c>
      <c r="AP70" s="3189">
        <v>45217</v>
      </c>
    </row>
    <row r="71" spans="16:42" ht="60.75" hidden="1" thickBot="1">
      <c r="P71" s="3188">
        <v>70</v>
      </c>
      <c r="Q71" s="3188" t="s">
        <v>3811</v>
      </c>
      <c r="R71" s="3188" t="s">
        <v>3724</v>
      </c>
      <c r="S71" s="3188" t="s">
        <v>3490</v>
      </c>
      <c r="T71" s="3188">
        <v>127.68</v>
      </c>
      <c r="U71" s="3188" t="s">
        <v>3402</v>
      </c>
      <c r="V71" s="3188" t="s">
        <v>3782</v>
      </c>
      <c r="W71" s="3188">
        <v>7</v>
      </c>
      <c r="X71" s="3188">
        <v>41902</v>
      </c>
      <c r="Y71" s="3188">
        <v>38454</v>
      </c>
      <c r="Z71" s="3188">
        <v>4909807</v>
      </c>
      <c r="AA71" s="3189">
        <v>45316</v>
      </c>
      <c r="AD71" s="3186">
        <v>59</v>
      </c>
      <c r="AE71" s="3186" t="s">
        <v>3969</v>
      </c>
      <c r="AF71" s="3186" t="s">
        <v>3903</v>
      </c>
      <c r="AG71" s="3186" t="s">
        <v>3490</v>
      </c>
      <c r="AH71" s="3186">
        <v>84.39</v>
      </c>
      <c r="AI71" s="3186" t="s">
        <v>3402</v>
      </c>
      <c r="AJ71" s="3186" t="s">
        <v>3918</v>
      </c>
      <c r="AK71" s="3186">
        <v>26</v>
      </c>
      <c r="AL71" s="3186" t="s">
        <v>633</v>
      </c>
      <c r="AM71" s="3186">
        <v>40739</v>
      </c>
      <c r="AN71" s="3186">
        <v>38385</v>
      </c>
      <c r="AO71" s="3186">
        <v>3239310</v>
      </c>
      <c r="AP71" s="3187">
        <v>45211</v>
      </c>
    </row>
    <row r="72" spans="16:42" ht="45.75" hidden="1" thickBot="1">
      <c r="P72" s="3186">
        <v>71</v>
      </c>
      <c r="Q72" s="3186" t="s">
        <v>3812</v>
      </c>
      <c r="R72" s="3186" t="s">
        <v>3724</v>
      </c>
      <c r="S72" s="3186" t="s">
        <v>3490</v>
      </c>
      <c r="T72" s="3186">
        <v>87.07</v>
      </c>
      <c r="U72" s="3186" t="s">
        <v>3402</v>
      </c>
      <c r="V72" s="3186" t="s">
        <v>3752</v>
      </c>
      <c r="W72" s="3186">
        <v>9</v>
      </c>
      <c r="X72" s="3186">
        <v>38624</v>
      </c>
      <c r="Y72" s="3186">
        <v>36296</v>
      </c>
      <c r="Z72" s="3186">
        <v>3160293</v>
      </c>
      <c r="AA72" s="3187">
        <v>45294</v>
      </c>
      <c r="AD72" s="3188">
        <v>60</v>
      </c>
      <c r="AE72" s="3188" t="s">
        <v>3970</v>
      </c>
      <c r="AF72" s="3188" t="s">
        <v>3908</v>
      </c>
      <c r="AG72" s="3188" t="s">
        <v>3490</v>
      </c>
      <c r="AH72" s="3188">
        <v>85.34</v>
      </c>
      <c r="AI72" s="3188" t="s">
        <v>3402</v>
      </c>
      <c r="AJ72" s="3188" t="s">
        <v>3918</v>
      </c>
      <c r="AK72" s="3188">
        <v>8</v>
      </c>
      <c r="AL72" s="3188" t="s">
        <v>633</v>
      </c>
      <c r="AM72" s="3188">
        <v>40661</v>
      </c>
      <c r="AN72" s="3188">
        <v>37909</v>
      </c>
      <c r="AO72" s="3188">
        <v>3235154</v>
      </c>
      <c r="AP72" s="3189">
        <v>45155</v>
      </c>
    </row>
    <row r="73" spans="16:42" ht="60.75" hidden="1" thickBot="1">
      <c r="P73" s="3188">
        <v>72</v>
      </c>
      <c r="Q73" s="3188" t="s">
        <v>3813</v>
      </c>
      <c r="R73" s="3188" t="s">
        <v>3724</v>
      </c>
      <c r="S73" s="3188" t="s">
        <v>3490</v>
      </c>
      <c r="T73" s="3188">
        <v>92.18</v>
      </c>
      <c r="U73" s="3188" t="s">
        <v>3402</v>
      </c>
      <c r="V73" s="3188">
        <v>29</v>
      </c>
      <c r="W73" s="3188">
        <v>12</v>
      </c>
      <c r="X73" s="3188">
        <v>33087</v>
      </c>
      <c r="Y73" s="3188">
        <v>31630</v>
      </c>
      <c r="Z73" s="3188">
        <v>2915653</v>
      </c>
      <c r="AA73" s="3189">
        <v>45288</v>
      </c>
      <c r="AD73" s="3186">
        <v>61</v>
      </c>
      <c r="AE73" s="3186" t="s">
        <v>3971</v>
      </c>
      <c r="AF73" s="3186" t="s">
        <v>3908</v>
      </c>
      <c r="AG73" s="3186" t="s">
        <v>3490</v>
      </c>
      <c r="AH73" s="3186">
        <v>84.29</v>
      </c>
      <c r="AI73" s="3186" t="s">
        <v>3402</v>
      </c>
      <c r="AJ73" s="3186" t="s">
        <v>3918</v>
      </c>
      <c r="AK73" s="3186">
        <v>23</v>
      </c>
      <c r="AL73" s="3186" t="s">
        <v>633</v>
      </c>
      <c r="AM73" s="3186">
        <v>40811</v>
      </c>
      <c r="AN73" s="3186">
        <v>39132</v>
      </c>
      <c r="AO73" s="3186">
        <v>3298436</v>
      </c>
      <c r="AP73" s="3187">
        <v>45115</v>
      </c>
    </row>
    <row r="74" spans="16:42" ht="60.75" hidden="1" thickBot="1">
      <c r="P74" s="3186">
        <v>73</v>
      </c>
      <c r="Q74" s="3186" t="s">
        <v>3814</v>
      </c>
      <c r="R74" s="3186" t="s">
        <v>3724</v>
      </c>
      <c r="S74" s="3186" t="s">
        <v>3490</v>
      </c>
      <c r="T74" s="3186">
        <v>62.35</v>
      </c>
      <c r="U74" s="3186" t="s">
        <v>3402</v>
      </c>
      <c r="V74" s="3186" t="s">
        <v>3748</v>
      </c>
      <c r="W74" s="3186">
        <v>27</v>
      </c>
      <c r="X74" s="3186">
        <v>35285</v>
      </c>
      <c r="Y74" s="3186">
        <v>35313</v>
      </c>
      <c r="Z74" s="3186">
        <v>2201766</v>
      </c>
      <c r="AA74" s="3187">
        <v>45280</v>
      </c>
      <c r="AD74" s="3188">
        <v>62</v>
      </c>
      <c r="AE74" s="3188" t="s">
        <v>3972</v>
      </c>
      <c r="AF74" s="3188" t="s">
        <v>3911</v>
      </c>
      <c r="AG74" s="3188" t="s">
        <v>3490</v>
      </c>
      <c r="AH74" s="3188">
        <v>89.49</v>
      </c>
      <c r="AI74" s="3188" t="s">
        <v>3402</v>
      </c>
      <c r="AJ74" s="3188" t="s">
        <v>3904</v>
      </c>
      <c r="AK74" s="3188">
        <v>8</v>
      </c>
      <c r="AL74" s="3188" t="s">
        <v>633</v>
      </c>
      <c r="AM74" s="3188">
        <v>46933</v>
      </c>
      <c r="AN74" s="3188">
        <v>43951</v>
      </c>
      <c r="AO74" s="3188">
        <v>3933175</v>
      </c>
      <c r="AP74" s="3189">
        <v>45120</v>
      </c>
    </row>
    <row r="75" spans="16:42" ht="60.75" hidden="1" thickBot="1">
      <c r="P75" s="3188">
        <v>74</v>
      </c>
      <c r="Q75" s="3188" t="s">
        <v>3815</v>
      </c>
      <c r="R75" s="3188" t="s">
        <v>3724</v>
      </c>
      <c r="S75" s="3188" t="s">
        <v>3490</v>
      </c>
      <c r="T75" s="3188">
        <v>91.71</v>
      </c>
      <c r="U75" s="3188" t="s">
        <v>3402</v>
      </c>
      <c r="V75" s="3188" t="s">
        <v>3746</v>
      </c>
      <c r="W75" s="3188">
        <v>6</v>
      </c>
      <c r="X75" s="3188">
        <v>35983</v>
      </c>
      <c r="Y75" s="3188">
        <v>33776</v>
      </c>
      <c r="Z75" s="3188">
        <v>3097597</v>
      </c>
      <c r="AA75" s="3189">
        <v>45259</v>
      </c>
      <c r="AD75" s="3188">
        <v>64</v>
      </c>
      <c r="AE75" s="3188" t="s">
        <v>3973</v>
      </c>
      <c r="AF75" s="3188" t="s">
        <v>3903</v>
      </c>
      <c r="AG75" s="3188" t="s">
        <v>3490</v>
      </c>
      <c r="AH75" s="3188">
        <v>119.11</v>
      </c>
      <c r="AI75" s="3188" t="s">
        <v>3402</v>
      </c>
      <c r="AJ75" s="3188" t="s">
        <v>3921</v>
      </c>
      <c r="AK75" s="3188">
        <v>20</v>
      </c>
      <c r="AL75" s="3188" t="s">
        <v>633</v>
      </c>
      <c r="AM75" s="3188">
        <v>46847</v>
      </c>
      <c r="AN75" s="3188">
        <v>44628</v>
      </c>
      <c r="AO75" s="3188">
        <v>5315641</v>
      </c>
      <c r="AP75" s="3189">
        <v>45040</v>
      </c>
    </row>
    <row r="76" spans="16:42" ht="45.75" hidden="1" thickBot="1">
      <c r="P76" s="3186">
        <v>75</v>
      </c>
      <c r="Q76" s="3186" t="s">
        <v>3816</v>
      </c>
      <c r="R76" s="3186" t="s">
        <v>3724</v>
      </c>
      <c r="S76" s="3186" t="s">
        <v>3490</v>
      </c>
      <c r="T76" s="3186">
        <v>127.89</v>
      </c>
      <c r="U76" s="3186" t="s">
        <v>3402</v>
      </c>
      <c r="V76" s="3186" t="s">
        <v>3757</v>
      </c>
      <c r="W76" s="3186">
        <v>2</v>
      </c>
      <c r="X76" s="3186">
        <v>41442</v>
      </c>
      <c r="Y76" s="3186">
        <v>38333</v>
      </c>
      <c r="Z76" s="3186">
        <v>4902407</v>
      </c>
      <c r="AA76" s="3187">
        <v>45259</v>
      </c>
      <c r="AD76" s="3188">
        <v>66</v>
      </c>
      <c r="AE76" s="3188" t="s">
        <v>3974</v>
      </c>
      <c r="AF76" s="3188" t="s">
        <v>3903</v>
      </c>
      <c r="AG76" s="3188" t="s">
        <v>3490</v>
      </c>
      <c r="AH76" s="3188">
        <v>83.96</v>
      </c>
      <c r="AI76" s="3188" t="s">
        <v>3402</v>
      </c>
      <c r="AJ76" s="3188" t="s">
        <v>3904</v>
      </c>
      <c r="AK76" s="3188">
        <v>8</v>
      </c>
      <c r="AL76" s="3188" t="s">
        <v>633</v>
      </c>
      <c r="AM76" s="3188">
        <v>42044</v>
      </c>
      <c r="AN76" s="3188">
        <v>40854</v>
      </c>
      <c r="AO76" s="3188">
        <v>3430102</v>
      </c>
      <c r="AP76" s="3189">
        <v>45034</v>
      </c>
    </row>
    <row r="77" spans="16:42" ht="60.75" hidden="1" thickBot="1">
      <c r="P77" s="3188">
        <v>76</v>
      </c>
      <c r="Q77" s="3188" t="s">
        <v>3817</v>
      </c>
      <c r="R77" s="3188" t="s">
        <v>3724</v>
      </c>
      <c r="S77" s="3188" t="s">
        <v>3490</v>
      </c>
      <c r="T77" s="3188">
        <v>91.76</v>
      </c>
      <c r="U77" s="3188" t="s">
        <v>3402</v>
      </c>
      <c r="V77" s="3188" t="s">
        <v>3818</v>
      </c>
      <c r="W77" s="3188">
        <v>7</v>
      </c>
      <c r="X77" s="3188">
        <v>35092</v>
      </c>
      <c r="Y77" s="3188">
        <v>34458</v>
      </c>
      <c r="Z77" s="3188">
        <v>3161866</v>
      </c>
      <c r="AA77" s="3189">
        <v>45251</v>
      </c>
      <c r="AD77" s="3188">
        <v>68</v>
      </c>
      <c r="AE77" s="3188" t="s">
        <v>3975</v>
      </c>
      <c r="AF77" s="3188" t="s">
        <v>3908</v>
      </c>
      <c r="AG77" s="3188" t="s">
        <v>3490</v>
      </c>
      <c r="AH77" s="3188">
        <v>89.3</v>
      </c>
      <c r="AI77" s="3188" t="s">
        <v>3402</v>
      </c>
      <c r="AJ77" s="3188" t="s">
        <v>3906</v>
      </c>
      <c r="AK77" s="3188">
        <v>25</v>
      </c>
      <c r="AL77" s="3188">
        <v>2013</v>
      </c>
      <c r="AM77" s="3188">
        <v>46473</v>
      </c>
      <c r="AN77" s="3188">
        <v>44296</v>
      </c>
      <c r="AO77" s="3188">
        <v>3955633</v>
      </c>
      <c r="AP77" s="3189">
        <v>45024</v>
      </c>
    </row>
    <row r="78" spans="16:42" ht="60.75" hidden="1" thickBot="1">
      <c r="P78" s="3186">
        <v>77</v>
      </c>
      <c r="Q78" s="3195" t="s">
        <v>3819</v>
      </c>
      <c r="R78" s="3195" t="s">
        <v>3724</v>
      </c>
      <c r="S78" s="3195" t="s">
        <v>3490</v>
      </c>
      <c r="T78" s="3195">
        <v>155.22</v>
      </c>
      <c r="U78" s="3195" t="s">
        <v>3402</v>
      </c>
      <c r="V78" s="3195" t="s">
        <v>3754</v>
      </c>
      <c r="W78" s="3195">
        <v>24</v>
      </c>
      <c r="X78" s="3195">
        <v>27703</v>
      </c>
      <c r="Y78" s="3195">
        <v>36002</v>
      </c>
      <c r="Z78" s="3195">
        <v>5588230</v>
      </c>
      <c r="AA78" s="3196">
        <v>45260</v>
      </c>
      <c r="AD78" s="3188">
        <v>70</v>
      </c>
      <c r="AE78" s="3188" t="s">
        <v>3976</v>
      </c>
      <c r="AF78" s="3188" t="s">
        <v>3911</v>
      </c>
      <c r="AG78" s="3188" t="s">
        <v>3490</v>
      </c>
      <c r="AH78" s="3188">
        <v>86.05</v>
      </c>
      <c r="AI78" s="3188" t="s">
        <v>3402</v>
      </c>
      <c r="AJ78" s="3188" t="s">
        <v>3931</v>
      </c>
      <c r="AK78" s="3188">
        <v>16</v>
      </c>
      <c r="AL78" s="3188" t="s">
        <v>633</v>
      </c>
      <c r="AM78" s="3188">
        <v>42708</v>
      </c>
      <c r="AN78" s="3188">
        <v>40873</v>
      </c>
      <c r="AO78" s="3188">
        <v>3517122</v>
      </c>
      <c r="AP78" s="3189">
        <v>44988</v>
      </c>
    </row>
    <row r="79" spans="16:42" ht="60.75" hidden="1" thickBot="1">
      <c r="P79" s="3188">
        <v>80</v>
      </c>
      <c r="Q79" s="3188" t="s">
        <v>3820</v>
      </c>
      <c r="R79" s="3188" t="s">
        <v>3724</v>
      </c>
      <c r="S79" s="3188" t="s">
        <v>3490</v>
      </c>
      <c r="T79" s="3188">
        <v>88.79</v>
      </c>
      <c r="U79" s="3188" t="s">
        <v>3402</v>
      </c>
      <c r="V79" s="3188" t="s">
        <v>3746</v>
      </c>
      <c r="W79" s="3188">
        <v>23</v>
      </c>
      <c r="X79" s="3188">
        <v>38405</v>
      </c>
      <c r="Y79" s="3188">
        <v>36608</v>
      </c>
      <c r="Z79" s="3188">
        <v>3250424</v>
      </c>
      <c r="AA79" s="3189">
        <v>45227</v>
      </c>
      <c r="AD79" s="3186">
        <v>71</v>
      </c>
      <c r="AE79" s="3186" t="s">
        <v>3977</v>
      </c>
      <c r="AF79" s="3186" t="s">
        <v>3903</v>
      </c>
      <c r="AG79" s="3186" t="s">
        <v>3490</v>
      </c>
      <c r="AH79" s="3186">
        <v>90.18</v>
      </c>
      <c r="AI79" s="3186" t="s">
        <v>3402</v>
      </c>
      <c r="AJ79" s="3186" t="s">
        <v>3918</v>
      </c>
      <c r="AK79" s="3186">
        <v>3</v>
      </c>
      <c r="AL79" s="3186" t="s">
        <v>633</v>
      </c>
      <c r="AM79" s="3186">
        <v>42249</v>
      </c>
      <c r="AN79" s="3186">
        <v>39089</v>
      </c>
      <c r="AO79" s="3186">
        <v>3525046</v>
      </c>
      <c r="AP79" s="3187">
        <v>44987</v>
      </c>
    </row>
    <row r="80" spans="16:42" ht="60.75" hidden="1" thickBot="1">
      <c r="P80" s="3186">
        <v>81</v>
      </c>
      <c r="Q80" s="3186" t="s">
        <v>3821</v>
      </c>
      <c r="R80" s="3186" t="s">
        <v>3724</v>
      </c>
      <c r="S80" s="3186" t="s">
        <v>3490</v>
      </c>
      <c r="T80" s="3186">
        <v>88.79</v>
      </c>
      <c r="U80" s="3186" t="s">
        <v>3402</v>
      </c>
      <c r="V80" s="3186">
        <v>28</v>
      </c>
      <c r="W80" s="3186">
        <v>22</v>
      </c>
      <c r="X80" s="3186">
        <v>38011</v>
      </c>
      <c r="Y80" s="3186">
        <v>36014</v>
      </c>
      <c r="Z80" s="3186">
        <v>3197683</v>
      </c>
      <c r="AA80" s="3187">
        <v>45219</v>
      </c>
      <c r="AD80" s="3186">
        <v>73</v>
      </c>
      <c r="AE80" s="3186" t="s">
        <v>3978</v>
      </c>
      <c r="AF80" s="3186" t="s">
        <v>3903</v>
      </c>
      <c r="AG80" s="3186" t="s">
        <v>3490</v>
      </c>
      <c r="AH80" s="3186">
        <v>119.63</v>
      </c>
      <c r="AI80" s="3186" t="s">
        <v>3402</v>
      </c>
      <c r="AJ80" s="3186" t="s">
        <v>3921</v>
      </c>
      <c r="AK80" s="3186">
        <v>14</v>
      </c>
      <c r="AL80" s="3186" t="s">
        <v>633</v>
      </c>
      <c r="AM80" s="3186">
        <v>47229</v>
      </c>
      <c r="AN80" s="3186">
        <v>43458</v>
      </c>
      <c r="AO80" s="3186">
        <v>5198881</v>
      </c>
      <c r="AP80" s="3187">
        <v>44975</v>
      </c>
    </row>
    <row r="81" spans="16:42" ht="60.75" hidden="1" thickBot="1">
      <c r="P81" s="3188">
        <v>82</v>
      </c>
      <c r="Q81" s="3188" t="s">
        <v>3822</v>
      </c>
      <c r="R81" s="3188" t="s">
        <v>3724</v>
      </c>
      <c r="S81" s="3188" t="s">
        <v>3490</v>
      </c>
      <c r="T81" s="3188">
        <v>127.89</v>
      </c>
      <c r="U81" s="3188" t="s">
        <v>3402</v>
      </c>
      <c r="V81" s="3188" t="s">
        <v>3757</v>
      </c>
      <c r="W81" s="3188">
        <v>5</v>
      </c>
      <c r="X81" s="3188">
        <v>41989</v>
      </c>
      <c r="Y81" s="3188">
        <v>38688</v>
      </c>
      <c r="Z81" s="3188">
        <v>4947808</v>
      </c>
      <c r="AA81" s="3189">
        <v>45233</v>
      </c>
      <c r="AD81" s="3186">
        <v>75</v>
      </c>
      <c r="AE81" s="3186" t="s">
        <v>3979</v>
      </c>
      <c r="AF81" s="3186" t="s">
        <v>3911</v>
      </c>
      <c r="AG81" s="3186" t="s">
        <v>3490</v>
      </c>
      <c r="AH81" s="3186">
        <v>88.83</v>
      </c>
      <c r="AI81" s="3186" t="s">
        <v>3402</v>
      </c>
      <c r="AJ81" s="3186" t="s">
        <v>3530</v>
      </c>
      <c r="AK81" s="3186">
        <v>1</v>
      </c>
      <c r="AL81" s="3186" t="s">
        <v>633</v>
      </c>
      <c r="AM81" s="3186">
        <v>39176</v>
      </c>
      <c r="AN81" s="3186">
        <v>37819</v>
      </c>
      <c r="AO81" s="3186">
        <v>3359462</v>
      </c>
      <c r="AP81" s="3187">
        <v>44922</v>
      </c>
    </row>
    <row r="82" spans="16:42" ht="45.75" hidden="1" thickBot="1">
      <c r="P82" s="3186">
        <v>83</v>
      </c>
      <c r="Q82" s="3186" t="s">
        <v>3823</v>
      </c>
      <c r="R82" s="3186" t="s">
        <v>3724</v>
      </c>
      <c r="S82" s="3186" t="s">
        <v>3490</v>
      </c>
      <c r="T82" s="3186">
        <v>155.38</v>
      </c>
      <c r="U82" s="3186" t="s">
        <v>3402</v>
      </c>
      <c r="V82" s="3186" t="s">
        <v>3760</v>
      </c>
      <c r="W82" s="3186">
        <v>5</v>
      </c>
      <c r="X82" s="3186">
        <v>39387</v>
      </c>
      <c r="Y82" s="3186">
        <v>38380</v>
      </c>
      <c r="Z82" s="3186">
        <v>5963484</v>
      </c>
      <c r="AA82" s="3187">
        <v>45225</v>
      </c>
      <c r="AD82" s="3188">
        <v>78</v>
      </c>
      <c r="AE82" s="3188" t="s">
        <v>3980</v>
      </c>
      <c r="AF82" s="3188" t="s">
        <v>3903</v>
      </c>
      <c r="AG82" s="3188" t="s">
        <v>3490</v>
      </c>
      <c r="AH82" s="3188">
        <v>83.96</v>
      </c>
      <c r="AI82" s="3188" t="s">
        <v>3402</v>
      </c>
      <c r="AJ82" s="3188" t="s">
        <v>3904</v>
      </c>
      <c r="AK82" s="3188">
        <v>7</v>
      </c>
      <c r="AL82" s="3188" t="s">
        <v>633</v>
      </c>
      <c r="AM82" s="3188">
        <v>41782</v>
      </c>
      <c r="AN82" s="3188">
        <v>39776</v>
      </c>
      <c r="AO82" s="3188">
        <v>3339593</v>
      </c>
      <c r="AP82" s="3189">
        <v>44884</v>
      </c>
    </row>
    <row r="83" spans="16:42" ht="60.75" hidden="1" thickBot="1">
      <c r="P83" s="3188">
        <v>84</v>
      </c>
      <c r="Q83" s="3188" t="s">
        <v>3824</v>
      </c>
      <c r="R83" s="3188" t="s">
        <v>3724</v>
      </c>
      <c r="S83" s="3188" t="s">
        <v>3490</v>
      </c>
      <c r="T83" s="3188">
        <v>190.71</v>
      </c>
      <c r="U83" s="3188" t="s">
        <v>3402</v>
      </c>
      <c r="V83" s="3188" t="s">
        <v>3800</v>
      </c>
      <c r="W83" s="3188">
        <v>22</v>
      </c>
      <c r="X83" s="3188">
        <v>41949</v>
      </c>
      <c r="Y83" s="3188">
        <v>40514</v>
      </c>
      <c r="Z83" s="3188">
        <v>7726425</v>
      </c>
      <c r="AA83" s="3189">
        <v>45211</v>
      </c>
      <c r="AD83" s="3186">
        <v>79</v>
      </c>
      <c r="AE83" s="3186" t="s">
        <v>3981</v>
      </c>
      <c r="AF83" s="3186" t="s">
        <v>3908</v>
      </c>
      <c r="AG83" s="3186" t="s">
        <v>3490</v>
      </c>
      <c r="AH83" s="3186">
        <v>89.68</v>
      </c>
      <c r="AI83" s="3186" t="s">
        <v>3402</v>
      </c>
      <c r="AJ83" s="3186" t="s">
        <v>3952</v>
      </c>
      <c r="AK83" s="3186">
        <v>22</v>
      </c>
      <c r="AL83" s="3186" t="s">
        <v>633</v>
      </c>
      <c r="AM83" s="3186">
        <v>41258</v>
      </c>
      <c r="AN83" s="3186">
        <v>39036</v>
      </c>
      <c r="AO83" s="3186">
        <v>3500748</v>
      </c>
      <c r="AP83" s="3187">
        <v>44882</v>
      </c>
    </row>
    <row r="84" spans="16:42" ht="60.75" hidden="1" thickBot="1">
      <c r="P84" s="3186">
        <v>85</v>
      </c>
      <c r="Q84" s="3186" t="s">
        <v>3825</v>
      </c>
      <c r="R84" s="3186" t="s">
        <v>3724</v>
      </c>
      <c r="S84" s="3186" t="s">
        <v>3490</v>
      </c>
      <c r="T84" s="3186">
        <v>87.06</v>
      </c>
      <c r="U84" s="3186" t="s">
        <v>3402</v>
      </c>
      <c r="V84" s="3186" t="s">
        <v>3752</v>
      </c>
      <c r="W84" s="3186">
        <v>8</v>
      </c>
      <c r="X84" s="3186">
        <v>39858</v>
      </c>
      <c r="Y84" s="3186">
        <v>36794</v>
      </c>
      <c r="Z84" s="3186">
        <v>3203286</v>
      </c>
      <c r="AA84" s="3187">
        <v>45206</v>
      </c>
      <c r="AD84" s="3188">
        <v>80</v>
      </c>
      <c r="AE84" s="3188" t="s">
        <v>3982</v>
      </c>
      <c r="AF84" s="3188" t="s">
        <v>3903</v>
      </c>
      <c r="AG84" s="3188" t="s">
        <v>3490</v>
      </c>
      <c r="AH84" s="3188">
        <v>90.18</v>
      </c>
      <c r="AI84" s="3188" t="s">
        <v>3402</v>
      </c>
      <c r="AJ84" s="3188" t="s">
        <v>3918</v>
      </c>
      <c r="AK84" s="3188">
        <v>24</v>
      </c>
      <c r="AL84" s="3188" t="s">
        <v>633</v>
      </c>
      <c r="AM84" s="3188">
        <v>42692</v>
      </c>
      <c r="AN84" s="3188">
        <v>40683</v>
      </c>
      <c r="AO84" s="3188">
        <v>3668793</v>
      </c>
      <c r="AP84" s="3189">
        <v>44881</v>
      </c>
    </row>
    <row r="85" spans="16:42" ht="60.75" hidden="1" thickBot="1">
      <c r="P85" s="3188">
        <v>86</v>
      </c>
      <c r="Q85" s="3188" t="s">
        <v>3826</v>
      </c>
      <c r="R85" s="3188" t="s">
        <v>3724</v>
      </c>
      <c r="S85" s="3188" t="s">
        <v>3490</v>
      </c>
      <c r="T85" s="3188">
        <v>88.32</v>
      </c>
      <c r="U85" s="3188" t="s">
        <v>3402</v>
      </c>
      <c r="V85" s="3188" t="s">
        <v>3748</v>
      </c>
      <c r="W85" s="3188">
        <v>11</v>
      </c>
      <c r="X85" s="3188">
        <v>37726</v>
      </c>
      <c r="Y85" s="3188">
        <v>35303</v>
      </c>
      <c r="Z85" s="3188">
        <v>3117961</v>
      </c>
      <c r="AA85" s="3189">
        <v>45195</v>
      </c>
      <c r="AD85" s="3186">
        <v>81</v>
      </c>
      <c r="AE85" s="3186" t="s">
        <v>3983</v>
      </c>
      <c r="AF85" s="3186" t="s">
        <v>3908</v>
      </c>
      <c r="AG85" s="3186" t="s">
        <v>3490</v>
      </c>
      <c r="AH85" s="3186">
        <v>89.86</v>
      </c>
      <c r="AI85" s="3186" t="s">
        <v>3402</v>
      </c>
      <c r="AJ85" s="3186">
        <v>29</v>
      </c>
      <c r="AK85" s="3186">
        <v>23</v>
      </c>
      <c r="AL85" s="3186">
        <v>2013</v>
      </c>
      <c r="AM85" s="3186">
        <v>46739</v>
      </c>
      <c r="AN85" s="3186">
        <v>41462</v>
      </c>
      <c r="AO85" s="3186">
        <v>3725775</v>
      </c>
      <c r="AP85" s="3187">
        <v>44868</v>
      </c>
    </row>
    <row r="86" spans="16:42" ht="60.75" hidden="1" thickBot="1">
      <c r="P86" s="3186">
        <v>87</v>
      </c>
      <c r="Q86" s="3186" t="s">
        <v>3827</v>
      </c>
      <c r="R86" s="3186" t="s">
        <v>3724</v>
      </c>
      <c r="S86" s="3186" t="s">
        <v>3490</v>
      </c>
      <c r="T86" s="3186">
        <v>137.1</v>
      </c>
      <c r="U86" s="3186" t="s">
        <v>3402</v>
      </c>
      <c r="V86" s="3186" t="s">
        <v>3760</v>
      </c>
      <c r="W86" s="3186">
        <v>21</v>
      </c>
      <c r="X86" s="3186">
        <v>44493</v>
      </c>
      <c r="Y86" s="3186">
        <v>40869</v>
      </c>
      <c r="Z86" s="3186">
        <v>5603140</v>
      </c>
      <c r="AA86" s="3187">
        <v>45178</v>
      </c>
      <c r="AD86" s="3188">
        <v>82</v>
      </c>
      <c r="AE86" s="3188" t="s">
        <v>3984</v>
      </c>
      <c r="AF86" s="3188" t="s">
        <v>3903</v>
      </c>
      <c r="AG86" s="3188" t="s">
        <v>3490</v>
      </c>
      <c r="AH86" s="3188">
        <v>119.64</v>
      </c>
      <c r="AI86" s="3188" t="s">
        <v>3402</v>
      </c>
      <c r="AJ86" s="3188" t="s">
        <v>3918</v>
      </c>
      <c r="AK86" s="3188">
        <v>24</v>
      </c>
      <c r="AL86" s="3188" t="s">
        <v>633</v>
      </c>
      <c r="AM86" s="3188">
        <v>47309</v>
      </c>
      <c r="AN86" s="3188">
        <v>43677</v>
      </c>
      <c r="AO86" s="3188">
        <v>5225516</v>
      </c>
      <c r="AP86" s="3189">
        <v>44865</v>
      </c>
    </row>
    <row r="87" spans="16:42" ht="60.75" hidden="1" thickBot="1">
      <c r="P87" s="3188">
        <v>88</v>
      </c>
      <c r="Q87" s="3188" t="s">
        <v>3828</v>
      </c>
      <c r="R87" s="3188" t="s">
        <v>3724</v>
      </c>
      <c r="S87" s="3188" t="s">
        <v>3490</v>
      </c>
      <c r="T87" s="3188">
        <v>124.41</v>
      </c>
      <c r="U87" s="3188" t="s">
        <v>3402</v>
      </c>
      <c r="V87" s="3188" t="s">
        <v>3782</v>
      </c>
      <c r="W87" s="3188">
        <v>4</v>
      </c>
      <c r="X87" s="3188">
        <v>42239</v>
      </c>
      <c r="Y87" s="3188">
        <v>39017</v>
      </c>
      <c r="Z87" s="3188">
        <v>4854105</v>
      </c>
      <c r="AA87" s="3189">
        <v>45156</v>
      </c>
      <c r="AD87" s="3186">
        <v>83</v>
      </c>
      <c r="AE87" s="3186" t="s">
        <v>3985</v>
      </c>
      <c r="AF87" s="3186" t="s">
        <v>3908</v>
      </c>
      <c r="AG87" s="3186" t="s">
        <v>3490</v>
      </c>
      <c r="AH87" s="3186">
        <v>89.3</v>
      </c>
      <c r="AI87" s="3186" t="s">
        <v>3402</v>
      </c>
      <c r="AJ87" s="3186" t="s">
        <v>3906</v>
      </c>
      <c r="AK87" s="3186">
        <v>13</v>
      </c>
      <c r="AL87" s="3186">
        <v>2013</v>
      </c>
      <c r="AM87" s="3186">
        <v>47480</v>
      </c>
      <c r="AN87" s="3186">
        <v>41083</v>
      </c>
      <c r="AO87" s="3186">
        <v>3668712</v>
      </c>
      <c r="AP87" s="3187">
        <v>44824</v>
      </c>
    </row>
    <row r="88" spans="16:42" ht="60.75" hidden="1" thickBot="1">
      <c r="P88" s="3186">
        <v>89</v>
      </c>
      <c r="Q88" s="3186" t="s">
        <v>3829</v>
      </c>
      <c r="R88" s="3186" t="s">
        <v>3724</v>
      </c>
      <c r="S88" s="3186" t="s">
        <v>3490</v>
      </c>
      <c r="T88" s="3186">
        <v>155.22</v>
      </c>
      <c r="U88" s="3186" t="s">
        <v>3402</v>
      </c>
      <c r="V88" s="3186" t="s">
        <v>3754</v>
      </c>
      <c r="W88" s="3186">
        <v>14</v>
      </c>
      <c r="X88" s="3186">
        <v>41554</v>
      </c>
      <c r="Y88" s="3186">
        <v>38154</v>
      </c>
      <c r="Z88" s="3186">
        <v>5922264</v>
      </c>
      <c r="AA88" s="3187">
        <v>45155</v>
      </c>
      <c r="AD88" s="3188">
        <v>84</v>
      </c>
      <c r="AE88" s="3188" t="s">
        <v>3986</v>
      </c>
      <c r="AF88" s="3188" t="s">
        <v>3903</v>
      </c>
      <c r="AG88" s="3188" t="s">
        <v>3490</v>
      </c>
      <c r="AH88" s="3188">
        <v>89.77</v>
      </c>
      <c r="AI88" s="3188" t="s">
        <v>3402</v>
      </c>
      <c r="AJ88" s="3188" t="s">
        <v>3921</v>
      </c>
      <c r="AK88" s="3188">
        <v>2</v>
      </c>
      <c r="AL88" s="3188" t="s">
        <v>633</v>
      </c>
      <c r="AM88" s="3188">
        <v>46229</v>
      </c>
      <c r="AN88" s="3188">
        <v>42669</v>
      </c>
      <c r="AO88" s="3188">
        <v>3830396</v>
      </c>
      <c r="AP88" s="3189">
        <v>44824</v>
      </c>
    </row>
    <row r="89" spans="16:42" ht="60.75" hidden="1" thickBot="1">
      <c r="P89" s="3186">
        <v>91</v>
      </c>
      <c r="Q89" s="3186" t="s">
        <v>3830</v>
      </c>
      <c r="R89" s="3186" t="s">
        <v>3724</v>
      </c>
      <c r="S89" s="3186" t="s">
        <v>3490</v>
      </c>
      <c r="T89" s="3186">
        <v>88.79</v>
      </c>
      <c r="U89" s="3186" t="s">
        <v>3402</v>
      </c>
      <c r="V89" s="3186" t="s">
        <v>3746</v>
      </c>
      <c r="W89" s="3186">
        <v>22</v>
      </c>
      <c r="X89" s="3186">
        <v>41221</v>
      </c>
      <c r="Y89" s="3186">
        <v>38569</v>
      </c>
      <c r="Z89" s="3186">
        <v>3424542</v>
      </c>
      <c r="AA89" s="3187">
        <v>45122</v>
      </c>
      <c r="AD89" s="3186">
        <v>85</v>
      </c>
      <c r="AE89" s="3186" t="s">
        <v>3987</v>
      </c>
      <c r="AF89" s="3186" t="s">
        <v>3903</v>
      </c>
      <c r="AG89" s="3186" t="s">
        <v>3490</v>
      </c>
      <c r="AH89" s="3186">
        <v>89.35</v>
      </c>
      <c r="AI89" s="3186" t="s">
        <v>3402</v>
      </c>
      <c r="AJ89" s="3186" t="s">
        <v>3921</v>
      </c>
      <c r="AK89" s="3186">
        <v>6</v>
      </c>
      <c r="AL89" s="3186" t="s">
        <v>633</v>
      </c>
      <c r="AM89" s="3186">
        <v>46782</v>
      </c>
      <c r="AN89" s="3186">
        <v>43195</v>
      </c>
      <c r="AO89" s="3186">
        <v>3859473</v>
      </c>
      <c r="AP89" s="3187">
        <v>44807</v>
      </c>
    </row>
    <row r="90" spans="16:42" ht="60.75" hidden="1" thickBot="1">
      <c r="P90" s="3188">
        <v>94</v>
      </c>
      <c r="Q90" s="3188" t="s">
        <v>3831</v>
      </c>
      <c r="R90" s="3188" t="s">
        <v>3724</v>
      </c>
      <c r="S90" s="3188" t="s">
        <v>3490</v>
      </c>
      <c r="T90" s="3188">
        <v>91.86</v>
      </c>
      <c r="U90" s="3188" t="s">
        <v>3402</v>
      </c>
      <c r="V90" s="3188" t="s">
        <v>3746</v>
      </c>
      <c r="W90" s="3188">
        <v>17</v>
      </c>
      <c r="X90" s="3188">
        <v>42815</v>
      </c>
      <c r="Y90" s="3188">
        <v>39282</v>
      </c>
      <c r="Z90" s="3188">
        <v>3608445</v>
      </c>
      <c r="AA90" s="3189">
        <v>45027</v>
      </c>
      <c r="AD90" s="3188">
        <v>86</v>
      </c>
      <c r="AE90" s="3188" t="s">
        <v>3988</v>
      </c>
      <c r="AF90" s="3188" t="s">
        <v>3927</v>
      </c>
      <c r="AG90" s="3188" t="s">
        <v>3490</v>
      </c>
      <c r="AH90" s="3188">
        <v>89.73</v>
      </c>
      <c r="AI90" s="3188" t="s">
        <v>3402</v>
      </c>
      <c r="AJ90" s="3188" t="s">
        <v>3530</v>
      </c>
      <c r="AK90" s="3188">
        <v>18</v>
      </c>
      <c r="AL90" s="3188" t="s">
        <v>633</v>
      </c>
      <c r="AM90" s="3188">
        <v>47364</v>
      </c>
      <c r="AN90" s="3188">
        <v>45169</v>
      </c>
      <c r="AO90" s="3188">
        <v>4053014</v>
      </c>
      <c r="AP90" s="3189">
        <v>44747</v>
      </c>
    </row>
    <row r="91" spans="16:42" ht="60.75" hidden="1" thickBot="1">
      <c r="P91" s="3186">
        <v>95</v>
      </c>
      <c r="Q91" s="3186" t="s">
        <v>3832</v>
      </c>
      <c r="R91" s="3186" t="s">
        <v>3724</v>
      </c>
      <c r="S91" s="3186" t="s">
        <v>3490</v>
      </c>
      <c r="T91" s="3186">
        <v>88.83</v>
      </c>
      <c r="U91" s="3186" t="s">
        <v>3402</v>
      </c>
      <c r="V91" s="3186" t="s">
        <v>3746</v>
      </c>
      <c r="W91" s="3186">
        <v>21</v>
      </c>
      <c r="X91" s="3186">
        <v>42384</v>
      </c>
      <c r="Y91" s="3186">
        <v>38821</v>
      </c>
      <c r="Z91" s="3186">
        <v>3448469</v>
      </c>
      <c r="AA91" s="3187">
        <v>45022</v>
      </c>
      <c r="AD91" s="3188">
        <v>88</v>
      </c>
      <c r="AE91" s="3188" t="s">
        <v>3989</v>
      </c>
      <c r="AF91" s="3188" t="s">
        <v>3911</v>
      </c>
      <c r="AG91" s="3188" t="s">
        <v>3490</v>
      </c>
      <c r="AH91" s="3188">
        <v>89.14</v>
      </c>
      <c r="AI91" s="3188" t="s">
        <v>3402</v>
      </c>
      <c r="AJ91" s="3188" t="s">
        <v>3916</v>
      </c>
      <c r="AK91" s="3188">
        <v>7</v>
      </c>
      <c r="AL91" s="3188">
        <v>2013</v>
      </c>
      <c r="AM91" s="3188">
        <v>46556</v>
      </c>
      <c r="AN91" s="3188">
        <v>42628</v>
      </c>
      <c r="AO91" s="3188">
        <v>3799860</v>
      </c>
      <c r="AP91" s="3189">
        <v>44671</v>
      </c>
    </row>
    <row r="92" spans="16:42" ht="60.75" hidden="1" thickBot="1">
      <c r="P92" s="3188">
        <v>96</v>
      </c>
      <c r="Q92" s="3188" t="s">
        <v>3833</v>
      </c>
      <c r="R92" s="3188" t="s">
        <v>3724</v>
      </c>
      <c r="S92" s="3188" t="s">
        <v>3490</v>
      </c>
      <c r="T92" s="3188">
        <v>62.35</v>
      </c>
      <c r="U92" s="3188" t="s">
        <v>3402</v>
      </c>
      <c r="V92" s="3188" t="s">
        <v>3748</v>
      </c>
      <c r="W92" s="3188">
        <v>4</v>
      </c>
      <c r="X92" s="3188">
        <v>39615</v>
      </c>
      <c r="Y92" s="3188">
        <v>39810</v>
      </c>
      <c r="Z92" s="3188">
        <v>2482154</v>
      </c>
      <c r="AA92" s="3189">
        <v>45015</v>
      </c>
      <c r="AD92" s="3186">
        <v>89</v>
      </c>
      <c r="AE92" s="3186" t="s">
        <v>3990</v>
      </c>
      <c r="AF92" s="3186" t="s">
        <v>3911</v>
      </c>
      <c r="AG92" s="3186" t="s">
        <v>3490</v>
      </c>
      <c r="AH92" s="3186">
        <v>89.35</v>
      </c>
      <c r="AI92" s="3186" t="s">
        <v>3402</v>
      </c>
      <c r="AJ92" s="3186" t="s">
        <v>3904</v>
      </c>
      <c r="AK92" s="3186">
        <v>23</v>
      </c>
      <c r="AL92" s="3186" t="s">
        <v>633</v>
      </c>
      <c r="AM92" s="3186">
        <v>43313</v>
      </c>
      <c r="AN92" s="3186">
        <v>41641</v>
      </c>
      <c r="AO92" s="3186">
        <v>3720623</v>
      </c>
      <c r="AP92" s="3187">
        <v>44635</v>
      </c>
    </row>
    <row r="93" spans="16:42" ht="60.75" hidden="1" thickBot="1">
      <c r="P93" s="3188">
        <v>98</v>
      </c>
      <c r="Q93" s="3188" t="s">
        <v>3834</v>
      </c>
      <c r="R93" s="3188" t="s">
        <v>3724</v>
      </c>
      <c r="S93" s="3188" t="s">
        <v>3490</v>
      </c>
      <c r="T93" s="3188">
        <v>154.82</v>
      </c>
      <c r="U93" s="3188" t="s">
        <v>3402</v>
      </c>
      <c r="V93" s="3188" t="s">
        <v>3765</v>
      </c>
      <c r="W93" s="3188">
        <v>15</v>
      </c>
      <c r="X93" s="3188">
        <v>46506</v>
      </c>
      <c r="Y93" s="3188">
        <v>42594</v>
      </c>
      <c r="Z93" s="3188">
        <v>6594403</v>
      </c>
      <c r="AA93" s="3189">
        <v>44965</v>
      </c>
      <c r="AD93" s="3186">
        <v>91</v>
      </c>
      <c r="AE93" s="3186" t="s">
        <v>3991</v>
      </c>
      <c r="AF93" s="3186" t="s">
        <v>3903</v>
      </c>
      <c r="AG93" s="3186" t="s">
        <v>3490</v>
      </c>
      <c r="AH93" s="3186">
        <v>83.96</v>
      </c>
      <c r="AI93" s="3186" t="s">
        <v>3402</v>
      </c>
      <c r="AJ93" s="3186" t="s">
        <v>3904</v>
      </c>
      <c r="AK93" s="3186">
        <v>13</v>
      </c>
      <c r="AL93" s="3186" t="s">
        <v>633</v>
      </c>
      <c r="AM93" s="3186">
        <v>42401</v>
      </c>
      <c r="AN93" s="3186">
        <v>40882</v>
      </c>
      <c r="AO93" s="3186">
        <v>3432453</v>
      </c>
      <c r="AP93" s="3187">
        <v>44579</v>
      </c>
    </row>
    <row r="94" spans="16:42" ht="45.75" hidden="1" thickBot="1">
      <c r="P94" s="3186">
        <v>99</v>
      </c>
      <c r="Q94" s="3186" t="s">
        <v>3835</v>
      </c>
      <c r="R94" s="3186" t="s">
        <v>3724</v>
      </c>
      <c r="S94" s="3186" t="s">
        <v>3490</v>
      </c>
      <c r="T94" s="3186">
        <v>111.05</v>
      </c>
      <c r="U94" s="3186" t="s">
        <v>3402</v>
      </c>
      <c r="V94" s="3186" t="s">
        <v>3754</v>
      </c>
      <c r="W94" s="3186">
        <v>1</v>
      </c>
      <c r="X94" s="3186">
        <v>43944</v>
      </c>
      <c r="Y94" s="3186">
        <v>40563</v>
      </c>
      <c r="Z94" s="3186">
        <v>4504521</v>
      </c>
      <c r="AA94" s="3187">
        <v>44932</v>
      </c>
      <c r="AD94" s="3188">
        <v>92</v>
      </c>
      <c r="AE94" s="3188" t="s">
        <v>3992</v>
      </c>
      <c r="AF94" s="3188" t="s">
        <v>3908</v>
      </c>
      <c r="AG94" s="3188" t="s">
        <v>3490</v>
      </c>
      <c r="AH94" s="3188">
        <v>89.23</v>
      </c>
      <c r="AI94" s="3188" t="s">
        <v>3402</v>
      </c>
      <c r="AJ94" s="3188" t="s">
        <v>3937</v>
      </c>
      <c r="AK94" s="3188">
        <v>4</v>
      </c>
      <c r="AL94" s="3188">
        <v>2013</v>
      </c>
      <c r="AM94" s="3188">
        <v>41466</v>
      </c>
      <c r="AN94" s="3188">
        <v>39083</v>
      </c>
      <c r="AO94" s="3188">
        <v>3487376</v>
      </c>
      <c r="AP94" s="3189">
        <v>44566</v>
      </c>
    </row>
    <row r="95" spans="16:42" ht="60.75" hidden="1" thickBot="1">
      <c r="P95" s="3188">
        <v>100</v>
      </c>
      <c r="Q95" s="3188" t="s">
        <v>3836</v>
      </c>
      <c r="R95" s="3188" t="s">
        <v>3724</v>
      </c>
      <c r="S95" s="3188" t="s">
        <v>3490</v>
      </c>
      <c r="T95" s="3188">
        <v>92.11</v>
      </c>
      <c r="U95" s="3188" t="s">
        <v>3402</v>
      </c>
      <c r="V95" s="3188" t="s">
        <v>3752</v>
      </c>
      <c r="W95" s="3188">
        <v>11</v>
      </c>
      <c r="X95" s="3188">
        <v>43046</v>
      </c>
      <c r="Y95" s="3188">
        <v>39675</v>
      </c>
      <c r="Z95" s="3188">
        <v>3654464</v>
      </c>
      <c r="AA95" s="3189">
        <v>44929</v>
      </c>
      <c r="AD95" s="3186">
        <v>93</v>
      </c>
      <c r="AE95" s="3186" t="s">
        <v>3993</v>
      </c>
      <c r="AF95" s="3186" t="s">
        <v>3903</v>
      </c>
      <c r="AG95" s="3186" t="s">
        <v>3490</v>
      </c>
      <c r="AH95" s="3186">
        <v>87.43</v>
      </c>
      <c r="AI95" s="3186" t="s">
        <v>3402</v>
      </c>
      <c r="AJ95" s="3186" t="s">
        <v>3945</v>
      </c>
      <c r="AK95" s="3186">
        <v>19</v>
      </c>
      <c r="AL95" s="3186">
        <v>2013</v>
      </c>
      <c r="AM95" s="3186">
        <v>40604</v>
      </c>
      <c r="AN95" s="3186">
        <v>38857</v>
      </c>
      <c r="AO95" s="3186">
        <v>3397268</v>
      </c>
      <c r="AP95" s="3187">
        <v>44518</v>
      </c>
    </row>
    <row r="96" spans="16:42" ht="60.75" hidden="1" thickBot="1">
      <c r="P96" s="3201">
        <v>101</v>
      </c>
      <c r="Q96" s="3201" t="s">
        <v>3837</v>
      </c>
      <c r="R96" s="3201" t="s">
        <v>3724</v>
      </c>
      <c r="S96" s="3201" t="s">
        <v>3490</v>
      </c>
      <c r="T96" s="3201">
        <v>144.52000000000001</v>
      </c>
      <c r="U96" s="3201" t="s">
        <v>3402</v>
      </c>
      <c r="V96" s="3201" t="s">
        <v>3757</v>
      </c>
      <c r="W96" s="3201">
        <v>8</v>
      </c>
      <c r="X96" s="3201">
        <v>46084</v>
      </c>
      <c r="Y96" s="3201">
        <v>41925</v>
      </c>
      <c r="Z96" s="3201">
        <v>6059001</v>
      </c>
      <c r="AA96" s="3202">
        <v>44924</v>
      </c>
      <c r="AD96" s="3188">
        <v>94</v>
      </c>
      <c r="AE96" s="3188" t="s">
        <v>3994</v>
      </c>
      <c r="AF96" s="3188" t="s">
        <v>3903</v>
      </c>
      <c r="AG96" s="3188" t="s">
        <v>3490</v>
      </c>
      <c r="AH96" s="3188">
        <v>84.39</v>
      </c>
      <c r="AI96" s="3188" t="s">
        <v>3402</v>
      </c>
      <c r="AJ96" s="3188" t="s">
        <v>3906</v>
      </c>
      <c r="AK96" s="3188">
        <v>20</v>
      </c>
      <c r="AL96" s="3188" t="s">
        <v>633</v>
      </c>
      <c r="AM96" s="3188">
        <v>42067</v>
      </c>
      <c r="AN96" s="3188">
        <v>41787</v>
      </c>
      <c r="AO96" s="3188">
        <v>3526405</v>
      </c>
      <c r="AP96" s="3189">
        <v>44511</v>
      </c>
    </row>
    <row r="97" spans="16:42" ht="60.75" hidden="1" thickBot="1">
      <c r="P97" s="3188">
        <v>104</v>
      </c>
      <c r="Q97" s="3188" t="s">
        <v>3838</v>
      </c>
      <c r="R97" s="3188" t="s">
        <v>3724</v>
      </c>
      <c r="S97" s="3188" t="s">
        <v>3490</v>
      </c>
      <c r="T97" s="3188">
        <v>91.82</v>
      </c>
      <c r="U97" s="3188" t="s">
        <v>3402</v>
      </c>
      <c r="V97" s="3188" t="s">
        <v>3746</v>
      </c>
      <c r="W97" s="3188">
        <v>12</v>
      </c>
      <c r="X97" s="3188">
        <v>43237</v>
      </c>
      <c r="Y97" s="3188">
        <v>37948</v>
      </c>
      <c r="Z97" s="3188">
        <v>3484385</v>
      </c>
      <c r="AA97" s="3189">
        <v>44876</v>
      </c>
      <c r="AD97" s="3186">
        <v>95</v>
      </c>
      <c r="AE97" s="3186" t="s">
        <v>3995</v>
      </c>
      <c r="AF97" s="3186" t="s">
        <v>3911</v>
      </c>
      <c r="AG97" s="3186" t="s">
        <v>3490</v>
      </c>
      <c r="AH97" s="3186">
        <v>83.6</v>
      </c>
      <c r="AI97" s="3186" t="s">
        <v>3402</v>
      </c>
      <c r="AJ97" s="3186" t="s">
        <v>3904</v>
      </c>
      <c r="AK97" s="3186">
        <v>1</v>
      </c>
      <c r="AL97" s="3186" t="s">
        <v>633</v>
      </c>
      <c r="AM97" s="3186">
        <v>40909</v>
      </c>
      <c r="AN97" s="3186">
        <v>38953</v>
      </c>
      <c r="AO97" s="3186">
        <v>3256471</v>
      </c>
      <c r="AP97" s="3187">
        <v>44478</v>
      </c>
    </row>
    <row r="98" spans="16:42" ht="60.75" hidden="1" thickBot="1">
      <c r="P98" s="3186">
        <v>105</v>
      </c>
      <c r="Q98" s="3186" t="s">
        <v>3839</v>
      </c>
      <c r="R98" s="3186" t="s">
        <v>3724</v>
      </c>
      <c r="S98" s="3186" t="s">
        <v>3490</v>
      </c>
      <c r="T98" s="3186">
        <v>88.78</v>
      </c>
      <c r="U98" s="3186" t="s">
        <v>3402</v>
      </c>
      <c r="V98" s="3186" t="s">
        <v>3746</v>
      </c>
      <c r="W98" s="3186">
        <v>8</v>
      </c>
      <c r="X98" s="3186">
        <v>42113</v>
      </c>
      <c r="Y98" s="3186">
        <v>38263</v>
      </c>
      <c r="Z98" s="3186">
        <v>3396989</v>
      </c>
      <c r="AA98" s="3187">
        <v>44861</v>
      </c>
      <c r="AD98" s="3188">
        <v>96</v>
      </c>
      <c r="AE98" s="3188" t="s">
        <v>3996</v>
      </c>
      <c r="AF98" s="3188" t="s">
        <v>3908</v>
      </c>
      <c r="AG98" s="3188" t="s">
        <v>3490</v>
      </c>
      <c r="AH98" s="3188">
        <v>89.5</v>
      </c>
      <c r="AI98" s="3188" t="s">
        <v>3402</v>
      </c>
      <c r="AJ98" s="3188" t="s">
        <v>3906</v>
      </c>
      <c r="AK98" s="3188">
        <v>17</v>
      </c>
      <c r="AL98" s="3188">
        <v>2013</v>
      </c>
      <c r="AM98" s="3188">
        <v>47709</v>
      </c>
      <c r="AN98" s="3188">
        <v>45364</v>
      </c>
      <c r="AO98" s="3188">
        <v>4060078</v>
      </c>
      <c r="AP98" s="3189">
        <v>44467</v>
      </c>
    </row>
    <row r="99" spans="16:42" ht="60.75" hidden="1" thickBot="1">
      <c r="P99" s="3188">
        <v>106</v>
      </c>
      <c r="Q99" s="3188" t="s">
        <v>3840</v>
      </c>
      <c r="R99" s="3188" t="s">
        <v>3724</v>
      </c>
      <c r="S99" s="3188" t="s">
        <v>3490</v>
      </c>
      <c r="T99" s="3188">
        <v>88.71</v>
      </c>
      <c r="U99" s="3188" t="s">
        <v>3402</v>
      </c>
      <c r="V99" s="3188" t="s">
        <v>3746</v>
      </c>
      <c r="W99" s="3188">
        <v>3</v>
      </c>
      <c r="X99" s="3188">
        <v>41664</v>
      </c>
      <c r="Y99" s="3188">
        <v>39618</v>
      </c>
      <c r="Z99" s="3188">
        <v>3514513</v>
      </c>
      <c r="AA99" s="3189">
        <v>44856</v>
      </c>
      <c r="AD99" s="3186">
        <v>97</v>
      </c>
      <c r="AE99" s="3186" t="s">
        <v>3997</v>
      </c>
      <c r="AF99" s="3186" t="s">
        <v>3911</v>
      </c>
      <c r="AG99" s="3186" t="s">
        <v>3490</v>
      </c>
      <c r="AH99" s="3186">
        <v>119.54</v>
      </c>
      <c r="AI99" s="3186" t="s">
        <v>3402</v>
      </c>
      <c r="AJ99" s="3186" t="s">
        <v>3931</v>
      </c>
      <c r="AK99" s="3186">
        <v>8</v>
      </c>
      <c r="AL99" s="3186" t="s">
        <v>633</v>
      </c>
      <c r="AM99" s="3186">
        <v>44337</v>
      </c>
      <c r="AN99" s="3186">
        <v>40359</v>
      </c>
      <c r="AO99" s="3186">
        <v>4824515</v>
      </c>
      <c r="AP99" s="3187">
        <v>44461</v>
      </c>
    </row>
    <row r="100" spans="16:42" ht="60.75" hidden="1" thickBot="1">
      <c r="P100" s="3186">
        <v>107</v>
      </c>
      <c r="Q100" s="3186" t="s">
        <v>3841</v>
      </c>
      <c r="R100" s="3186" t="s">
        <v>3724</v>
      </c>
      <c r="S100" s="3186" t="s">
        <v>3490</v>
      </c>
      <c r="T100" s="3186">
        <v>155.55000000000001</v>
      </c>
      <c r="U100" s="3186" t="s">
        <v>3402</v>
      </c>
      <c r="V100" s="3186" t="s">
        <v>3800</v>
      </c>
      <c r="W100" s="3186">
        <v>17</v>
      </c>
      <c r="X100" s="3186">
        <v>43780</v>
      </c>
      <c r="Y100" s="3186">
        <v>40140</v>
      </c>
      <c r="Z100" s="3186">
        <v>6243777</v>
      </c>
      <c r="AA100" s="3187">
        <v>44842</v>
      </c>
      <c r="AD100" s="3188">
        <v>98</v>
      </c>
      <c r="AE100" s="3188" t="s">
        <v>3998</v>
      </c>
      <c r="AF100" s="3188" t="s">
        <v>3911</v>
      </c>
      <c r="AG100" s="3188" t="s">
        <v>3490</v>
      </c>
      <c r="AH100" s="3188">
        <v>89.35</v>
      </c>
      <c r="AI100" s="3188" t="s">
        <v>3402</v>
      </c>
      <c r="AJ100" s="3188" t="s">
        <v>3904</v>
      </c>
      <c r="AK100" s="3188">
        <v>10</v>
      </c>
      <c r="AL100" s="3188" t="s">
        <v>633</v>
      </c>
      <c r="AM100" s="3188">
        <v>42955</v>
      </c>
      <c r="AN100" s="3188">
        <v>40797</v>
      </c>
      <c r="AO100" s="3188">
        <v>3645212</v>
      </c>
      <c r="AP100" s="3189">
        <v>44450</v>
      </c>
    </row>
    <row r="101" spans="16:42" ht="60.75" hidden="1" thickBot="1">
      <c r="P101" s="3188">
        <v>108</v>
      </c>
      <c r="Q101" s="3188" t="s">
        <v>3842</v>
      </c>
      <c r="R101" s="3188" t="s">
        <v>3724</v>
      </c>
      <c r="S101" s="3188" t="s">
        <v>3490</v>
      </c>
      <c r="T101" s="3188">
        <v>82.81</v>
      </c>
      <c r="U101" s="3188" t="s">
        <v>3402</v>
      </c>
      <c r="V101" s="3188" t="s">
        <v>3756</v>
      </c>
      <c r="W101" s="3188">
        <v>10</v>
      </c>
      <c r="X101" s="3188">
        <v>48641</v>
      </c>
      <c r="Y101" s="3188">
        <v>43415</v>
      </c>
      <c r="Z101" s="3188">
        <v>3595196</v>
      </c>
      <c r="AA101" s="3189">
        <v>44799</v>
      </c>
      <c r="AD101" s="3186">
        <v>99</v>
      </c>
      <c r="AE101" s="3186" t="s">
        <v>3999</v>
      </c>
      <c r="AF101" s="3186" t="s">
        <v>3908</v>
      </c>
      <c r="AG101" s="3186" t="s">
        <v>3490</v>
      </c>
      <c r="AH101" s="3186">
        <v>89.23</v>
      </c>
      <c r="AI101" s="3186" t="s">
        <v>3402</v>
      </c>
      <c r="AJ101" s="3186" t="s">
        <v>3909</v>
      </c>
      <c r="AK101" s="3186">
        <v>18</v>
      </c>
      <c r="AL101" s="3186" t="s">
        <v>633</v>
      </c>
      <c r="AM101" s="3186">
        <v>43147</v>
      </c>
      <c r="AN101" s="3186">
        <v>39943</v>
      </c>
      <c r="AO101" s="3186">
        <v>3564114</v>
      </c>
      <c r="AP101" s="3187">
        <v>44427</v>
      </c>
    </row>
    <row r="102" spans="16:42" ht="60.75" hidden="1" thickBot="1">
      <c r="P102" s="3186">
        <v>109</v>
      </c>
      <c r="Q102" s="3186" t="s">
        <v>3843</v>
      </c>
      <c r="R102" s="3186" t="s">
        <v>3724</v>
      </c>
      <c r="S102" s="3186" t="s">
        <v>3490</v>
      </c>
      <c r="T102" s="3186">
        <v>152.81</v>
      </c>
      <c r="U102" s="3186" t="s">
        <v>3402</v>
      </c>
      <c r="V102" s="3186" t="s">
        <v>3784</v>
      </c>
      <c r="W102" s="3186">
        <v>13</v>
      </c>
      <c r="X102" s="3186">
        <v>43845</v>
      </c>
      <c r="Y102" s="3186">
        <v>43872</v>
      </c>
      <c r="Z102" s="3186">
        <v>6704080</v>
      </c>
      <c r="AA102" s="3187">
        <v>44789</v>
      </c>
      <c r="AD102" s="3188">
        <v>100</v>
      </c>
      <c r="AE102" s="3188" t="s">
        <v>4000</v>
      </c>
      <c r="AF102" s="3188" t="s">
        <v>3908</v>
      </c>
      <c r="AG102" s="3188" t="s">
        <v>3490</v>
      </c>
      <c r="AH102" s="3188">
        <v>89.68</v>
      </c>
      <c r="AI102" s="3188" t="s">
        <v>3402</v>
      </c>
      <c r="AJ102" s="3188" t="s">
        <v>3942</v>
      </c>
      <c r="AK102" s="3188">
        <v>5</v>
      </c>
      <c r="AL102" s="3188" t="s">
        <v>633</v>
      </c>
      <c r="AM102" s="3188">
        <v>42819</v>
      </c>
      <c r="AN102" s="3188">
        <v>39070</v>
      </c>
      <c r="AO102" s="3188">
        <v>3503798</v>
      </c>
      <c r="AP102" s="3189">
        <v>44422</v>
      </c>
    </row>
    <row r="103" spans="16:42" ht="60.75" hidden="1" thickBot="1">
      <c r="P103" s="3188">
        <v>110</v>
      </c>
      <c r="Q103" s="3188" t="s">
        <v>3844</v>
      </c>
      <c r="R103" s="3188" t="s">
        <v>3724</v>
      </c>
      <c r="S103" s="3188" t="s">
        <v>3490</v>
      </c>
      <c r="T103" s="3188">
        <v>229.59</v>
      </c>
      <c r="U103" s="3188" t="s">
        <v>3402</v>
      </c>
      <c r="V103" s="3188" t="s">
        <v>3768</v>
      </c>
      <c r="W103" s="3188">
        <v>9</v>
      </c>
      <c r="X103" s="3188">
        <v>38791</v>
      </c>
      <c r="Y103" s="3188">
        <v>36490</v>
      </c>
      <c r="Z103" s="3188">
        <v>8377739</v>
      </c>
      <c r="AA103" s="3189">
        <v>44755</v>
      </c>
      <c r="AD103" s="3201">
        <v>101</v>
      </c>
      <c r="AE103" s="3201" t="s">
        <v>4001</v>
      </c>
      <c r="AF103" s="3201" t="s">
        <v>3908</v>
      </c>
      <c r="AG103" s="3201" t="s">
        <v>3490</v>
      </c>
      <c r="AH103" s="3201">
        <v>119.62</v>
      </c>
      <c r="AI103" s="3201" t="s">
        <v>3402</v>
      </c>
      <c r="AJ103" s="3201" t="s">
        <v>3918</v>
      </c>
      <c r="AK103" s="3201">
        <v>28</v>
      </c>
      <c r="AL103" s="3201" t="s">
        <v>633</v>
      </c>
      <c r="AM103" s="3201">
        <v>42635</v>
      </c>
      <c r="AN103" s="3201">
        <v>40606</v>
      </c>
      <c r="AO103" s="3201">
        <v>4857290</v>
      </c>
      <c r="AP103" s="3202">
        <v>44422</v>
      </c>
    </row>
    <row r="104" spans="16:42" ht="60.75" hidden="1" thickBot="1">
      <c r="P104" s="3186">
        <v>111</v>
      </c>
      <c r="Q104" s="3186" t="s">
        <v>3845</v>
      </c>
      <c r="R104" s="3186" t="s">
        <v>3724</v>
      </c>
      <c r="S104" s="3186" t="s">
        <v>3490</v>
      </c>
      <c r="T104" s="3186">
        <v>88.79</v>
      </c>
      <c r="U104" s="3186" t="s">
        <v>3402</v>
      </c>
      <c r="V104" s="3186" t="s">
        <v>3746</v>
      </c>
      <c r="W104" s="3186">
        <v>11</v>
      </c>
      <c r="X104" s="3186">
        <v>42460</v>
      </c>
      <c r="Y104" s="3186">
        <v>37479</v>
      </c>
      <c r="Z104" s="3186">
        <v>3327760</v>
      </c>
      <c r="AA104" s="3187">
        <v>44748</v>
      </c>
      <c r="AD104" s="3188">
        <v>102</v>
      </c>
      <c r="AE104" s="3188" t="s">
        <v>4002</v>
      </c>
      <c r="AF104" s="3188" t="s">
        <v>3927</v>
      </c>
      <c r="AG104" s="3188" t="s">
        <v>3490</v>
      </c>
      <c r="AH104" s="3188">
        <v>89.49</v>
      </c>
      <c r="AI104" s="3188" t="s">
        <v>3402</v>
      </c>
      <c r="AJ104" s="3188" t="s">
        <v>3929</v>
      </c>
      <c r="AK104" s="3188">
        <v>3</v>
      </c>
      <c r="AL104" s="3188" t="s">
        <v>633</v>
      </c>
      <c r="AM104" s="3188">
        <v>42463</v>
      </c>
      <c r="AN104" s="3188">
        <v>41400</v>
      </c>
      <c r="AO104" s="3188">
        <v>3704886</v>
      </c>
      <c r="AP104" s="3189">
        <v>44393</v>
      </c>
    </row>
    <row r="105" spans="16:42" ht="60.75" hidden="1" thickBot="1">
      <c r="P105" s="3188">
        <v>112</v>
      </c>
      <c r="Q105" s="3188" t="s">
        <v>3846</v>
      </c>
      <c r="R105" s="3188" t="s">
        <v>3724</v>
      </c>
      <c r="S105" s="3188" t="s">
        <v>3490</v>
      </c>
      <c r="T105" s="3188">
        <v>87.07</v>
      </c>
      <c r="U105" s="3188" t="s">
        <v>3402</v>
      </c>
      <c r="V105" s="3188" t="s">
        <v>3752</v>
      </c>
      <c r="W105" s="3188">
        <v>5</v>
      </c>
      <c r="X105" s="3188">
        <v>42495</v>
      </c>
      <c r="Y105" s="3188">
        <v>38576</v>
      </c>
      <c r="Z105" s="3188">
        <v>3358812</v>
      </c>
      <c r="AA105" s="3189">
        <v>44721</v>
      </c>
      <c r="AD105" s="3186">
        <v>103</v>
      </c>
      <c r="AE105" s="3186" t="s">
        <v>4003</v>
      </c>
      <c r="AF105" s="3186" t="s">
        <v>3908</v>
      </c>
      <c r="AG105" s="3186" t="s">
        <v>3490</v>
      </c>
      <c r="AH105" s="3186">
        <v>119.4</v>
      </c>
      <c r="AI105" s="3186" t="s">
        <v>3402</v>
      </c>
      <c r="AJ105" s="3186" t="s">
        <v>3906</v>
      </c>
      <c r="AK105" s="3186">
        <v>17</v>
      </c>
      <c r="AL105" s="3186" t="s">
        <v>633</v>
      </c>
      <c r="AM105" s="3186">
        <v>44556</v>
      </c>
      <c r="AN105" s="3186">
        <v>40729</v>
      </c>
      <c r="AO105" s="3186">
        <v>4863043</v>
      </c>
      <c r="AP105" s="3187">
        <v>44383</v>
      </c>
    </row>
    <row r="106" spans="16:42" ht="60.75" hidden="1" thickBot="1">
      <c r="P106" s="3186">
        <v>113</v>
      </c>
      <c r="Q106" s="3186" t="s">
        <v>3847</v>
      </c>
      <c r="R106" s="3186" t="s">
        <v>3724</v>
      </c>
      <c r="S106" s="3186" t="s">
        <v>3490</v>
      </c>
      <c r="T106" s="3186">
        <v>155.41</v>
      </c>
      <c r="U106" s="3186" t="s">
        <v>3402</v>
      </c>
      <c r="V106" s="3186" t="s">
        <v>3800</v>
      </c>
      <c r="W106" s="3186">
        <v>10</v>
      </c>
      <c r="X106" s="3186">
        <v>42983</v>
      </c>
      <c r="Y106" s="3186">
        <v>40829</v>
      </c>
      <c r="Z106" s="3186">
        <v>6345235</v>
      </c>
      <c r="AA106" s="3187">
        <v>44686</v>
      </c>
      <c r="AD106" s="3188">
        <v>104</v>
      </c>
      <c r="AE106" s="3190" t="s">
        <v>4004</v>
      </c>
      <c r="AF106" s="3190" t="s">
        <v>3911</v>
      </c>
      <c r="AG106" s="3190" t="s">
        <v>3490</v>
      </c>
      <c r="AH106" s="3190">
        <v>88.83</v>
      </c>
      <c r="AI106" s="3190" t="s">
        <v>3402</v>
      </c>
      <c r="AJ106" s="3190" t="s">
        <v>3530</v>
      </c>
      <c r="AK106" s="3190">
        <v>14</v>
      </c>
      <c r="AL106" s="3190" t="s">
        <v>633</v>
      </c>
      <c r="AM106" s="3190">
        <v>42553</v>
      </c>
      <c r="AN106" s="3190">
        <v>42471</v>
      </c>
      <c r="AO106" s="3190">
        <v>3772699</v>
      </c>
      <c r="AP106" s="3191">
        <v>44369</v>
      </c>
    </row>
    <row r="107" spans="16:42" ht="60.75" hidden="1" thickBot="1">
      <c r="P107" s="3188">
        <v>114</v>
      </c>
      <c r="Q107" s="3188" t="s">
        <v>3848</v>
      </c>
      <c r="R107" s="3188" t="s">
        <v>3724</v>
      </c>
      <c r="S107" s="3188" t="s">
        <v>3490</v>
      </c>
      <c r="T107" s="3188">
        <v>137.1</v>
      </c>
      <c r="U107" s="3188" t="s">
        <v>3402</v>
      </c>
      <c r="V107" s="3188" t="s">
        <v>3760</v>
      </c>
      <c r="W107" s="3188">
        <v>14</v>
      </c>
      <c r="X107" s="3188">
        <v>44347</v>
      </c>
      <c r="Y107" s="3188">
        <v>42201</v>
      </c>
      <c r="Z107" s="3188">
        <v>5785757</v>
      </c>
      <c r="AA107" s="3189">
        <v>44686</v>
      </c>
      <c r="AD107" s="3186">
        <v>105</v>
      </c>
      <c r="AE107" s="3186" t="s">
        <v>4005</v>
      </c>
      <c r="AF107" s="3186" t="s">
        <v>3908</v>
      </c>
      <c r="AG107" s="3186" t="s">
        <v>3490</v>
      </c>
      <c r="AH107" s="3186">
        <v>85.5</v>
      </c>
      <c r="AI107" s="3186" t="s">
        <v>3402</v>
      </c>
      <c r="AJ107" s="3186" t="s">
        <v>3918</v>
      </c>
      <c r="AK107" s="3186">
        <v>4</v>
      </c>
      <c r="AL107" s="3186" t="s">
        <v>633</v>
      </c>
      <c r="AM107" s="3186">
        <v>42105</v>
      </c>
      <c r="AN107" s="3186">
        <v>39132</v>
      </c>
      <c r="AO107" s="3186">
        <v>3345786</v>
      </c>
      <c r="AP107" s="3187">
        <v>44363</v>
      </c>
    </row>
    <row r="108" spans="16:42" ht="60.75" hidden="1" thickBot="1">
      <c r="P108" s="3186">
        <v>115</v>
      </c>
      <c r="Q108" s="3186" t="s">
        <v>3849</v>
      </c>
      <c r="R108" s="3186" t="s">
        <v>3724</v>
      </c>
      <c r="S108" s="3186" t="s">
        <v>3490</v>
      </c>
      <c r="T108" s="3186">
        <v>137.09</v>
      </c>
      <c r="U108" s="3186" t="s">
        <v>3402</v>
      </c>
      <c r="V108" s="3186" t="s">
        <v>3760</v>
      </c>
      <c r="W108" s="3186">
        <v>15</v>
      </c>
      <c r="X108" s="3186">
        <v>44496</v>
      </c>
      <c r="Y108" s="3186">
        <v>39543</v>
      </c>
      <c r="Z108" s="3186">
        <v>5420950</v>
      </c>
      <c r="AA108" s="3187">
        <v>44701</v>
      </c>
      <c r="AD108" s="3188">
        <v>106</v>
      </c>
      <c r="AE108" s="3188" t="s">
        <v>4006</v>
      </c>
      <c r="AF108" s="3188" t="s">
        <v>3908</v>
      </c>
      <c r="AG108" s="3188" t="s">
        <v>3490</v>
      </c>
      <c r="AH108" s="3188">
        <v>85.5</v>
      </c>
      <c r="AI108" s="3188" t="s">
        <v>3402</v>
      </c>
      <c r="AJ108" s="3188" t="s">
        <v>3918</v>
      </c>
      <c r="AK108" s="3188">
        <v>9</v>
      </c>
      <c r="AL108" s="3188" t="s">
        <v>633</v>
      </c>
      <c r="AM108" s="3188">
        <v>42924</v>
      </c>
      <c r="AN108" s="3188">
        <v>41012</v>
      </c>
      <c r="AO108" s="3188">
        <v>3506526</v>
      </c>
      <c r="AP108" s="3189">
        <v>44348</v>
      </c>
    </row>
    <row r="109" spans="16:42" ht="60.75" hidden="1" thickBot="1">
      <c r="P109" s="3188">
        <v>116</v>
      </c>
      <c r="Q109" s="3188" t="s">
        <v>3850</v>
      </c>
      <c r="R109" s="3188" t="s">
        <v>3724</v>
      </c>
      <c r="S109" s="3188" t="s">
        <v>3490</v>
      </c>
      <c r="T109" s="3188">
        <v>130.07</v>
      </c>
      <c r="U109" s="3188" t="s">
        <v>3402</v>
      </c>
      <c r="V109" s="3188" t="s">
        <v>3851</v>
      </c>
      <c r="W109" s="3188">
        <v>7</v>
      </c>
      <c r="X109" s="3188">
        <v>43823</v>
      </c>
      <c r="Y109" s="3188">
        <v>42077</v>
      </c>
      <c r="Z109" s="3188">
        <v>5472955</v>
      </c>
      <c r="AA109" s="3189">
        <v>44653</v>
      </c>
      <c r="AD109" s="3186">
        <v>107</v>
      </c>
      <c r="AE109" s="3186" t="s">
        <v>4007</v>
      </c>
      <c r="AF109" s="3186" t="s">
        <v>3903</v>
      </c>
      <c r="AG109" s="3186" t="s">
        <v>3490</v>
      </c>
      <c r="AH109" s="3186">
        <v>118.54</v>
      </c>
      <c r="AI109" s="3186" t="s">
        <v>3402</v>
      </c>
      <c r="AJ109" s="3186" t="s">
        <v>3918</v>
      </c>
      <c r="AK109" s="3186">
        <v>12</v>
      </c>
      <c r="AL109" s="3186" t="s">
        <v>633</v>
      </c>
      <c r="AM109" s="3186">
        <v>45217</v>
      </c>
      <c r="AN109" s="3186">
        <v>41152</v>
      </c>
      <c r="AO109" s="3186">
        <v>4878158</v>
      </c>
      <c r="AP109" s="3187">
        <v>44338</v>
      </c>
    </row>
    <row r="110" spans="16:42" ht="60.75" hidden="1" thickBot="1">
      <c r="P110" s="3186">
        <v>117</v>
      </c>
      <c r="Q110" s="3186" t="s">
        <v>3852</v>
      </c>
      <c r="R110" s="3186" t="s">
        <v>3724</v>
      </c>
      <c r="S110" s="3186" t="s">
        <v>3490</v>
      </c>
      <c r="T110" s="3186">
        <v>88.83</v>
      </c>
      <c r="U110" s="3186" t="s">
        <v>3402</v>
      </c>
      <c r="V110" s="3186" t="s">
        <v>3746</v>
      </c>
      <c r="W110" s="3186">
        <v>25</v>
      </c>
      <c r="X110" s="3186">
        <v>43341</v>
      </c>
      <c r="Y110" s="3186">
        <v>41776</v>
      </c>
      <c r="Z110" s="3186">
        <v>3710962</v>
      </c>
      <c r="AA110" s="3187">
        <v>44649</v>
      </c>
      <c r="AD110" s="3188">
        <v>108</v>
      </c>
      <c r="AE110" s="3188" t="s">
        <v>4008</v>
      </c>
      <c r="AF110" s="3188" t="s">
        <v>3908</v>
      </c>
      <c r="AG110" s="3188" t="s">
        <v>3490</v>
      </c>
      <c r="AH110" s="3188">
        <v>119.62</v>
      </c>
      <c r="AI110" s="3188" t="s">
        <v>3402</v>
      </c>
      <c r="AJ110" s="3188" t="s">
        <v>3906</v>
      </c>
      <c r="AK110" s="3188">
        <v>28</v>
      </c>
      <c r="AL110" s="3188">
        <v>2013</v>
      </c>
      <c r="AM110" s="3188">
        <v>43304</v>
      </c>
      <c r="AN110" s="3188">
        <v>42121</v>
      </c>
      <c r="AO110" s="3188">
        <v>5038514</v>
      </c>
      <c r="AP110" s="3189">
        <v>44350</v>
      </c>
    </row>
    <row r="111" spans="16:42" ht="60.75" hidden="1" thickBot="1">
      <c r="P111" s="3186">
        <v>119</v>
      </c>
      <c r="Q111" s="3186" t="s">
        <v>3853</v>
      </c>
      <c r="R111" s="3186" t="s">
        <v>3724</v>
      </c>
      <c r="S111" s="3186" t="s">
        <v>3490</v>
      </c>
      <c r="T111" s="3186">
        <v>136.91999999999999</v>
      </c>
      <c r="U111" s="3186" t="s">
        <v>3402</v>
      </c>
      <c r="V111" s="3186" t="s">
        <v>3754</v>
      </c>
      <c r="W111" s="3186">
        <v>25</v>
      </c>
      <c r="X111" s="3186">
        <v>42361</v>
      </c>
      <c r="Y111" s="3186">
        <v>41239</v>
      </c>
      <c r="Z111" s="3186">
        <v>5646444</v>
      </c>
      <c r="AA111" s="3187">
        <v>44631</v>
      </c>
      <c r="AD111" s="3186">
        <v>109</v>
      </c>
      <c r="AE111" s="3186" t="s">
        <v>4009</v>
      </c>
      <c r="AF111" s="3186" t="s">
        <v>3927</v>
      </c>
      <c r="AG111" s="3186" t="s">
        <v>3490</v>
      </c>
      <c r="AH111" s="3186">
        <v>89.31</v>
      </c>
      <c r="AI111" s="3186" t="s">
        <v>3402</v>
      </c>
      <c r="AJ111" s="3186" t="s">
        <v>3929</v>
      </c>
      <c r="AK111" s="3186">
        <v>19</v>
      </c>
      <c r="AL111" s="3186">
        <v>2013</v>
      </c>
      <c r="AM111" s="3186">
        <v>47475</v>
      </c>
      <c r="AN111" s="3186">
        <v>45237</v>
      </c>
      <c r="AO111" s="3186">
        <v>4040116</v>
      </c>
      <c r="AP111" s="3187">
        <v>44323</v>
      </c>
    </row>
    <row r="112" spans="16:42" ht="60.75" hidden="1" thickBot="1">
      <c r="P112" s="3188">
        <v>120</v>
      </c>
      <c r="Q112" s="3188" t="s">
        <v>3854</v>
      </c>
      <c r="R112" s="3188" t="s">
        <v>3724</v>
      </c>
      <c r="S112" s="3188" t="s">
        <v>3490</v>
      </c>
      <c r="T112" s="3188">
        <v>156.49</v>
      </c>
      <c r="U112" s="3188" t="s">
        <v>3402</v>
      </c>
      <c r="V112" s="3188" t="s">
        <v>3768</v>
      </c>
      <c r="W112" s="3188">
        <v>22</v>
      </c>
      <c r="X112" s="3188">
        <v>42686</v>
      </c>
      <c r="Y112" s="3188">
        <v>41059</v>
      </c>
      <c r="Z112" s="3188">
        <v>6425323</v>
      </c>
      <c r="AA112" s="3189">
        <v>44622</v>
      </c>
      <c r="AD112" s="3188">
        <v>110</v>
      </c>
      <c r="AE112" s="3188" t="s">
        <v>4010</v>
      </c>
      <c r="AF112" s="3188" t="s">
        <v>3908</v>
      </c>
      <c r="AG112" s="3188" t="s">
        <v>3490</v>
      </c>
      <c r="AH112" s="3188">
        <v>89.46</v>
      </c>
      <c r="AI112" s="3188" t="s">
        <v>3402</v>
      </c>
      <c r="AJ112" s="3188" t="s">
        <v>3918</v>
      </c>
      <c r="AK112" s="3188">
        <v>22</v>
      </c>
      <c r="AL112" s="3188" t="s">
        <v>633</v>
      </c>
      <c r="AM112" s="3188">
        <v>47988</v>
      </c>
      <c r="AN112" s="3188">
        <v>44413</v>
      </c>
      <c r="AO112" s="3188">
        <v>3973187</v>
      </c>
      <c r="AP112" s="3189">
        <v>44306</v>
      </c>
    </row>
    <row r="113" spans="16:42" ht="60.75" hidden="1" thickBot="1">
      <c r="P113" s="3186">
        <v>121</v>
      </c>
      <c r="Q113" s="3186" t="s">
        <v>3755</v>
      </c>
      <c r="R113" s="3186" t="s">
        <v>3724</v>
      </c>
      <c r="S113" s="3186" t="s">
        <v>3490</v>
      </c>
      <c r="T113" s="3186">
        <v>129.27000000000001</v>
      </c>
      <c r="U113" s="3186" t="s">
        <v>3402</v>
      </c>
      <c r="V113" s="3186" t="s">
        <v>3756</v>
      </c>
      <c r="W113" s="3186">
        <v>5</v>
      </c>
      <c r="X113" s="3186">
        <v>44481</v>
      </c>
      <c r="Y113" s="3186">
        <v>42520</v>
      </c>
      <c r="Z113" s="3186">
        <v>5496560</v>
      </c>
      <c r="AA113" s="3187">
        <v>44587</v>
      </c>
      <c r="AD113" s="3186">
        <v>111</v>
      </c>
      <c r="AE113" s="3186" t="s">
        <v>4010</v>
      </c>
      <c r="AF113" s="3186" t="s">
        <v>3908</v>
      </c>
      <c r="AG113" s="3186" t="s">
        <v>3490</v>
      </c>
      <c r="AH113" s="3186">
        <v>89.46</v>
      </c>
      <c r="AI113" s="3186" t="s">
        <v>3402</v>
      </c>
      <c r="AJ113" s="3186" t="s">
        <v>3918</v>
      </c>
      <c r="AK113" s="3186">
        <v>22</v>
      </c>
      <c r="AL113" s="3186" t="s">
        <v>633</v>
      </c>
      <c r="AM113" s="3186">
        <v>47988</v>
      </c>
      <c r="AN113" s="3186">
        <v>44413</v>
      </c>
      <c r="AO113" s="3186">
        <v>3973187</v>
      </c>
      <c r="AP113" s="3187">
        <v>44306</v>
      </c>
    </row>
    <row r="114" spans="16:42" ht="60.75" hidden="1" thickBot="1">
      <c r="P114" s="3186">
        <v>123</v>
      </c>
      <c r="Q114" s="3186" t="s">
        <v>3855</v>
      </c>
      <c r="R114" s="3186" t="s">
        <v>3724</v>
      </c>
      <c r="S114" s="3186" t="s">
        <v>3490</v>
      </c>
      <c r="T114" s="3186">
        <v>82.81</v>
      </c>
      <c r="U114" s="3186" t="s">
        <v>3402</v>
      </c>
      <c r="V114" s="3186" t="s">
        <v>3756</v>
      </c>
      <c r="W114" s="3186">
        <v>7</v>
      </c>
      <c r="X114" s="3186">
        <v>46250</v>
      </c>
      <c r="Y114" s="3186">
        <v>40761</v>
      </c>
      <c r="Z114" s="3186">
        <v>3375418</v>
      </c>
      <c r="AA114" s="3187">
        <v>44492</v>
      </c>
      <c r="AD114" s="3188">
        <v>112</v>
      </c>
      <c r="AE114" s="3188" t="s">
        <v>4011</v>
      </c>
      <c r="AF114" s="3188" t="s">
        <v>3908</v>
      </c>
      <c r="AG114" s="3188" t="s">
        <v>3490</v>
      </c>
      <c r="AH114" s="3188">
        <v>85.34</v>
      </c>
      <c r="AI114" s="3188" t="s">
        <v>3402</v>
      </c>
      <c r="AJ114" s="3188" t="s">
        <v>3906</v>
      </c>
      <c r="AK114" s="3188">
        <v>3</v>
      </c>
      <c r="AL114" s="3188">
        <v>2013</v>
      </c>
      <c r="AM114" s="3188">
        <v>38669</v>
      </c>
      <c r="AN114" s="3188">
        <v>37663</v>
      </c>
      <c r="AO114" s="3188">
        <v>3214160</v>
      </c>
      <c r="AP114" s="3189">
        <v>44308</v>
      </c>
    </row>
    <row r="115" spans="16:42" ht="60.75" hidden="1" thickBot="1">
      <c r="P115" s="3188">
        <v>124</v>
      </c>
      <c r="Q115" s="3188" t="s">
        <v>3856</v>
      </c>
      <c r="R115" s="3188" t="s">
        <v>3724</v>
      </c>
      <c r="S115" s="3188" t="s">
        <v>3490</v>
      </c>
      <c r="T115" s="3188">
        <v>139.96</v>
      </c>
      <c r="U115" s="3188" t="s">
        <v>3402</v>
      </c>
      <c r="V115" s="3188" t="s">
        <v>3759</v>
      </c>
      <c r="W115" s="3188">
        <v>3</v>
      </c>
      <c r="X115" s="3188">
        <v>41440</v>
      </c>
      <c r="Y115" s="3188">
        <v>39408</v>
      </c>
      <c r="Z115" s="3188">
        <v>5515544</v>
      </c>
      <c r="AA115" s="3189">
        <v>44446</v>
      </c>
      <c r="AD115" s="3186">
        <v>113</v>
      </c>
      <c r="AE115" s="3186" t="s">
        <v>4012</v>
      </c>
      <c r="AF115" s="3186" t="s">
        <v>3927</v>
      </c>
      <c r="AG115" s="3186" t="s">
        <v>3490</v>
      </c>
      <c r="AH115" s="3186">
        <v>89.73</v>
      </c>
      <c r="AI115" s="3186" t="s">
        <v>3402</v>
      </c>
      <c r="AJ115" s="3186" t="s">
        <v>3929</v>
      </c>
      <c r="AK115" s="3186">
        <v>3</v>
      </c>
      <c r="AL115" s="3186">
        <v>2013</v>
      </c>
      <c r="AM115" s="3186">
        <v>45581</v>
      </c>
      <c r="AN115" s="3186">
        <v>43500</v>
      </c>
      <c r="AO115" s="3186">
        <v>3903255</v>
      </c>
      <c r="AP115" s="3187">
        <v>44293</v>
      </c>
    </row>
    <row r="116" spans="16:42" ht="60.75" hidden="1" thickBot="1">
      <c r="P116" s="3186">
        <v>125</v>
      </c>
      <c r="Q116" s="3186" t="s">
        <v>3857</v>
      </c>
      <c r="R116" s="3186" t="s">
        <v>3724</v>
      </c>
      <c r="S116" s="3186" t="s">
        <v>3490</v>
      </c>
      <c r="T116" s="3186">
        <v>91.86</v>
      </c>
      <c r="U116" s="3186" t="s">
        <v>3402</v>
      </c>
      <c r="V116" s="3186" t="s">
        <v>3746</v>
      </c>
      <c r="W116" s="3186">
        <v>14</v>
      </c>
      <c r="X116" s="3186">
        <v>45504</v>
      </c>
      <c r="Y116" s="3186">
        <v>40282</v>
      </c>
      <c r="Z116" s="3186">
        <v>3700305</v>
      </c>
      <c r="AA116" s="3187">
        <v>44434</v>
      </c>
      <c r="AD116" s="3188">
        <v>114</v>
      </c>
      <c r="AE116" s="3188" t="s">
        <v>4013</v>
      </c>
      <c r="AF116" s="3188" t="s">
        <v>3911</v>
      </c>
      <c r="AG116" s="3188" t="s">
        <v>3490</v>
      </c>
      <c r="AH116" s="3188">
        <v>89.73</v>
      </c>
      <c r="AI116" s="3188" t="s">
        <v>3402</v>
      </c>
      <c r="AJ116" s="3188" t="s">
        <v>3530</v>
      </c>
      <c r="AK116" s="3188">
        <v>1</v>
      </c>
      <c r="AL116" s="3188" t="s">
        <v>633</v>
      </c>
      <c r="AM116" s="3188">
        <v>44021</v>
      </c>
      <c r="AN116" s="3188">
        <v>41930</v>
      </c>
      <c r="AO116" s="3188">
        <v>3762379</v>
      </c>
      <c r="AP116" s="3189">
        <v>44279</v>
      </c>
    </row>
    <row r="117" spans="16:42" ht="60.75" hidden="1" thickBot="1">
      <c r="P117" s="3188">
        <v>126</v>
      </c>
      <c r="Q117" s="3190" t="s">
        <v>3858</v>
      </c>
      <c r="R117" s="3190" t="s">
        <v>3859</v>
      </c>
      <c r="S117" s="3190" t="s">
        <v>3490</v>
      </c>
      <c r="T117" s="3190">
        <v>190.54</v>
      </c>
      <c r="U117" s="3190" t="s">
        <v>3402</v>
      </c>
      <c r="V117" s="3190" t="s">
        <v>3765</v>
      </c>
      <c r="W117" s="3190">
        <v>17</v>
      </c>
      <c r="X117" s="3190">
        <v>45359</v>
      </c>
      <c r="Y117" s="3190">
        <v>45383</v>
      </c>
      <c r="Z117" s="3190">
        <v>8647277</v>
      </c>
      <c r="AA117" s="3191">
        <v>44425</v>
      </c>
      <c r="AD117" s="3186">
        <v>115</v>
      </c>
      <c r="AE117" s="3186" t="s">
        <v>4014</v>
      </c>
      <c r="AF117" s="3186" t="s">
        <v>3903</v>
      </c>
      <c r="AG117" s="3186" t="s">
        <v>3490</v>
      </c>
      <c r="AH117" s="3186">
        <v>118.54</v>
      </c>
      <c r="AI117" s="3186" t="s">
        <v>3402</v>
      </c>
      <c r="AJ117" s="3186" t="s">
        <v>3906</v>
      </c>
      <c r="AK117" s="3186">
        <v>26</v>
      </c>
      <c r="AL117" s="3186">
        <v>2013</v>
      </c>
      <c r="AM117" s="3186">
        <v>45554</v>
      </c>
      <c r="AN117" s="3186">
        <v>42044</v>
      </c>
      <c r="AO117" s="3186">
        <v>4983896</v>
      </c>
      <c r="AP117" s="3187">
        <v>44264</v>
      </c>
    </row>
    <row r="118" spans="16:42" ht="60.75" hidden="1" thickBot="1">
      <c r="P118" s="3186">
        <v>127</v>
      </c>
      <c r="Q118" s="3186" t="s">
        <v>3860</v>
      </c>
      <c r="R118" s="3186" t="s">
        <v>3724</v>
      </c>
      <c r="S118" s="3186" t="s">
        <v>3490</v>
      </c>
      <c r="T118" s="3186">
        <v>88.78</v>
      </c>
      <c r="U118" s="3186" t="s">
        <v>3402</v>
      </c>
      <c r="V118" s="3186" t="s">
        <v>3746</v>
      </c>
      <c r="W118" s="3186">
        <v>7</v>
      </c>
      <c r="X118" s="3186">
        <v>43095</v>
      </c>
      <c r="Y118" s="3186">
        <v>40972</v>
      </c>
      <c r="Z118" s="3186">
        <v>3637494</v>
      </c>
      <c r="AA118" s="3187">
        <v>44422</v>
      </c>
      <c r="AD118" s="3188">
        <v>116</v>
      </c>
      <c r="AE118" s="3188" t="s">
        <v>4015</v>
      </c>
      <c r="AF118" s="3188" t="s">
        <v>3911</v>
      </c>
      <c r="AG118" s="3188" t="s">
        <v>3490</v>
      </c>
      <c r="AH118" s="3188">
        <v>89.45</v>
      </c>
      <c r="AI118" s="3188" t="s">
        <v>3402</v>
      </c>
      <c r="AJ118" s="3188" t="s">
        <v>3530</v>
      </c>
      <c r="AK118" s="3188">
        <v>14</v>
      </c>
      <c r="AL118" s="3188" t="s">
        <v>633</v>
      </c>
      <c r="AM118" s="3188">
        <v>47289</v>
      </c>
      <c r="AN118" s="3188">
        <v>44280</v>
      </c>
      <c r="AO118" s="3188">
        <v>3960846</v>
      </c>
      <c r="AP118" s="3189">
        <v>44255</v>
      </c>
    </row>
    <row r="119" spans="16:42" ht="60.75" hidden="1" thickBot="1">
      <c r="P119" s="3188">
        <v>128</v>
      </c>
      <c r="Q119" s="3188" t="s">
        <v>3861</v>
      </c>
      <c r="R119" s="3188" t="s">
        <v>3859</v>
      </c>
      <c r="S119" s="3188" t="s">
        <v>3490</v>
      </c>
      <c r="T119" s="3188">
        <v>155.41</v>
      </c>
      <c r="U119" s="3188" t="s">
        <v>3402</v>
      </c>
      <c r="V119" s="3188" t="s">
        <v>3765</v>
      </c>
      <c r="W119" s="3188">
        <v>5</v>
      </c>
      <c r="X119" s="3188">
        <v>48573</v>
      </c>
      <c r="Y119" s="3188">
        <v>48696</v>
      </c>
      <c r="Z119" s="3188">
        <v>7567845</v>
      </c>
      <c r="AA119" s="3189">
        <v>44414</v>
      </c>
      <c r="AD119" s="3186">
        <v>117</v>
      </c>
      <c r="AE119" s="3186" t="s">
        <v>4016</v>
      </c>
      <c r="AF119" s="3186" t="s">
        <v>3911</v>
      </c>
      <c r="AG119" s="3186" t="s">
        <v>3490</v>
      </c>
      <c r="AH119" s="3186">
        <v>88.83</v>
      </c>
      <c r="AI119" s="3186" t="s">
        <v>3402</v>
      </c>
      <c r="AJ119" s="3186" t="s">
        <v>3530</v>
      </c>
      <c r="AK119" s="3186">
        <v>4</v>
      </c>
      <c r="AL119" s="3186" t="s">
        <v>633</v>
      </c>
      <c r="AM119" s="3186">
        <v>43003</v>
      </c>
      <c r="AN119" s="3186">
        <v>41167</v>
      </c>
      <c r="AO119" s="3186">
        <v>3656865</v>
      </c>
      <c r="AP119" s="3187">
        <v>44255</v>
      </c>
    </row>
    <row r="120" spans="16:42" ht="60.75" hidden="1" thickBot="1">
      <c r="P120" s="3186">
        <v>129</v>
      </c>
      <c r="Q120" s="3195" t="s">
        <v>3862</v>
      </c>
      <c r="R120" s="3195" t="s">
        <v>3724</v>
      </c>
      <c r="S120" s="3195" t="s">
        <v>3490</v>
      </c>
      <c r="T120" s="3195">
        <v>82.25</v>
      </c>
      <c r="U120" s="3195" t="s">
        <v>3402</v>
      </c>
      <c r="V120" s="3195" t="s">
        <v>3757</v>
      </c>
      <c r="W120" s="3195">
        <v>9</v>
      </c>
      <c r="X120" s="3195">
        <v>48511</v>
      </c>
      <c r="Y120" s="3195">
        <v>46264</v>
      </c>
      <c r="Z120" s="3195">
        <v>3805214</v>
      </c>
      <c r="AA120" s="3196">
        <v>44394</v>
      </c>
      <c r="AD120" s="3188">
        <v>118</v>
      </c>
      <c r="AE120" s="3188" t="s">
        <v>4017</v>
      </c>
      <c r="AF120" s="3188" t="s">
        <v>3908</v>
      </c>
      <c r="AG120" s="3188" t="s">
        <v>3490</v>
      </c>
      <c r="AH120" s="3188">
        <v>85.34</v>
      </c>
      <c r="AI120" s="3188" t="s">
        <v>3402</v>
      </c>
      <c r="AJ120" s="3188" t="s">
        <v>3918</v>
      </c>
      <c r="AK120" s="3188">
        <v>22</v>
      </c>
      <c r="AL120" s="3188" t="s">
        <v>633</v>
      </c>
      <c r="AM120" s="3188">
        <v>43708</v>
      </c>
      <c r="AN120" s="3188">
        <v>41806</v>
      </c>
      <c r="AO120" s="3188">
        <v>3567724</v>
      </c>
      <c r="AP120" s="3189">
        <v>44247</v>
      </c>
    </row>
    <row r="121" spans="16:42" ht="60.75" hidden="1" thickBot="1">
      <c r="P121" s="3186">
        <v>133</v>
      </c>
      <c r="Q121" s="3186" t="s">
        <v>3863</v>
      </c>
      <c r="R121" s="3186" t="s">
        <v>3724</v>
      </c>
      <c r="S121" s="3186" t="s">
        <v>3490</v>
      </c>
      <c r="T121" s="3186">
        <v>88.83</v>
      </c>
      <c r="U121" s="3186" t="s">
        <v>3402</v>
      </c>
      <c r="V121" s="3186" t="s">
        <v>3746</v>
      </c>
      <c r="W121" s="3186">
        <v>11</v>
      </c>
      <c r="X121" s="3186">
        <v>43003</v>
      </c>
      <c r="Y121" s="3186">
        <v>41041</v>
      </c>
      <c r="Z121" s="3186">
        <v>3645672</v>
      </c>
      <c r="AA121" s="3187">
        <v>44345</v>
      </c>
      <c r="AD121" s="3186">
        <v>121</v>
      </c>
      <c r="AE121" s="3186" t="s">
        <v>4018</v>
      </c>
      <c r="AF121" s="3186" t="s">
        <v>3927</v>
      </c>
      <c r="AG121" s="3186" t="s">
        <v>3490</v>
      </c>
      <c r="AH121" s="3186">
        <v>89.1</v>
      </c>
      <c r="AI121" s="3186" t="s">
        <v>3402</v>
      </c>
      <c r="AJ121" s="3186" t="s">
        <v>3931</v>
      </c>
      <c r="AK121" s="3186">
        <v>19</v>
      </c>
      <c r="AL121" s="3186" t="s">
        <v>633</v>
      </c>
      <c r="AM121" s="3186">
        <v>47924</v>
      </c>
      <c r="AN121" s="3186">
        <v>44078</v>
      </c>
      <c r="AO121" s="3186">
        <v>3927350</v>
      </c>
      <c r="AP121" s="3187">
        <v>44215</v>
      </c>
    </row>
    <row r="122" spans="16:42" ht="60.75" hidden="1" thickBot="1">
      <c r="P122" s="3188">
        <v>134</v>
      </c>
      <c r="Q122" s="3188" t="s">
        <v>3864</v>
      </c>
      <c r="R122" s="3188" t="s">
        <v>3724</v>
      </c>
      <c r="S122" s="3188" t="s">
        <v>3490</v>
      </c>
      <c r="T122" s="3188">
        <v>88.79</v>
      </c>
      <c r="U122" s="3188" t="s">
        <v>3402</v>
      </c>
      <c r="V122" s="3188" t="s">
        <v>3746</v>
      </c>
      <c r="W122" s="3188">
        <v>21</v>
      </c>
      <c r="X122" s="3188">
        <v>41671</v>
      </c>
      <c r="Y122" s="3188">
        <v>39690</v>
      </c>
      <c r="Z122" s="3188">
        <v>3524075</v>
      </c>
      <c r="AA122" s="3189">
        <v>44330</v>
      </c>
      <c r="AD122" s="3188">
        <v>122</v>
      </c>
      <c r="AE122" s="3188" t="s">
        <v>4019</v>
      </c>
      <c r="AF122" s="3188" t="s">
        <v>3903</v>
      </c>
      <c r="AG122" s="3188" t="s">
        <v>3490</v>
      </c>
      <c r="AH122" s="3188">
        <v>84.39</v>
      </c>
      <c r="AI122" s="3188" t="s">
        <v>3402</v>
      </c>
      <c r="AJ122" s="3188" t="s">
        <v>3918</v>
      </c>
      <c r="AK122" s="3188">
        <v>11</v>
      </c>
      <c r="AL122" s="3188" t="s">
        <v>633</v>
      </c>
      <c r="AM122" s="3188">
        <v>41000</v>
      </c>
      <c r="AN122" s="3188">
        <v>39094</v>
      </c>
      <c r="AO122" s="3188">
        <v>3299143</v>
      </c>
      <c r="AP122" s="3189">
        <v>44215</v>
      </c>
    </row>
    <row r="123" spans="16:42" ht="60.75" hidden="1" thickBot="1">
      <c r="P123" s="3186">
        <v>135</v>
      </c>
      <c r="Q123" s="3186" t="s">
        <v>3865</v>
      </c>
      <c r="R123" s="3186" t="s">
        <v>3724</v>
      </c>
      <c r="S123" s="3186" t="s">
        <v>3490</v>
      </c>
      <c r="T123" s="3186">
        <v>87.11</v>
      </c>
      <c r="U123" s="3186" t="s">
        <v>3402</v>
      </c>
      <c r="V123" s="3186" t="s">
        <v>3752</v>
      </c>
      <c r="W123" s="3186">
        <v>12</v>
      </c>
      <c r="X123" s="3186">
        <v>43164</v>
      </c>
      <c r="Y123" s="3186">
        <v>41173</v>
      </c>
      <c r="Z123" s="3186">
        <v>3586580</v>
      </c>
      <c r="AA123" s="3187">
        <v>44323</v>
      </c>
      <c r="AD123" s="3186">
        <v>123</v>
      </c>
      <c r="AE123" s="3186" t="s">
        <v>4020</v>
      </c>
      <c r="AF123" s="3186" t="s">
        <v>3908</v>
      </c>
      <c r="AG123" s="3186" t="s">
        <v>3490</v>
      </c>
      <c r="AH123" s="3186">
        <v>84.44</v>
      </c>
      <c r="AI123" s="3186" t="s">
        <v>3402</v>
      </c>
      <c r="AJ123" s="3186" t="s">
        <v>3918</v>
      </c>
      <c r="AK123" s="3186">
        <v>15</v>
      </c>
      <c r="AL123" s="3186" t="s">
        <v>633</v>
      </c>
      <c r="AM123" s="3186">
        <v>41686</v>
      </c>
      <c r="AN123" s="3186">
        <v>39415</v>
      </c>
      <c r="AO123" s="3186">
        <v>3328203</v>
      </c>
      <c r="AP123" s="3187">
        <v>44204</v>
      </c>
    </row>
    <row r="124" spans="16:42" ht="60.75" hidden="1" thickBot="1">
      <c r="P124" s="3186">
        <v>137</v>
      </c>
      <c r="Q124" s="3186" t="s">
        <v>3866</v>
      </c>
      <c r="R124" s="3186" t="s">
        <v>3724</v>
      </c>
      <c r="S124" s="3186" t="s">
        <v>3490</v>
      </c>
      <c r="T124" s="3186">
        <v>87.11</v>
      </c>
      <c r="U124" s="3186" t="s">
        <v>3402</v>
      </c>
      <c r="V124" s="3186" t="s">
        <v>3752</v>
      </c>
      <c r="W124" s="3186">
        <v>22</v>
      </c>
      <c r="X124" s="3186">
        <v>42475</v>
      </c>
      <c r="Y124" s="3186">
        <v>40589</v>
      </c>
      <c r="Z124" s="3186">
        <v>3535708</v>
      </c>
      <c r="AA124" s="3187">
        <v>44295</v>
      </c>
      <c r="AD124" s="3188">
        <v>124</v>
      </c>
      <c r="AE124" s="3188" t="s">
        <v>4021</v>
      </c>
      <c r="AF124" s="3188" t="s">
        <v>3903</v>
      </c>
      <c r="AG124" s="3188" t="s">
        <v>3490</v>
      </c>
      <c r="AH124" s="3188">
        <v>83.96</v>
      </c>
      <c r="AI124" s="3188" t="s">
        <v>3402</v>
      </c>
      <c r="AJ124" s="3188" t="s">
        <v>3914</v>
      </c>
      <c r="AK124" s="3188">
        <v>15</v>
      </c>
      <c r="AL124" s="3188" t="s">
        <v>633</v>
      </c>
      <c r="AM124" s="3188">
        <v>42878</v>
      </c>
      <c r="AN124" s="3188">
        <v>40600</v>
      </c>
      <c r="AO124" s="3188">
        <v>3408776</v>
      </c>
      <c r="AP124" s="3189">
        <v>44204</v>
      </c>
    </row>
    <row r="125" spans="16:42" ht="60.75" thickBot="1">
      <c r="P125" s="3188">
        <v>138</v>
      </c>
      <c r="Q125" s="3190" t="s">
        <v>3867</v>
      </c>
      <c r="R125" s="3190" t="s">
        <v>3724</v>
      </c>
      <c r="S125" s="3190" t="s">
        <v>3490</v>
      </c>
      <c r="T125" s="3190">
        <v>190.71</v>
      </c>
      <c r="U125" s="3190" t="s">
        <v>3402</v>
      </c>
      <c r="V125" s="3190" t="s">
        <v>3800</v>
      </c>
      <c r="W125" s="3190">
        <v>21</v>
      </c>
      <c r="X125" s="3190">
        <v>40008</v>
      </c>
      <c r="Y125" s="3190">
        <v>40060</v>
      </c>
      <c r="Z125" s="3190">
        <v>7639843</v>
      </c>
      <c r="AA125" s="3191">
        <v>44286</v>
      </c>
      <c r="AD125" s="3206">
        <v>127</v>
      </c>
      <c r="AE125" s="3206" t="s">
        <v>4022</v>
      </c>
      <c r="AF125" s="3206" t="s">
        <v>3903</v>
      </c>
      <c r="AG125" s="3206" t="s">
        <v>3490</v>
      </c>
      <c r="AH125" s="3206">
        <v>84.39</v>
      </c>
      <c r="AI125" s="3206" t="s">
        <v>3402</v>
      </c>
      <c r="AJ125" s="3206" t="s">
        <v>3906</v>
      </c>
      <c r="AK125" s="3206">
        <v>19</v>
      </c>
      <c r="AL125" s="3206">
        <v>2013</v>
      </c>
      <c r="AM125" s="3206">
        <v>40645</v>
      </c>
      <c r="AN125" s="3206">
        <v>38622</v>
      </c>
      <c r="AO125" s="3206">
        <v>3259311</v>
      </c>
      <c r="AP125" s="3207">
        <v>44156</v>
      </c>
    </row>
    <row r="126" spans="16:42" ht="60.75" thickBot="1">
      <c r="AD126" s="3206">
        <v>128</v>
      </c>
      <c r="AE126" s="3206" t="s">
        <v>4023</v>
      </c>
      <c r="AF126" s="3206" t="s">
        <v>3911</v>
      </c>
      <c r="AG126" s="3206" t="s">
        <v>3490</v>
      </c>
      <c r="AH126" s="3206">
        <v>83.6</v>
      </c>
      <c r="AI126" s="3206" t="s">
        <v>3402</v>
      </c>
      <c r="AJ126" s="3206" t="s">
        <v>3914</v>
      </c>
      <c r="AK126" s="3206">
        <v>24</v>
      </c>
      <c r="AL126" s="3206" t="s">
        <v>633</v>
      </c>
      <c r="AM126" s="3206">
        <v>40909</v>
      </c>
      <c r="AN126" s="3206">
        <v>38548</v>
      </c>
      <c r="AO126" s="3206">
        <v>3222613</v>
      </c>
      <c r="AP126" s="3207">
        <v>44140</v>
      </c>
    </row>
    <row r="127" spans="16:42" ht="60.75" thickBot="1">
      <c r="AD127" s="3206">
        <v>129</v>
      </c>
      <c r="AE127" s="3206" t="s">
        <v>4024</v>
      </c>
      <c r="AF127" s="3206" t="s">
        <v>3911</v>
      </c>
      <c r="AG127" s="3206" t="s">
        <v>3490</v>
      </c>
      <c r="AH127" s="3206">
        <v>89.48</v>
      </c>
      <c r="AI127" s="3206" t="s">
        <v>3402</v>
      </c>
      <c r="AJ127" s="3206" t="s">
        <v>3914</v>
      </c>
      <c r="AK127" s="3206">
        <v>11</v>
      </c>
      <c r="AL127" s="3206" t="s">
        <v>633</v>
      </c>
      <c r="AM127" s="3206">
        <v>45094</v>
      </c>
      <c r="AN127" s="3206">
        <v>42851</v>
      </c>
      <c r="AO127" s="3206">
        <v>3834307</v>
      </c>
      <c r="AP127" s="3207">
        <v>44125</v>
      </c>
    </row>
    <row r="128" spans="16:42" ht="60.75" hidden="1" thickBot="1">
      <c r="P128" s="3186">
        <v>139</v>
      </c>
      <c r="Q128" s="3186" t="s">
        <v>3868</v>
      </c>
      <c r="R128" s="3186" t="s">
        <v>3724</v>
      </c>
      <c r="S128" s="3186" t="s">
        <v>3490</v>
      </c>
      <c r="T128" s="3186">
        <v>91.86</v>
      </c>
      <c r="U128" s="3186" t="s">
        <v>3402</v>
      </c>
      <c r="V128" s="3186" t="s">
        <v>3746</v>
      </c>
      <c r="W128" s="3186">
        <v>12</v>
      </c>
      <c r="X128" s="3186">
        <v>42782</v>
      </c>
      <c r="Y128" s="3186">
        <v>40673</v>
      </c>
      <c r="Z128" s="3186">
        <v>3736222</v>
      </c>
      <c r="AA128" s="3187">
        <v>44293</v>
      </c>
      <c r="AD128" s="3186">
        <v>131</v>
      </c>
      <c r="AE128" s="3186" t="s">
        <v>4025</v>
      </c>
      <c r="AF128" s="3186" t="s">
        <v>3908</v>
      </c>
      <c r="AG128" s="3186" t="s">
        <v>3490</v>
      </c>
      <c r="AH128" s="3186">
        <v>89.49</v>
      </c>
      <c r="AI128" s="3186" t="s">
        <v>3402</v>
      </c>
      <c r="AJ128" s="3186" t="s">
        <v>3942</v>
      </c>
      <c r="AK128" s="3186">
        <v>13</v>
      </c>
      <c r="AL128" s="3186" t="s">
        <v>633</v>
      </c>
      <c r="AM128" s="3186">
        <v>47044</v>
      </c>
      <c r="AN128" s="3186">
        <v>44730</v>
      </c>
      <c r="AO128" s="3186">
        <v>4002888</v>
      </c>
      <c r="AP128" s="3187">
        <v>44102</v>
      </c>
    </row>
    <row r="129" spans="16:42" ht="60.75" hidden="1" thickBot="1">
      <c r="P129" s="3188">
        <v>140</v>
      </c>
      <c r="Q129" s="3188" t="s">
        <v>3867</v>
      </c>
      <c r="R129" s="3188" t="s">
        <v>3724</v>
      </c>
      <c r="S129" s="3188" t="s">
        <v>3490</v>
      </c>
      <c r="T129" s="3188">
        <v>190.71</v>
      </c>
      <c r="U129" s="3188" t="s">
        <v>3402</v>
      </c>
      <c r="V129" s="3188" t="s">
        <v>3800</v>
      </c>
      <c r="W129" s="3188">
        <v>21</v>
      </c>
      <c r="X129" s="3188">
        <v>40008</v>
      </c>
      <c r="Y129" s="3188">
        <v>38298</v>
      </c>
      <c r="Z129" s="3188">
        <v>7303812</v>
      </c>
      <c r="AA129" s="3189">
        <v>44286</v>
      </c>
      <c r="AD129" s="3188">
        <v>132</v>
      </c>
      <c r="AE129" s="3188" t="s">
        <v>4026</v>
      </c>
      <c r="AF129" s="3188" t="s">
        <v>3903</v>
      </c>
      <c r="AG129" s="3188" t="s">
        <v>3490</v>
      </c>
      <c r="AH129" s="3188">
        <v>89.77</v>
      </c>
      <c r="AI129" s="3188" t="s">
        <v>3402</v>
      </c>
      <c r="AJ129" s="3188" t="s">
        <v>3921</v>
      </c>
      <c r="AK129" s="3188">
        <v>24</v>
      </c>
      <c r="AL129" s="3188" t="s">
        <v>633</v>
      </c>
      <c r="AM129" s="3188">
        <v>45449</v>
      </c>
      <c r="AN129" s="3188">
        <v>43251</v>
      </c>
      <c r="AO129" s="3188">
        <v>3882642</v>
      </c>
      <c r="AP129" s="3189">
        <v>44091</v>
      </c>
    </row>
    <row r="130" spans="16:42" ht="60.75" hidden="1" thickBot="1">
      <c r="P130" s="3186">
        <v>141</v>
      </c>
      <c r="Q130" s="3186" t="s">
        <v>3869</v>
      </c>
      <c r="R130" s="3186" t="s">
        <v>3724</v>
      </c>
      <c r="S130" s="3186" t="s">
        <v>3490</v>
      </c>
      <c r="T130" s="3186">
        <v>88.83</v>
      </c>
      <c r="U130" s="3186" t="s">
        <v>3402</v>
      </c>
      <c r="V130" s="3186" t="s">
        <v>3746</v>
      </c>
      <c r="W130" s="3186">
        <v>20</v>
      </c>
      <c r="X130" s="3186">
        <v>41675</v>
      </c>
      <c r="Y130" s="3186">
        <v>38758</v>
      </c>
      <c r="Z130" s="3186">
        <v>3442873</v>
      </c>
      <c r="AA130" s="3187">
        <v>44272</v>
      </c>
      <c r="AD130" s="3186">
        <v>133</v>
      </c>
      <c r="AE130" s="3186" t="s">
        <v>4027</v>
      </c>
      <c r="AF130" s="3186" t="s">
        <v>3908</v>
      </c>
      <c r="AG130" s="3186" t="s">
        <v>3490</v>
      </c>
      <c r="AH130" s="3186">
        <v>84.44</v>
      </c>
      <c r="AI130" s="3186" t="s">
        <v>3402</v>
      </c>
      <c r="AJ130" s="3186" t="s">
        <v>3918</v>
      </c>
      <c r="AK130" s="3186">
        <v>5</v>
      </c>
      <c r="AL130" s="3186" t="s">
        <v>633</v>
      </c>
      <c r="AM130" s="3186">
        <v>40976</v>
      </c>
      <c r="AN130" s="3186">
        <v>39014</v>
      </c>
      <c r="AO130" s="3186">
        <v>3294342</v>
      </c>
      <c r="AP130" s="3187">
        <v>44091</v>
      </c>
    </row>
    <row r="131" spans="16:42" ht="60.75" hidden="1" thickBot="1">
      <c r="P131" s="3188">
        <v>142</v>
      </c>
      <c r="Q131" s="3188" t="s">
        <v>3870</v>
      </c>
      <c r="R131" s="3188" t="s">
        <v>3724</v>
      </c>
      <c r="S131" s="3188" t="s">
        <v>3490</v>
      </c>
      <c r="T131" s="3188">
        <v>139.31</v>
      </c>
      <c r="U131" s="3188" t="s">
        <v>3402</v>
      </c>
      <c r="V131" s="3188" t="s">
        <v>3759</v>
      </c>
      <c r="W131" s="3188">
        <v>5</v>
      </c>
      <c r="X131" s="3188">
        <v>43644</v>
      </c>
      <c r="Y131" s="3188">
        <v>41592</v>
      </c>
      <c r="Z131" s="3188">
        <v>5794182</v>
      </c>
      <c r="AA131" s="3189">
        <v>44264</v>
      </c>
      <c r="AD131" s="3188">
        <v>134</v>
      </c>
      <c r="AE131" s="3188" t="s">
        <v>4028</v>
      </c>
      <c r="AF131" s="3188" t="s">
        <v>3903</v>
      </c>
      <c r="AG131" s="3188" t="s">
        <v>3490</v>
      </c>
      <c r="AH131" s="3188">
        <v>85.8</v>
      </c>
      <c r="AI131" s="3188" t="s">
        <v>3402</v>
      </c>
      <c r="AJ131" s="3188" t="s">
        <v>3945</v>
      </c>
      <c r="AK131" s="3188">
        <v>6</v>
      </c>
      <c r="AL131" s="3188" t="s">
        <v>633</v>
      </c>
      <c r="AM131" s="3188">
        <v>39394</v>
      </c>
      <c r="AN131" s="3188">
        <v>37449</v>
      </c>
      <c r="AO131" s="3188">
        <v>3213124</v>
      </c>
      <c r="AP131" s="3189">
        <v>44084</v>
      </c>
    </row>
    <row r="132" spans="16:42" ht="60.75" hidden="1" thickBot="1">
      <c r="P132" s="3186">
        <v>143</v>
      </c>
      <c r="Q132" s="3186" t="s">
        <v>3871</v>
      </c>
      <c r="R132" s="3186" t="s">
        <v>3859</v>
      </c>
      <c r="S132" s="3186" t="s">
        <v>3490</v>
      </c>
      <c r="T132" s="3186">
        <v>137.1</v>
      </c>
      <c r="U132" s="3186" t="s">
        <v>3402</v>
      </c>
      <c r="V132" s="3186" t="s">
        <v>3872</v>
      </c>
      <c r="W132" s="3186">
        <v>2</v>
      </c>
      <c r="X132" s="3186">
        <v>40336</v>
      </c>
      <c r="Y132" s="3186">
        <v>37538</v>
      </c>
      <c r="Z132" s="3186">
        <v>5146460</v>
      </c>
      <c r="AA132" s="3187">
        <v>44251</v>
      </c>
      <c r="AD132" s="3186">
        <v>135</v>
      </c>
      <c r="AE132" s="3186" t="s">
        <v>4029</v>
      </c>
      <c r="AF132" s="3186" t="s">
        <v>3911</v>
      </c>
      <c r="AG132" s="3186" t="s">
        <v>3490</v>
      </c>
      <c r="AH132" s="3186">
        <v>83.6</v>
      </c>
      <c r="AI132" s="3186" t="s">
        <v>3402</v>
      </c>
      <c r="AJ132" s="3186" t="s">
        <v>3914</v>
      </c>
      <c r="AK132" s="3186">
        <v>9</v>
      </c>
      <c r="AL132" s="3186" t="s">
        <v>633</v>
      </c>
      <c r="AM132" s="3186">
        <v>40670</v>
      </c>
      <c r="AN132" s="3186">
        <v>38992</v>
      </c>
      <c r="AO132" s="3186">
        <v>3259731</v>
      </c>
      <c r="AP132" s="3187">
        <v>44078</v>
      </c>
    </row>
    <row r="133" spans="16:42" ht="60.75" hidden="1" thickBot="1">
      <c r="P133" s="3188">
        <v>144</v>
      </c>
      <c r="Q133" s="3188" t="s">
        <v>3873</v>
      </c>
      <c r="R133" s="3188" t="s">
        <v>3724</v>
      </c>
      <c r="S133" s="3188" t="s">
        <v>3490</v>
      </c>
      <c r="T133" s="3188">
        <v>88.83</v>
      </c>
      <c r="U133" s="3188" t="s">
        <v>3402</v>
      </c>
      <c r="V133" s="3188" t="s">
        <v>3746</v>
      </c>
      <c r="W133" s="3188">
        <v>19</v>
      </c>
      <c r="X133" s="3188">
        <v>40527</v>
      </c>
      <c r="Y133" s="3188">
        <v>38632</v>
      </c>
      <c r="Z133" s="3188">
        <v>3431681</v>
      </c>
      <c r="AA133" s="3189">
        <v>44252</v>
      </c>
      <c r="AD133" s="3186">
        <v>137</v>
      </c>
      <c r="AE133" s="3186" t="s">
        <v>4030</v>
      </c>
      <c r="AF133" s="3186" t="s">
        <v>3908</v>
      </c>
      <c r="AG133" s="3186" t="s">
        <v>3490</v>
      </c>
      <c r="AH133" s="3186">
        <v>89.47</v>
      </c>
      <c r="AI133" s="3186" t="s">
        <v>3402</v>
      </c>
      <c r="AJ133" s="3186" t="s">
        <v>3909</v>
      </c>
      <c r="AK133" s="3186">
        <v>24</v>
      </c>
      <c r="AL133" s="3186" t="s">
        <v>633</v>
      </c>
      <c r="AM133" s="3186">
        <v>46496</v>
      </c>
      <c r="AN133" s="3186">
        <v>44170</v>
      </c>
      <c r="AO133" s="3186">
        <v>3951890</v>
      </c>
      <c r="AP133" s="3187">
        <v>44069</v>
      </c>
    </row>
    <row r="134" spans="16:42" ht="60.75" hidden="1" thickBot="1">
      <c r="P134" s="3188">
        <v>146</v>
      </c>
      <c r="Q134" s="3188" t="s">
        <v>3874</v>
      </c>
      <c r="R134" s="3188" t="s">
        <v>3724</v>
      </c>
      <c r="S134" s="3188" t="s">
        <v>3490</v>
      </c>
      <c r="T134" s="3188">
        <v>93</v>
      </c>
      <c r="U134" s="3188" t="s">
        <v>3402</v>
      </c>
      <c r="V134" s="3188" t="s">
        <v>3746</v>
      </c>
      <c r="W134" s="3188">
        <v>20</v>
      </c>
      <c r="X134" s="3188">
        <v>41828</v>
      </c>
      <c r="Y134" s="3188">
        <v>39151</v>
      </c>
      <c r="Z134" s="3188">
        <v>3641043</v>
      </c>
      <c r="AA134" s="3189">
        <v>44212</v>
      </c>
      <c r="AD134" s="3188">
        <v>140</v>
      </c>
      <c r="AE134" s="3188" t="s">
        <v>4031</v>
      </c>
      <c r="AF134" s="3188" t="s">
        <v>3908</v>
      </c>
      <c r="AG134" s="3188" t="s">
        <v>3490</v>
      </c>
      <c r="AH134" s="3188">
        <v>119.62</v>
      </c>
      <c r="AI134" s="3188" t="s">
        <v>3402</v>
      </c>
      <c r="AJ134" s="3188" t="s">
        <v>3906</v>
      </c>
      <c r="AK134" s="3188">
        <v>27</v>
      </c>
      <c r="AL134" s="3188" t="s">
        <v>633</v>
      </c>
      <c r="AM134" s="3188">
        <v>42635</v>
      </c>
      <c r="AN134" s="3188">
        <v>40562</v>
      </c>
      <c r="AO134" s="3188">
        <v>4852026</v>
      </c>
      <c r="AP134" s="3189">
        <v>44036</v>
      </c>
    </row>
    <row r="135" spans="16:42" ht="60.75" thickBot="1">
      <c r="P135" s="3206">
        <v>150</v>
      </c>
      <c r="Q135" s="3206" t="s">
        <v>3875</v>
      </c>
      <c r="R135" s="3206" t="s">
        <v>3724</v>
      </c>
      <c r="S135" s="3206" t="s">
        <v>3490</v>
      </c>
      <c r="T135" s="3206">
        <v>87.07</v>
      </c>
      <c r="U135" s="3206" t="s">
        <v>3402</v>
      </c>
      <c r="V135" s="3206" t="s">
        <v>3752</v>
      </c>
      <c r="W135" s="3206">
        <v>5</v>
      </c>
      <c r="X135" s="3206">
        <v>39738</v>
      </c>
      <c r="Y135" s="3206">
        <v>37899</v>
      </c>
      <c r="Z135" s="3206">
        <v>3299866</v>
      </c>
      <c r="AA135" s="3207">
        <v>44148</v>
      </c>
      <c r="AD135" s="3186">
        <v>141</v>
      </c>
      <c r="AE135" s="3186" t="s">
        <v>4032</v>
      </c>
      <c r="AF135" s="3186" t="s">
        <v>3903</v>
      </c>
      <c r="AG135" s="3186" t="s">
        <v>3490</v>
      </c>
      <c r="AH135" s="3186">
        <v>90.18</v>
      </c>
      <c r="AI135" s="3186" t="s">
        <v>3402</v>
      </c>
      <c r="AJ135" s="3186" t="s">
        <v>3906</v>
      </c>
      <c r="AK135" s="3186">
        <v>17</v>
      </c>
      <c r="AL135" s="3186" t="s">
        <v>633</v>
      </c>
      <c r="AM135" s="3186">
        <v>40475</v>
      </c>
      <c r="AN135" s="3186">
        <v>37956</v>
      </c>
      <c r="AO135" s="3186">
        <v>3422872</v>
      </c>
      <c r="AP135" s="3187">
        <v>44006</v>
      </c>
    </row>
    <row r="136" spans="16:42" ht="60.75" thickBot="1">
      <c r="P136" s="3206">
        <v>151</v>
      </c>
      <c r="Q136" s="3206" t="s">
        <v>3876</v>
      </c>
      <c r="R136" s="3206" t="s">
        <v>3724</v>
      </c>
      <c r="S136" s="3206" t="s">
        <v>3490</v>
      </c>
      <c r="T136" s="3206">
        <v>88.83</v>
      </c>
      <c r="U136" s="3206" t="s">
        <v>3402</v>
      </c>
      <c r="V136" s="3206" t="s">
        <v>3746</v>
      </c>
      <c r="W136" s="3206">
        <v>12</v>
      </c>
      <c r="X136" s="3206">
        <v>39289</v>
      </c>
      <c r="Y136" s="3206">
        <v>37347</v>
      </c>
      <c r="Z136" s="3206">
        <v>3317534</v>
      </c>
      <c r="AA136" s="3207">
        <v>44141</v>
      </c>
      <c r="AD136" s="3188">
        <v>142</v>
      </c>
      <c r="AE136" s="3188" t="s">
        <v>4033</v>
      </c>
      <c r="AF136" s="3188" t="s">
        <v>3908</v>
      </c>
      <c r="AG136" s="3188" t="s">
        <v>3490</v>
      </c>
      <c r="AH136" s="3188">
        <v>119.47</v>
      </c>
      <c r="AI136" s="3188" t="s">
        <v>3402</v>
      </c>
      <c r="AJ136" s="3188" t="s">
        <v>3918</v>
      </c>
      <c r="AK136" s="3188">
        <v>5</v>
      </c>
      <c r="AL136" s="3188" t="s">
        <v>633</v>
      </c>
      <c r="AM136" s="3188">
        <v>41182</v>
      </c>
      <c r="AN136" s="3188">
        <v>39268</v>
      </c>
      <c r="AO136" s="3188">
        <v>4691348</v>
      </c>
      <c r="AP136" s="3189">
        <v>43998</v>
      </c>
    </row>
    <row r="137" spans="16:42" ht="60.75" thickBot="1">
      <c r="P137" s="3206">
        <v>152</v>
      </c>
      <c r="Q137" s="3206" t="s">
        <v>3877</v>
      </c>
      <c r="R137" s="3206" t="s">
        <v>3724</v>
      </c>
      <c r="S137" s="3206" t="s">
        <v>3490</v>
      </c>
      <c r="T137" s="3206">
        <v>92.11</v>
      </c>
      <c r="U137" s="3206" t="s">
        <v>3402</v>
      </c>
      <c r="V137" s="3206" t="s">
        <v>3752</v>
      </c>
      <c r="W137" s="3206">
        <v>23</v>
      </c>
      <c r="X137" s="3206">
        <v>39627</v>
      </c>
      <c r="Y137" s="3206">
        <v>37732</v>
      </c>
      <c r="Z137" s="3206">
        <v>3475495</v>
      </c>
      <c r="AA137" s="3207">
        <v>44149</v>
      </c>
      <c r="AD137" s="3186">
        <v>143</v>
      </c>
      <c r="AE137" s="3186" t="s">
        <v>4034</v>
      </c>
      <c r="AF137" s="3186" t="s">
        <v>3911</v>
      </c>
      <c r="AG137" s="3186" t="s">
        <v>3490</v>
      </c>
      <c r="AH137" s="3186">
        <v>89.35</v>
      </c>
      <c r="AI137" s="3186" t="s">
        <v>3402</v>
      </c>
      <c r="AJ137" s="3186" t="s">
        <v>3904</v>
      </c>
      <c r="AK137" s="3186">
        <v>2</v>
      </c>
      <c r="AL137" s="3186" t="s">
        <v>633</v>
      </c>
      <c r="AM137" s="3186">
        <v>41186</v>
      </c>
      <c r="AN137" s="3186">
        <v>38290</v>
      </c>
      <c r="AO137" s="3186">
        <v>3421212</v>
      </c>
      <c r="AP137" s="3187">
        <v>43995</v>
      </c>
    </row>
    <row r="138" spans="16:42" ht="60.75" thickBot="1">
      <c r="P138" s="3186">
        <v>153</v>
      </c>
      <c r="Q138" s="3186" t="s">
        <v>3878</v>
      </c>
      <c r="R138" s="3186" t="s">
        <v>3724</v>
      </c>
      <c r="S138" s="3186" t="s">
        <v>3490</v>
      </c>
      <c r="T138" s="3186">
        <v>88.83</v>
      </c>
      <c r="U138" s="3186" t="s">
        <v>3402</v>
      </c>
      <c r="V138" s="3186" t="s">
        <v>3746</v>
      </c>
      <c r="W138" s="3186">
        <v>18</v>
      </c>
      <c r="X138" s="3186">
        <v>40527</v>
      </c>
      <c r="Y138" s="3186">
        <v>36543</v>
      </c>
      <c r="Z138" s="3186">
        <v>3246115</v>
      </c>
      <c r="AA138" s="3187">
        <v>44093</v>
      </c>
      <c r="AD138" s="3188">
        <v>144</v>
      </c>
      <c r="AE138" s="3188" t="s">
        <v>4035</v>
      </c>
      <c r="AF138" s="3188" t="s">
        <v>3908</v>
      </c>
      <c r="AG138" s="3188" t="s">
        <v>3490</v>
      </c>
      <c r="AH138" s="3188">
        <v>84.29</v>
      </c>
      <c r="AI138" s="3188" t="s">
        <v>3402</v>
      </c>
      <c r="AJ138" s="3188" t="s">
        <v>3918</v>
      </c>
      <c r="AK138" s="3188">
        <v>9</v>
      </c>
      <c r="AL138" s="3188" t="s">
        <v>633</v>
      </c>
      <c r="AM138" s="3188">
        <v>40337</v>
      </c>
      <c r="AN138" s="3188">
        <v>37938</v>
      </c>
      <c r="AO138" s="3188">
        <v>3197794</v>
      </c>
      <c r="AP138" s="3189">
        <v>43995</v>
      </c>
    </row>
    <row r="139" spans="16:42" ht="60.75" thickBot="1">
      <c r="P139" s="3188">
        <v>154</v>
      </c>
      <c r="Q139" s="3188" t="s">
        <v>3879</v>
      </c>
      <c r="R139" s="3188" t="s">
        <v>3724</v>
      </c>
      <c r="S139" s="3188" t="s">
        <v>3490</v>
      </c>
      <c r="T139" s="3188">
        <v>87.11</v>
      </c>
      <c r="U139" s="3188" t="s">
        <v>3402</v>
      </c>
      <c r="V139" s="3188" t="s">
        <v>3752</v>
      </c>
      <c r="W139" s="3188">
        <v>15</v>
      </c>
      <c r="X139" s="3188">
        <v>40179</v>
      </c>
      <c r="Y139" s="3188">
        <v>38598</v>
      </c>
      <c r="Z139" s="3188">
        <v>3362272</v>
      </c>
      <c r="AA139" s="3189">
        <v>44055</v>
      </c>
      <c r="AD139" s="3186">
        <v>145</v>
      </c>
      <c r="AE139" s="3186" t="s">
        <v>4036</v>
      </c>
      <c r="AF139" s="3186" t="s">
        <v>3903</v>
      </c>
      <c r="AG139" s="3186" t="s">
        <v>3490</v>
      </c>
      <c r="AH139" s="3186">
        <v>89.78</v>
      </c>
      <c r="AI139" s="3186" t="s">
        <v>3402</v>
      </c>
      <c r="AJ139" s="3186" t="s">
        <v>3904</v>
      </c>
      <c r="AK139" s="3186">
        <v>10</v>
      </c>
      <c r="AL139" s="3186" t="s">
        <v>633</v>
      </c>
      <c r="AM139" s="3186">
        <v>42214</v>
      </c>
      <c r="AN139" s="3186">
        <v>40197</v>
      </c>
      <c r="AO139" s="3186">
        <v>3608887</v>
      </c>
      <c r="AP139" s="3187">
        <v>43841</v>
      </c>
    </row>
    <row r="140" spans="16:42" ht="60.75" thickBot="1">
      <c r="P140" s="3186">
        <v>155</v>
      </c>
      <c r="Q140" s="3186" t="s">
        <v>3880</v>
      </c>
      <c r="R140" s="3186" t="s">
        <v>3724</v>
      </c>
      <c r="S140" s="3186" t="s">
        <v>3490</v>
      </c>
      <c r="T140" s="3186">
        <v>88.74</v>
      </c>
      <c r="U140" s="3186" t="s">
        <v>3402</v>
      </c>
      <c r="V140" s="3186" t="s">
        <v>3746</v>
      </c>
      <c r="W140" s="3186">
        <v>6</v>
      </c>
      <c r="X140" s="3186">
        <v>40568</v>
      </c>
      <c r="Y140" s="3186">
        <v>38596</v>
      </c>
      <c r="Z140" s="3186">
        <v>3425009</v>
      </c>
      <c r="AA140" s="3187">
        <v>44027</v>
      </c>
      <c r="AD140" s="3188">
        <v>146</v>
      </c>
      <c r="AE140" s="3188" t="s">
        <v>4037</v>
      </c>
      <c r="AF140" s="3188" t="s">
        <v>4038</v>
      </c>
      <c r="AG140" s="3188" t="s">
        <v>3490</v>
      </c>
      <c r="AH140" s="3188">
        <v>89.47</v>
      </c>
      <c r="AI140" s="3188" t="s">
        <v>3402</v>
      </c>
      <c r="AJ140" s="3188" t="s">
        <v>3909</v>
      </c>
      <c r="AK140" s="3188">
        <v>7</v>
      </c>
      <c r="AL140" s="3188" t="s">
        <v>633</v>
      </c>
      <c r="AM140" s="3188">
        <v>43590</v>
      </c>
      <c r="AN140" s="3188">
        <v>36300</v>
      </c>
      <c r="AO140" s="3188">
        <v>3247761</v>
      </c>
      <c r="AP140" s="3189">
        <v>43792</v>
      </c>
    </row>
    <row r="141" spans="16:42" ht="60.75" thickBot="1">
      <c r="P141" s="3188">
        <v>156</v>
      </c>
      <c r="Q141" s="3188" t="s">
        <v>3881</v>
      </c>
      <c r="R141" s="3188" t="s">
        <v>3724</v>
      </c>
      <c r="S141" s="3188" t="s">
        <v>3490</v>
      </c>
      <c r="T141" s="3188">
        <v>88.79</v>
      </c>
      <c r="U141" s="3188" t="s">
        <v>3402</v>
      </c>
      <c r="V141" s="3188" t="s">
        <v>3746</v>
      </c>
      <c r="W141" s="3188">
        <v>18</v>
      </c>
      <c r="X141" s="3188">
        <v>22525</v>
      </c>
      <c r="Y141" s="3188">
        <v>37589</v>
      </c>
      <c r="Z141" s="3188">
        <v>3337527</v>
      </c>
      <c r="AA141" s="3189">
        <v>43963</v>
      </c>
      <c r="AD141" s="3186">
        <v>147</v>
      </c>
      <c r="AE141" s="3186" t="s">
        <v>4039</v>
      </c>
      <c r="AF141" s="3186" t="s">
        <v>4038</v>
      </c>
      <c r="AG141" s="3186" t="s">
        <v>3490</v>
      </c>
      <c r="AH141" s="3186">
        <v>119.62</v>
      </c>
      <c r="AI141" s="3186" t="s">
        <v>3402</v>
      </c>
      <c r="AJ141" s="3186" t="s">
        <v>3918</v>
      </c>
      <c r="AK141" s="3186">
        <v>24</v>
      </c>
      <c r="AL141" s="3186" t="s">
        <v>633</v>
      </c>
      <c r="AM141" s="3186">
        <v>42551</v>
      </c>
      <c r="AN141" s="3186">
        <v>38170</v>
      </c>
      <c r="AO141" s="3186">
        <v>4565895</v>
      </c>
      <c r="AP141" s="3187">
        <v>43791</v>
      </c>
    </row>
    <row r="142" spans="16:42" ht="60.75" thickBot="1">
      <c r="P142" s="3186">
        <v>157</v>
      </c>
      <c r="Q142" s="3186" t="s">
        <v>3882</v>
      </c>
      <c r="R142" s="3186" t="s">
        <v>3724</v>
      </c>
      <c r="S142" s="3186" t="s">
        <v>3490</v>
      </c>
      <c r="T142" s="3186">
        <v>83.08</v>
      </c>
      <c r="U142" s="3186" t="s">
        <v>3402</v>
      </c>
      <c r="V142" s="3186" t="s">
        <v>3786</v>
      </c>
      <c r="W142" s="3186">
        <v>7</v>
      </c>
      <c r="X142" s="3186">
        <v>43645</v>
      </c>
      <c r="Y142" s="3186">
        <v>41773</v>
      </c>
      <c r="Z142" s="3186">
        <v>3470501</v>
      </c>
      <c r="AA142" s="3187">
        <v>43950</v>
      </c>
      <c r="AD142" s="3188">
        <v>148</v>
      </c>
      <c r="AE142" s="3188" t="s">
        <v>4040</v>
      </c>
      <c r="AF142" s="3188" t="s">
        <v>3911</v>
      </c>
      <c r="AG142" s="3188" t="s">
        <v>3490</v>
      </c>
      <c r="AH142" s="3188">
        <v>83.56</v>
      </c>
      <c r="AI142" s="3188" t="s">
        <v>3402</v>
      </c>
      <c r="AJ142" s="3188" t="s">
        <v>3904</v>
      </c>
      <c r="AK142" s="3188">
        <v>12</v>
      </c>
      <c r="AL142" s="3188" t="s">
        <v>633</v>
      </c>
      <c r="AM142" s="3188">
        <v>40211</v>
      </c>
      <c r="AN142" s="3188">
        <v>37390</v>
      </c>
      <c r="AO142" s="3188">
        <v>3124308</v>
      </c>
      <c r="AP142" s="3189">
        <v>43789</v>
      </c>
    </row>
    <row r="143" spans="16:42" ht="60.75" thickBot="1">
      <c r="P143" s="3188">
        <v>158</v>
      </c>
      <c r="Q143" s="3188" t="s">
        <v>3883</v>
      </c>
      <c r="R143" s="3188" t="s">
        <v>3724</v>
      </c>
      <c r="S143" s="3188" t="s">
        <v>3490</v>
      </c>
      <c r="T143" s="3188">
        <v>139.88</v>
      </c>
      <c r="U143" s="3188" t="s">
        <v>3402</v>
      </c>
      <c r="V143" s="3188" t="s">
        <v>3884</v>
      </c>
      <c r="W143" s="3188">
        <v>6</v>
      </c>
      <c r="X143" s="3188">
        <v>41750</v>
      </c>
      <c r="Y143" s="3188">
        <v>36952</v>
      </c>
      <c r="Z143" s="3188">
        <v>5168846</v>
      </c>
      <c r="AA143" s="3189">
        <v>43970</v>
      </c>
      <c r="AD143" s="3186">
        <v>149</v>
      </c>
      <c r="AE143" s="3186" t="s">
        <v>4041</v>
      </c>
      <c r="AF143" s="3186" t="s">
        <v>3903</v>
      </c>
      <c r="AG143" s="3186" t="s">
        <v>3490</v>
      </c>
      <c r="AH143" s="3186">
        <v>119.37</v>
      </c>
      <c r="AI143" s="3186" t="s">
        <v>3402</v>
      </c>
      <c r="AJ143" s="3186" t="s">
        <v>3945</v>
      </c>
      <c r="AK143" s="3186">
        <v>21</v>
      </c>
      <c r="AL143" s="3186">
        <v>2013</v>
      </c>
      <c r="AM143" s="3186">
        <v>42389</v>
      </c>
      <c r="AN143" s="3186">
        <v>38315</v>
      </c>
      <c r="AO143" s="3186">
        <v>4573662</v>
      </c>
      <c r="AP143" s="3187">
        <v>43763</v>
      </c>
    </row>
    <row r="144" spans="16:42" ht="60.75" thickBot="1">
      <c r="P144" s="3186">
        <v>159</v>
      </c>
      <c r="Q144" s="3186" t="s">
        <v>3885</v>
      </c>
      <c r="R144" s="3186" t="s">
        <v>3724</v>
      </c>
      <c r="S144" s="3186" t="s">
        <v>3490</v>
      </c>
      <c r="T144" s="3186">
        <v>91.86</v>
      </c>
      <c r="U144" s="3186" t="s">
        <v>3402</v>
      </c>
      <c r="V144" s="3186" t="s">
        <v>3746</v>
      </c>
      <c r="W144" s="3186">
        <v>24</v>
      </c>
      <c r="X144" s="3186">
        <v>41912</v>
      </c>
      <c r="Y144" s="3186">
        <v>39050</v>
      </c>
      <c r="Z144" s="3186">
        <v>3587133</v>
      </c>
      <c r="AA144" s="3187">
        <v>43914</v>
      </c>
      <c r="AD144" s="3188">
        <v>150</v>
      </c>
      <c r="AE144" s="3188" t="s">
        <v>4042</v>
      </c>
      <c r="AF144" s="3188" t="s">
        <v>3903</v>
      </c>
      <c r="AG144" s="3188" t="s">
        <v>3490</v>
      </c>
      <c r="AH144" s="3188">
        <v>85.8</v>
      </c>
      <c r="AI144" s="3188" t="s">
        <v>3402</v>
      </c>
      <c r="AJ144" s="3188" t="s">
        <v>3921</v>
      </c>
      <c r="AK144" s="3188">
        <v>12</v>
      </c>
      <c r="AL144" s="3188" t="s">
        <v>633</v>
      </c>
      <c r="AM144" s="3188">
        <v>40618</v>
      </c>
      <c r="AN144" s="3188">
        <v>37394</v>
      </c>
      <c r="AO144" s="3188">
        <v>3208405</v>
      </c>
      <c r="AP144" s="3189">
        <v>43761</v>
      </c>
    </row>
    <row r="145" spans="16:42" ht="60.75" thickBot="1">
      <c r="P145" s="3188">
        <v>160</v>
      </c>
      <c r="Q145" s="3188" t="s">
        <v>3886</v>
      </c>
      <c r="R145" s="3188" t="s">
        <v>3724</v>
      </c>
      <c r="S145" s="3188" t="s">
        <v>3490</v>
      </c>
      <c r="T145" s="3188">
        <v>82.25</v>
      </c>
      <c r="U145" s="3188" t="s">
        <v>3402</v>
      </c>
      <c r="V145" s="3188" t="s">
        <v>3757</v>
      </c>
      <c r="W145" s="3188">
        <v>2</v>
      </c>
      <c r="X145" s="3188">
        <v>40122</v>
      </c>
      <c r="Y145" s="3188">
        <v>38077</v>
      </c>
      <c r="Z145" s="3188">
        <v>3131833</v>
      </c>
      <c r="AA145" s="3189">
        <v>43911</v>
      </c>
      <c r="AD145" s="3186">
        <v>151</v>
      </c>
      <c r="AE145" s="3186" t="s">
        <v>4043</v>
      </c>
      <c r="AF145" s="3186" t="s">
        <v>3911</v>
      </c>
      <c r="AG145" s="3186" t="s">
        <v>3490</v>
      </c>
      <c r="AH145" s="3186">
        <v>89.35</v>
      </c>
      <c r="AI145" s="3186" t="s">
        <v>3402</v>
      </c>
      <c r="AJ145" s="3186" t="s">
        <v>3904</v>
      </c>
      <c r="AK145" s="3186">
        <v>2</v>
      </c>
      <c r="AL145" s="3186" t="s">
        <v>633</v>
      </c>
      <c r="AM145" s="3186">
        <v>41298</v>
      </c>
      <c r="AN145" s="3186">
        <v>36979</v>
      </c>
      <c r="AO145" s="3186">
        <v>3304074</v>
      </c>
      <c r="AP145" s="3187">
        <v>43753</v>
      </c>
    </row>
    <row r="146" spans="16:42" ht="60.75" thickBot="1">
      <c r="P146" s="3186">
        <v>163</v>
      </c>
      <c r="Q146" s="3186" t="s">
        <v>3887</v>
      </c>
      <c r="R146" s="3186" t="s">
        <v>3724</v>
      </c>
      <c r="S146" s="3186" t="s">
        <v>3490</v>
      </c>
      <c r="T146" s="3186">
        <v>154.38</v>
      </c>
      <c r="U146" s="3186" t="s">
        <v>3402</v>
      </c>
      <c r="V146" s="3186" t="s">
        <v>3800</v>
      </c>
      <c r="W146" s="3186">
        <v>11</v>
      </c>
      <c r="X146" s="3186">
        <v>41910</v>
      </c>
      <c r="Y146" s="3186">
        <v>38237</v>
      </c>
      <c r="Z146" s="3186">
        <v>5903028</v>
      </c>
      <c r="AA146" s="3187">
        <v>43895</v>
      </c>
      <c r="AD146" s="3188">
        <v>152</v>
      </c>
      <c r="AE146" s="3188" t="s">
        <v>4044</v>
      </c>
      <c r="AF146" s="3188" t="s">
        <v>3908</v>
      </c>
      <c r="AG146" s="3188" t="s">
        <v>3490</v>
      </c>
      <c r="AH146" s="3188">
        <v>84.44</v>
      </c>
      <c r="AI146" s="3188" t="s">
        <v>3402</v>
      </c>
      <c r="AJ146" s="3188" t="s">
        <v>3918</v>
      </c>
      <c r="AK146" s="3188">
        <v>22</v>
      </c>
      <c r="AL146" s="3188" t="s">
        <v>633</v>
      </c>
      <c r="AM146" s="3188">
        <v>43522</v>
      </c>
      <c r="AN146" s="3188">
        <v>41361</v>
      </c>
      <c r="AO146" s="3188">
        <v>3492523</v>
      </c>
      <c r="AP146" s="3189">
        <v>43738</v>
      </c>
    </row>
    <row r="147" spans="16:42" ht="60.75" thickBot="1">
      <c r="P147" s="3188">
        <v>164</v>
      </c>
      <c r="Q147" s="3188" t="s">
        <v>3888</v>
      </c>
      <c r="R147" s="3188" t="s">
        <v>3724</v>
      </c>
      <c r="S147" s="3188" t="s">
        <v>3490</v>
      </c>
      <c r="T147" s="3188">
        <v>93.04</v>
      </c>
      <c r="U147" s="3188" t="s">
        <v>3402</v>
      </c>
      <c r="V147" s="3188" t="s">
        <v>3746</v>
      </c>
      <c r="W147" s="3188">
        <v>24</v>
      </c>
      <c r="X147" s="3188">
        <v>43422</v>
      </c>
      <c r="Y147" s="3188">
        <v>41252</v>
      </c>
      <c r="Z147" s="3188">
        <v>3838086</v>
      </c>
      <c r="AA147" s="3189">
        <v>43804</v>
      </c>
      <c r="AD147" s="3186">
        <v>153</v>
      </c>
      <c r="AE147" s="3186" t="s">
        <v>4045</v>
      </c>
      <c r="AF147" s="3186" t="s">
        <v>3903</v>
      </c>
      <c r="AG147" s="3186" t="s">
        <v>3490</v>
      </c>
      <c r="AH147" s="3186">
        <v>83.96</v>
      </c>
      <c r="AI147" s="3186" t="s">
        <v>3402</v>
      </c>
      <c r="AJ147" s="3186" t="s">
        <v>3904</v>
      </c>
      <c r="AK147" s="3186">
        <v>22</v>
      </c>
      <c r="AL147" s="3186" t="s">
        <v>633</v>
      </c>
      <c r="AM147" s="3186">
        <v>42639</v>
      </c>
      <c r="AN147" s="3186">
        <v>40618</v>
      </c>
      <c r="AO147" s="3186">
        <v>3410287</v>
      </c>
      <c r="AP147" s="3187">
        <v>43732</v>
      </c>
    </row>
    <row r="148" spans="16:42" ht="60.75" thickBot="1">
      <c r="P148" s="3188">
        <v>166</v>
      </c>
      <c r="Q148" s="3188" t="s">
        <v>3889</v>
      </c>
      <c r="R148" s="3188" t="s">
        <v>3724</v>
      </c>
      <c r="S148" s="3188" t="s">
        <v>3490</v>
      </c>
      <c r="T148" s="3188">
        <v>129.69999999999999</v>
      </c>
      <c r="U148" s="3188" t="s">
        <v>3402</v>
      </c>
      <c r="V148" s="3188" t="s">
        <v>3890</v>
      </c>
      <c r="W148" s="3188">
        <v>7</v>
      </c>
      <c r="X148" s="3188">
        <v>44796</v>
      </c>
      <c r="Y148" s="3188">
        <v>40660</v>
      </c>
      <c r="Z148" s="3188">
        <v>5273602</v>
      </c>
      <c r="AA148" s="3189">
        <v>43733</v>
      </c>
      <c r="AD148" s="3188">
        <v>154</v>
      </c>
      <c r="AE148" s="3188" t="s">
        <v>4046</v>
      </c>
      <c r="AF148" s="3188" t="s">
        <v>3908</v>
      </c>
      <c r="AG148" s="3188" t="s">
        <v>3490</v>
      </c>
      <c r="AH148" s="3188">
        <v>89.47</v>
      </c>
      <c r="AI148" s="3188" t="s">
        <v>3402</v>
      </c>
      <c r="AJ148" s="3188" t="s">
        <v>3909</v>
      </c>
      <c r="AK148" s="3188">
        <v>3</v>
      </c>
      <c r="AL148" s="3188" t="s">
        <v>633</v>
      </c>
      <c r="AM148" s="3188">
        <v>47167</v>
      </c>
      <c r="AN148" s="3188">
        <v>44920</v>
      </c>
      <c r="AO148" s="3188">
        <v>4018992</v>
      </c>
      <c r="AP148" s="3189">
        <v>43720</v>
      </c>
    </row>
    <row r="149" spans="16:42" ht="60.75" thickBot="1">
      <c r="P149" s="3188">
        <v>168</v>
      </c>
      <c r="Q149" s="3188" t="s">
        <v>3891</v>
      </c>
      <c r="R149" s="3188" t="s">
        <v>3859</v>
      </c>
      <c r="S149" s="3188" t="s">
        <v>3490</v>
      </c>
      <c r="T149" s="3188">
        <v>154.24</v>
      </c>
      <c r="U149" s="3188" t="s">
        <v>3402</v>
      </c>
      <c r="V149" s="3188" t="s">
        <v>3765</v>
      </c>
      <c r="W149" s="3188">
        <v>13</v>
      </c>
      <c r="X149" s="3188">
        <v>49526</v>
      </c>
      <c r="Y149" s="3188">
        <v>49526</v>
      </c>
      <c r="Z149" s="3188">
        <v>7638890</v>
      </c>
      <c r="AA149" s="3189">
        <v>43672</v>
      </c>
      <c r="AD149" s="3186">
        <v>155</v>
      </c>
      <c r="AE149" s="3186" t="s">
        <v>4047</v>
      </c>
      <c r="AF149" s="3186" t="s">
        <v>3903</v>
      </c>
      <c r="AG149" s="3186" t="s">
        <v>3490</v>
      </c>
      <c r="AH149" s="3186">
        <v>89.44</v>
      </c>
      <c r="AI149" s="3186" t="s">
        <v>3402</v>
      </c>
      <c r="AJ149" s="3186" t="s">
        <v>3918</v>
      </c>
      <c r="AK149" s="3186">
        <v>17</v>
      </c>
      <c r="AL149" s="3186" t="s">
        <v>633</v>
      </c>
      <c r="AM149" s="3186">
        <v>32983</v>
      </c>
      <c r="AN149" s="3186">
        <v>41136</v>
      </c>
      <c r="AO149" s="3186">
        <v>3679204</v>
      </c>
      <c r="AP149" s="3187">
        <v>43706</v>
      </c>
    </row>
    <row r="150" spans="16:42" ht="60.75" thickBot="1">
      <c r="P150" s="3186">
        <v>169</v>
      </c>
      <c r="Q150" s="3186" t="s">
        <v>3892</v>
      </c>
      <c r="R150" s="3186" t="s">
        <v>3724</v>
      </c>
      <c r="S150" s="3186" t="s">
        <v>3490</v>
      </c>
      <c r="T150" s="3186">
        <v>91.82</v>
      </c>
      <c r="U150" s="3186" t="s">
        <v>3402</v>
      </c>
      <c r="V150" s="3186" t="s">
        <v>3746</v>
      </c>
      <c r="W150" s="3186">
        <v>13</v>
      </c>
      <c r="X150" s="3186">
        <v>41385</v>
      </c>
      <c r="Y150" s="3186">
        <v>37668</v>
      </c>
      <c r="Z150" s="3186">
        <v>3458676</v>
      </c>
      <c r="AA150" s="3187">
        <v>43666</v>
      </c>
      <c r="AD150" s="3188">
        <v>156</v>
      </c>
      <c r="AE150" s="3188" t="s">
        <v>4048</v>
      </c>
      <c r="AF150" s="3188" t="s">
        <v>3911</v>
      </c>
      <c r="AG150" s="3188" t="s">
        <v>3490</v>
      </c>
      <c r="AH150" s="3188">
        <v>89.45</v>
      </c>
      <c r="AI150" s="3188" t="s">
        <v>3402</v>
      </c>
      <c r="AJ150" s="3188" t="s">
        <v>3530</v>
      </c>
      <c r="AK150" s="3188">
        <v>21</v>
      </c>
      <c r="AL150" s="3188" t="s">
        <v>633</v>
      </c>
      <c r="AM150" s="3188">
        <v>45612</v>
      </c>
      <c r="AN150" s="3188">
        <v>41550</v>
      </c>
      <c r="AO150" s="3188">
        <v>3716648</v>
      </c>
      <c r="AP150" s="3189">
        <v>43701</v>
      </c>
    </row>
    <row r="151" spans="16:42" ht="60.75" thickBot="1">
      <c r="P151" s="3188">
        <v>170</v>
      </c>
      <c r="Q151" s="3188" t="s">
        <v>3893</v>
      </c>
      <c r="R151" s="3188" t="s">
        <v>3859</v>
      </c>
      <c r="S151" s="3188" t="s">
        <v>3490</v>
      </c>
      <c r="T151" s="3188">
        <v>155.27000000000001</v>
      </c>
      <c r="U151" s="3188" t="s">
        <v>3402</v>
      </c>
      <c r="V151" s="3188" t="s">
        <v>3765</v>
      </c>
      <c r="W151" s="3188">
        <v>8</v>
      </c>
      <c r="X151" s="3188">
        <v>49421</v>
      </c>
      <c r="Y151" s="3188">
        <v>49422</v>
      </c>
      <c r="Z151" s="3188">
        <v>7673754</v>
      </c>
      <c r="AA151" s="3189">
        <v>43650</v>
      </c>
      <c r="AD151" s="3186">
        <v>157</v>
      </c>
      <c r="AE151" s="3186" t="s">
        <v>4049</v>
      </c>
      <c r="AF151" s="3186" t="s">
        <v>3908</v>
      </c>
      <c r="AG151" s="3186" t="s">
        <v>3490</v>
      </c>
      <c r="AH151" s="3186">
        <v>119.4</v>
      </c>
      <c r="AI151" s="3186" t="s">
        <v>3402</v>
      </c>
      <c r="AJ151" s="3186" t="s">
        <v>3906</v>
      </c>
      <c r="AK151" s="3186">
        <v>6</v>
      </c>
      <c r="AL151" s="3186">
        <v>2013</v>
      </c>
      <c r="AM151" s="3186">
        <v>51926</v>
      </c>
      <c r="AN151" s="3186">
        <v>44683</v>
      </c>
      <c r="AO151" s="3186">
        <v>5335150</v>
      </c>
      <c r="AP151" s="3187">
        <v>43684</v>
      </c>
    </row>
    <row r="152" spans="16:42" ht="60.75" thickBot="1">
      <c r="P152" s="3186">
        <v>171</v>
      </c>
      <c r="Q152" s="3186" t="s">
        <v>3894</v>
      </c>
      <c r="R152" s="3186" t="s">
        <v>3724</v>
      </c>
      <c r="S152" s="3186" t="s">
        <v>3490</v>
      </c>
      <c r="T152" s="3186">
        <v>91.82</v>
      </c>
      <c r="U152" s="3186" t="s">
        <v>3402</v>
      </c>
      <c r="V152" s="3186" t="s">
        <v>3746</v>
      </c>
      <c r="W152" s="3186">
        <v>14</v>
      </c>
      <c r="X152" s="3186">
        <v>44326</v>
      </c>
      <c r="Y152" s="3186">
        <v>39204</v>
      </c>
      <c r="Z152" s="3186">
        <v>3599711</v>
      </c>
      <c r="AA152" s="3187">
        <v>43617</v>
      </c>
      <c r="AD152" s="3188">
        <v>158</v>
      </c>
      <c r="AE152" s="3188" t="s">
        <v>4050</v>
      </c>
      <c r="AF152" s="3188" t="s">
        <v>3927</v>
      </c>
      <c r="AG152" s="3188" t="s">
        <v>3490</v>
      </c>
      <c r="AH152" s="3188">
        <v>89.1</v>
      </c>
      <c r="AI152" s="3188" t="s">
        <v>3402</v>
      </c>
      <c r="AJ152" s="3188" t="s">
        <v>3916</v>
      </c>
      <c r="AK152" s="3188">
        <v>12</v>
      </c>
      <c r="AL152" s="3188">
        <v>2013</v>
      </c>
      <c r="AM152" s="3188">
        <v>45567</v>
      </c>
      <c r="AN152" s="3188">
        <v>40776</v>
      </c>
      <c r="AO152" s="3188">
        <v>3633142</v>
      </c>
      <c r="AP152" s="3189">
        <v>43642</v>
      </c>
    </row>
    <row r="153" spans="16:42" ht="60.75" thickBot="1">
      <c r="P153" s="3186">
        <v>173</v>
      </c>
      <c r="Q153" s="3186" t="s">
        <v>3895</v>
      </c>
      <c r="R153" s="3186" t="s">
        <v>3724</v>
      </c>
      <c r="S153" s="3186" t="s">
        <v>3490</v>
      </c>
      <c r="T153" s="3186">
        <v>88.83</v>
      </c>
      <c r="U153" s="3186" t="s">
        <v>3402</v>
      </c>
      <c r="V153" s="3186" t="s">
        <v>3746</v>
      </c>
      <c r="W153" s="3186">
        <v>12</v>
      </c>
      <c r="X153" s="3186">
        <v>44017</v>
      </c>
      <c r="Y153" s="3186">
        <v>39446</v>
      </c>
      <c r="Z153" s="3186">
        <v>3503988</v>
      </c>
      <c r="AA153" s="3187">
        <v>43554</v>
      </c>
      <c r="AD153" s="3186">
        <v>159</v>
      </c>
      <c r="AE153" s="3186" t="s">
        <v>4051</v>
      </c>
      <c r="AF153" s="3186" t="s">
        <v>3911</v>
      </c>
      <c r="AG153" s="3186" t="s">
        <v>3490</v>
      </c>
      <c r="AH153" s="3186">
        <v>83.56</v>
      </c>
      <c r="AI153" s="3186" t="s">
        <v>3402</v>
      </c>
      <c r="AJ153" s="3186" t="s">
        <v>3904</v>
      </c>
      <c r="AK153" s="3186">
        <v>10</v>
      </c>
      <c r="AL153" s="3186" t="s">
        <v>633</v>
      </c>
      <c r="AM153" s="3186">
        <v>44040</v>
      </c>
      <c r="AN153" s="3186">
        <v>41381</v>
      </c>
      <c r="AO153" s="3186">
        <v>3457796</v>
      </c>
      <c r="AP153" s="3187">
        <v>43641</v>
      </c>
    </row>
    <row r="154" spans="16:42" ht="60.75" thickBot="1">
      <c r="P154" s="3188">
        <v>174</v>
      </c>
      <c r="Q154" s="3188" t="s">
        <v>3896</v>
      </c>
      <c r="R154" s="3188" t="s">
        <v>3724</v>
      </c>
      <c r="S154" s="3188" t="s">
        <v>3490</v>
      </c>
      <c r="T154" s="3188">
        <v>92.9</v>
      </c>
      <c r="U154" s="3188" t="s">
        <v>3402</v>
      </c>
      <c r="V154" s="3188" t="s">
        <v>3746</v>
      </c>
      <c r="W154" s="3188">
        <v>9</v>
      </c>
      <c r="X154" s="3188">
        <v>42519</v>
      </c>
      <c r="Y154" s="3188">
        <v>36812</v>
      </c>
      <c r="Z154" s="3188">
        <v>3419835</v>
      </c>
      <c r="AA154" s="3189">
        <v>43516</v>
      </c>
      <c r="AD154" s="3188">
        <v>162</v>
      </c>
      <c r="AE154" s="3188" t="s">
        <v>4053</v>
      </c>
      <c r="AF154" s="3188" t="s">
        <v>4038</v>
      </c>
      <c r="AG154" s="3188" t="s">
        <v>3490</v>
      </c>
      <c r="AH154" s="3188">
        <v>119.4</v>
      </c>
      <c r="AI154" s="3188" t="s">
        <v>3402</v>
      </c>
      <c r="AJ154" s="3188" t="s">
        <v>3918</v>
      </c>
      <c r="AK154" s="3188">
        <v>9</v>
      </c>
      <c r="AL154" s="3188" t="s">
        <v>633</v>
      </c>
      <c r="AM154" s="3188">
        <v>45896</v>
      </c>
      <c r="AN154" s="3188">
        <v>41937</v>
      </c>
      <c r="AO154" s="3188">
        <v>5007278</v>
      </c>
      <c r="AP154" s="3189">
        <v>43552</v>
      </c>
    </row>
    <row r="155" spans="16:42" ht="60.75" thickBot="1">
      <c r="P155" s="3186">
        <v>175</v>
      </c>
      <c r="Q155" s="3186" t="s">
        <v>3897</v>
      </c>
      <c r="R155" s="3186" t="s">
        <v>3859</v>
      </c>
      <c r="S155" s="3186" t="s">
        <v>3490</v>
      </c>
      <c r="T155" s="3186">
        <v>110.57</v>
      </c>
      <c r="U155" s="3186" t="s">
        <v>3402</v>
      </c>
      <c r="V155" s="3186" t="s">
        <v>3760</v>
      </c>
      <c r="W155" s="3186">
        <v>1</v>
      </c>
      <c r="X155" s="3186">
        <v>40698</v>
      </c>
      <c r="Y155" s="3186">
        <v>36880</v>
      </c>
      <c r="Z155" s="3186">
        <v>4077822</v>
      </c>
      <c r="AA155" s="3187">
        <v>43473</v>
      </c>
      <c r="AD155" s="3186">
        <v>163</v>
      </c>
      <c r="AE155" s="3186" t="s">
        <v>4054</v>
      </c>
      <c r="AF155" s="3186" t="s">
        <v>3927</v>
      </c>
      <c r="AG155" s="3186" t="s">
        <v>3490</v>
      </c>
      <c r="AH155" s="3186">
        <v>86.05</v>
      </c>
      <c r="AI155" s="3186" t="s">
        <v>3402</v>
      </c>
      <c r="AJ155" s="3186" t="s">
        <v>3931</v>
      </c>
      <c r="AK155" s="3186">
        <v>5</v>
      </c>
      <c r="AL155" s="3186" t="s">
        <v>633</v>
      </c>
      <c r="AM155" s="3186">
        <v>41836</v>
      </c>
      <c r="AN155" s="3186">
        <v>37572</v>
      </c>
      <c r="AO155" s="3186">
        <v>3233071</v>
      </c>
      <c r="AP155" s="3187">
        <v>43554</v>
      </c>
    </row>
    <row r="156" spans="16:42" ht="60.75" thickBot="1">
      <c r="P156" s="3188">
        <v>176</v>
      </c>
      <c r="Q156" s="3188" t="s">
        <v>3898</v>
      </c>
      <c r="R156" s="3188" t="s">
        <v>3724</v>
      </c>
      <c r="S156" s="3188" t="s">
        <v>3490</v>
      </c>
      <c r="T156" s="3188">
        <v>92.11</v>
      </c>
      <c r="U156" s="3188" t="s">
        <v>3402</v>
      </c>
      <c r="V156" s="3188" t="s">
        <v>3752</v>
      </c>
      <c r="W156" s="3188">
        <v>21</v>
      </c>
      <c r="X156" s="3188">
        <v>42341</v>
      </c>
      <c r="Y156" s="3188">
        <v>40006</v>
      </c>
      <c r="Z156" s="3188">
        <v>3684953</v>
      </c>
      <c r="AA156" s="3189">
        <v>43445</v>
      </c>
      <c r="AD156" s="3188">
        <v>164</v>
      </c>
      <c r="AE156" s="3188" t="s">
        <v>4055</v>
      </c>
      <c r="AF156" s="3188" t="s">
        <v>4052</v>
      </c>
      <c r="AG156" s="3188" t="s">
        <v>3490</v>
      </c>
      <c r="AH156" s="3188">
        <v>84.39</v>
      </c>
      <c r="AI156" s="3188" t="s">
        <v>3402</v>
      </c>
      <c r="AJ156" s="3188" t="s">
        <v>3918</v>
      </c>
      <c r="AK156" s="3188">
        <v>23</v>
      </c>
      <c r="AL156" s="3188" t="s">
        <v>633</v>
      </c>
      <c r="AM156" s="3188">
        <v>42659</v>
      </c>
      <c r="AN156" s="3188">
        <v>39875</v>
      </c>
      <c r="AO156" s="3188">
        <v>3365051</v>
      </c>
      <c r="AP156" s="3189">
        <v>43539</v>
      </c>
    </row>
    <row r="157" spans="16:42" ht="60.75" thickBot="1">
      <c r="P157" s="3186">
        <v>177</v>
      </c>
      <c r="Q157" s="3186" t="s">
        <v>3899</v>
      </c>
      <c r="R157" s="3186" t="s">
        <v>3724</v>
      </c>
      <c r="S157" s="3186" t="s">
        <v>3490</v>
      </c>
      <c r="T157" s="3186">
        <v>106.64</v>
      </c>
      <c r="U157" s="3186" t="s">
        <v>3402</v>
      </c>
      <c r="V157" s="3186" t="s">
        <v>3752</v>
      </c>
      <c r="W157" s="3186">
        <v>18</v>
      </c>
      <c r="X157" s="3186">
        <v>45199</v>
      </c>
      <c r="Y157" s="3186">
        <v>40034</v>
      </c>
      <c r="Z157" s="3186">
        <v>4269226</v>
      </c>
      <c r="AA157" s="3187">
        <v>43398</v>
      </c>
      <c r="AD157" s="3186">
        <v>165</v>
      </c>
      <c r="AE157" s="3186" t="s">
        <v>4056</v>
      </c>
      <c r="AF157" s="3186" t="s">
        <v>3903</v>
      </c>
      <c r="AG157" s="3186" t="s">
        <v>3490</v>
      </c>
      <c r="AH157" s="3186">
        <v>119.11</v>
      </c>
      <c r="AI157" s="3186" t="s">
        <v>3402</v>
      </c>
      <c r="AJ157" s="3186" t="s">
        <v>3945</v>
      </c>
      <c r="AK157" s="3186">
        <v>23</v>
      </c>
      <c r="AL157" s="3186">
        <v>2013</v>
      </c>
      <c r="AM157" s="3186">
        <v>49035</v>
      </c>
      <c r="AN157" s="3186">
        <v>43063</v>
      </c>
      <c r="AO157" s="3186">
        <v>5129234</v>
      </c>
      <c r="AP157" s="3187">
        <v>43519</v>
      </c>
    </row>
    <row r="158" spans="16:42" ht="60.75" thickBot="1">
      <c r="P158" s="3188">
        <v>178</v>
      </c>
      <c r="Q158" s="3188" t="s">
        <v>3900</v>
      </c>
      <c r="R158" s="3188" t="s">
        <v>3724</v>
      </c>
      <c r="S158" s="3188" t="s">
        <v>3490</v>
      </c>
      <c r="T158" s="3188">
        <v>127.68</v>
      </c>
      <c r="U158" s="3188" t="s">
        <v>3402</v>
      </c>
      <c r="V158" s="3188" t="s">
        <v>3757</v>
      </c>
      <c r="W158" s="3188">
        <v>11</v>
      </c>
      <c r="X158" s="3188">
        <v>44251</v>
      </c>
      <c r="Y158" s="3188">
        <v>40054</v>
      </c>
      <c r="Z158" s="3188">
        <v>5114095</v>
      </c>
      <c r="AA158" s="3189">
        <v>43132</v>
      </c>
      <c r="AD158" s="3188">
        <v>166</v>
      </c>
      <c r="AE158" s="3188" t="s">
        <v>4057</v>
      </c>
      <c r="AF158" s="3188" t="s">
        <v>4058</v>
      </c>
      <c r="AG158" s="3188" t="s">
        <v>3490</v>
      </c>
      <c r="AH158" s="3188">
        <v>89.5</v>
      </c>
      <c r="AI158" s="3188" t="s">
        <v>3402</v>
      </c>
      <c r="AJ158" s="3188" t="s">
        <v>3918</v>
      </c>
      <c r="AK158" s="3188">
        <v>15</v>
      </c>
      <c r="AL158" s="3188" t="s">
        <v>633</v>
      </c>
      <c r="AM158" s="3188">
        <v>45698</v>
      </c>
      <c r="AN158" s="3188">
        <v>39892</v>
      </c>
      <c r="AO158" s="3188">
        <v>3570334</v>
      </c>
      <c r="AP158" s="3189">
        <v>43491</v>
      </c>
    </row>
    <row r="159" spans="16:42" ht="60.75" thickBot="1">
      <c r="P159" s="3193">
        <v>179</v>
      </c>
      <c r="Q159" s="3193" t="s">
        <v>3901</v>
      </c>
      <c r="R159" s="3193" t="s">
        <v>3724</v>
      </c>
      <c r="S159" s="3193" t="s">
        <v>3490</v>
      </c>
      <c r="T159" s="3193">
        <v>83.05</v>
      </c>
      <c r="U159" s="3193" t="s">
        <v>3402</v>
      </c>
      <c r="V159" s="3193" t="s">
        <v>3786</v>
      </c>
      <c r="W159" s="3193">
        <v>1</v>
      </c>
      <c r="X159" s="3193">
        <v>46960</v>
      </c>
      <c r="Y159" s="3193">
        <v>41250</v>
      </c>
      <c r="Z159" s="3193">
        <v>3425813</v>
      </c>
      <c r="AA159" s="3194">
        <v>43104</v>
      </c>
      <c r="AD159" s="3186">
        <v>171</v>
      </c>
      <c r="AE159" s="3186" t="s">
        <v>4059</v>
      </c>
      <c r="AF159" s="3186" t="s">
        <v>3903</v>
      </c>
      <c r="AG159" s="3186" t="s">
        <v>3490</v>
      </c>
      <c r="AH159" s="3186">
        <v>85.16</v>
      </c>
      <c r="AI159" s="3186" t="s">
        <v>3402</v>
      </c>
      <c r="AJ159" s="3186" t="s">
        <v>3921</v>
      </c>
      <c r="AK159" s="3186">
        <v>22</v>
      </c>
      <c r="AL159" s="3186" t="s">
        <v>633</v>
      </c>
      <c r="AM159" s="3186">
        <v>43448</v>
      </c>
      <c r="AN159" s="3186">
        <v>39285</v>
      </c>
      <c r="AO159" s="3186">
        <v>3345511</v>
      </c>
      <c r="AP159" s="3187">
        <v>43157</v>
      </c>
    </row>
    <row r="160" spans="16:42" ht="60.75" thickBot="1">
      <c r="AD160" s="3193">
        <v>172</v>
      </c>
      <c r="AE160" s="3193" t="s">
        <v>4060</v>
      </c>
      <c r="AF160" s="3193" t="s">
        <v>3908</v>
      </c>
      <c r="AG160" s="3193" t="s">
        <v>3490</v>
      </c>
      <c r="AH160" s="3193">
        <v>89.05</v>
      </c>
      <c r="AI160" s="3193" t="s">
        <v>3402</v>
      </c>
      <c r="AJ160" s="3193" t="s">
        <v>3937</v>
      </c>
      <c r="AK160" s="3193">
        <v>24</v>
      </c>
      <c r="AL160" s="3193">
        <v>2013</v>
      </c>
      <c r="AM160" s="3193">
        <v>49410</v>
      </c>
      <c r="AN160" s="3193">
        <v>42701</v>
      </c>
      <c r="AO160" s="3193">
        <v>3802524</v>
      </c>
      <c r="AP160" s="3194">
        <v>43157</v>
      </c>
    </row>
  </sheetData>
  <mergeCells count="16">
    <mergeCell ref="AF2:AF3"/>
    <mergeCell ref="AG2:AG3"/>
    <mergeCell ref="AH2:AH3"/>
    <mergeCell ref="AI2:AI3"/>
    <mergeCell ref="P2:P3"/>
    <mergeCell ref="Q2:Q3"/>
    <mergeCell ref="R2:R3"/>
    <mergeCell ref="S2:S3"/>
    <mergeCell ref="T2:T3"/>
    <mergeCell ref="U2:X2"/>
    <mergeCell ref="Y2:Y3"/>
    <mergeCell ref="Z2:AA2"/>
    <mergeCell ref="AB2:AB3"/>
    <mergeCell ref="AC2:AC3"/>
    <mergeCell ref="AD2:AD3"/>
    <mergeCell ref="AE2:AE3"/>
  </mergeCells>
  <phoneticPr fontId="3" type="noConversion"/>
  <dataValidations count="5">
    <dataValidation type="list" allowBlank="1" showInputMessage="1" showErrorMessage="1" sqref="Z4:Z12" xr:uid="{91D574FD-8380-446A-84C1-4666EF837AB2}">
      <formula1>所在楼层</formula1>
    </dataValidation>
    <dataValidation type="list" allowBlank="1" showInputMessage="1" sqref="AF4:AF12" xr:uid="{88B2D5C5-075A-4704-87B9-4A4A7839FBCC}">
      <formula1>房屋产权性质</formula1>
    </dataValidation>
    <dataValidation type="list" allowBlank="1" showInputMessage="1" showErrorMessage="1" sqref="S4:S12" xr:uid="{EE9C933E-D112-49A5-9D54-F663B61B21C8}">
      <formula1>房屋装修</formula1>
    </dataValidation>
    <dataValidation type="list" allowBlank="1" showInputMessage="1" showErrorMessage="1" sqref="T4:T12" xr:uid="{D8CC2881-D70C-43C4-8912-D6DB9290D32A}">
      <formula1>房屋朝向</formula1>
    </dataValidation>
    <dataValidation type="list" allowBlank="1" showInputMessage="1" showErrorMessage="1" sqref="AB4:AB12" xr:uid="{282E3836-30C3-4066-8E46-6CB8B8FD8BBC}">
      <formula1>配备电梯</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4CEDE-E768-46D3-9401-7DDA8533AC12}">
  <sheetPr>
    <tabColor rgb="FF92D050"/>
    <pageSetUpPr fitToPage="1"/>
  </sheetPr>
  <dimension ref="A1:AC148"/>
  <sheetViews>
    <sheetView tabSelected="1" view="pageBreakPreview" topLeftCell="A19" zoomScale="115" zoomScaleNormal="60" zoomScaleSheetLayoutView="115" workbookViewId="0">
      <selection activeCell="M30" sqref="M30"/>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t="s">
        <v>4099</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IF(C2="——",C49,ROUND(B2*10000/D3,0))</f>
        <v>#DIV/0!</v>
      </c>
      <c r="C3" s="344" t="s">
        <v>1665</v>
      </c>
      <c r="D3" s="343">
        <f>IF(D1="",'数据-汇总表'!E3,SUMIF('数据-汇总表'!$C19:$C33,D1,'数据-汇总表'!$E19:$E33))</f>
        <v>0</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46" t="s">
        <v>1667</v>
      </c>
      <c r="D4" s="3447"/>
      <c r="E4" s="3448" t="s">
        <v>1668</v>
      </c>
      <c r="F4" s="3449"/>
      <c r="G4" s="3446" t="s">
        <v>1669</v>
      </c>
      <c r="H4" s="3447"/>
      <c r="I4" s="3446" t="s">
        <v>1670</v>
      </c>
      <c r="J4" s="3447"/>
      <c r="K4" s="1744" t="s">
        <v>1671</v>
      </c>
      <c r="L4" s="2487"/>
      <c r="M4" s="2488"/>
      <c r="N4" s="2488"/>
      <c r="O4" s="2488"/>
      <c r="P4" s="3450" t="s">
        <v>1672</v>
      </c>
      <c r="Q4" s="3451"/>
      <c r="R4" s="3456" t="s">
        <v>1668</v>
      </c>
      <c r="S4" s="3457"/>
      <c r="T4" s="3456" t="s">
        <v>1669</v>
      </c>
      <c r="U4" s="3457"/>
      <c r="V4" s="3432" t="s">
        <v>1670</v>
      </c>
      <c r="W4" s="3432"/>
      <c r="X4" s="1265"/>
      <c r="Y4" s="3456" t="s">
        <v>1672</v>
      </c>
      <c r="Z4" s="3457"/>
      <c r="AA4" s="3443" t="s">
        <v>1668</v>
      </c>
      <c r="AB4" s="3443" t="s">
        <v>1669</v>
      </c>
      <c r="AC4" s="3443" t="s">
        <v>1670</v>
      </c>
    </row>
    <row r="5" spans="1:29" ht="15">
      <c r="A5" s="348"/>
      <c r="B5" s="349"/>
      <c r="C5" s="3564" t="s">
        <v>4120</v>
      </c>
      <c r="D5" s="3465"/>
      <c r="E5" s="3471" t="str">
        <f>西山印案例!B5</f>
        <v>皓月园</v>
      </c>
      <c r="F5" s="3472"/>
      <c r="G5" s="3464" t="str">
        <f>西山印案例!B10</f>
        <v>惠民家园</v>
      </c>
      <c r="H5" s="3465"/>
      <c r="I5" s="3464" t="str">
        <f>西山印案例!B11</f>
        <v>金泰丽湾悦栖山</v>
      </c>
      <c r="J5" s="3465"/>
      <c r="K5" s="1745"/>
      <c r="L5" s="2487"/>
      <c r="M5" s="2488"/>
      <c r="N5" s="2488"/>
      <c r="O5" s="2488"/>
      <c r="P5" s="3452"/>
      <c r="Q5" s="3453"/>
      <c r="R5" s="3458"/>
      <c r="S5" s="3459"/>
      <c r="T5" s="3458"/>
      <c r="U5" s="3459"/>
      <c r="V5" s="3432"/>
      <c r="W5" s="3432"/>
      <c r="X5" s="1265"/>
      <c r="Y5" s="3458"/>
      <c r="Z5" s="3459"/>
      <c r="AA5" s="3444"/>
      <c r="AB5" s="3444"/>
      <c r="AC5" s="3444"/>
    </row>
    <row r="6" spans="1:29" ht="15.75" thickBot="1">
      <c r="A6" s="350"/>
      <c r="B6" s="351"/>
      <c r="C6" s="3462" t="s">
        <v>1677</v>
      </c>
      <c r="D6" s="3463"/>
      <c r="E6" s="3469" t="s">
        <v>1677</v>
      </c>
      <c r="F6" s="3470"/>
      <c r="G6" s="3462" t="s">
        <v>1677</v>
      </c>
      <c r="H6" s="3463"/>
      <c r="I6" s="3462" t="s">
        <v>1677</v>
      </c>
      <c r="J6" s="3463"/>
      <c r="K6" s="1745" t="s">
        <v>1678</v>
      </c>
      <c r="L6" s="2487"/>
      <c r="M6" s="2488"/>
      <c r="N6" s="2488"/>
      <c r="O6" s="2488"/>
      <c r="P6" s="3454"/>
      <c r="Q6" s="3455"/>
      <c r="R6" s="3458"/>
      <c r="S6" s="3459"/>
      <c r="T6" s="3460"/>
      <c r="U6" s="3461"/>
      <c r="V6" s="3432"/>
      <c r="W6" s="3432"/>
      <c r="X6" s="1265"/>
      <c r="Y6" s="3460"/>
      <c r="Z6" s="3461"/>
      <c r="AA6" s="3445"/>
      <c r="AB6" s="3445"/>
      <c r="AC6" s="3445"/>
    </row>
    <row r="7" spans="1:29" s="102" customFormat="1" ht="15.75" thickBot="1">
      <c r="A7" s="352" t="s">
        <v>1679</v>
      </c>
      <c r="B7" s="353"/>
      <c r="C7" s="354">
        <v>45259</v>
      </c>
      <c r="D7" s="355">
        <v>100</v>
      </c>
      <c r="E7" s="356">
        <f>西山印案例!S6</f>
        <v>45120</v>
      </c>
      <c r="F7" s="357">
        <f>SUMIF(58:58,YEAR(E7)&amp;"-"&amp;MONTH(E7),59:59)</f>
        <v>100</v>
      </c>
      <c r="G7" s="356">
        <f>西山印案例!S10</f>
        <v>45243</v>
      </c>
      <c r="H7" s="355">
        <f>SUMIF(58:58,YEAR(G7)&amp;"-"&amp;MONTH(G7),59:59)</f>
        <v>100</v>
      </c>
      <c r="I7" s="356">
        <f>西山印案例!S12</f>
        <v>45135</v>
      </c>
      <c r="J7" s="355">
        <f>SUMIF(58:58,YEAR(I7)&amp;"-"&amp;MONTH(I7),59:59)</f>
        <v>100</v>
      </c>
      <c r="K7" s="1746"/>
      <c r="L7" s="2489"/>
      <c r="M7" s="2440"/>
      <c r="N7" s="2440"/>
      <c r="O7" s="2440"/>
      <c r="P7" s="3466" t="s">
        <v>1680</v>
      </c>
      <c r="Q7" s="3468"/>
      <c r="R7" s="664" t="s">
        <v>14</v>
      </c>
      <c r="S7" s="665">
        <f t="shared" ref="S7:S15" si="0">F7</f>
        <v>100</v>
      </c>
      <c r="T7" s="664" t="s">
        <v>14</v>
      </c>
      <c r="U7" s="665">
        <f t="shared" ref="U7:U15" si="1">H7</f>
        <v>100</v>
      </c>
      <c r="V7" s="664" t="s">
        <v>14</v>
      </c>
      <c r="W7" s="665">
        <f t="shared" ref="W7:W15" si="2">J7</f>
        <v>100</v>
      </c>
      <c r="X7" s="666"/>
      <c r="Y7" s="3466" t="s">
        <v>1680</v>
      </c>
      <c r="Z7" s="3467"/>
      <c r="AA7" s="50">
        <f>D7/F7</f>
        <v>1</v>
      </c>
      <c r="AB7" s="50">
        <f>D7/H7</f>
        <v>1</v>
      </c>
      <c r="AC7" s="50">
        <f>D7/J7</f>
        <v>1</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66" t="s">
        <v>1683</v>
      </c>
      <c r="Q8" s="3467"/>
      <c r="R8" s="664" t="s">
        <v>14</v>
      </c>
      <c r="S8" s="665">
        <f t="shared" si="0"/>
        <v>100</v>
      </c>
      <c r="T8" s="664" t="s">
        <v>14</v>
      </c>
      <c r="U8" s="665">
        <f t="shared" si="1"/>
        <v>100</v>
      </c>
      <c r="V8" s="664" t="s">
        <v>14</v>
      </c>
      <c r="W8" s="665">
        <f t="shared" si="2"/>
        <v>100</v>
      </c>
      <c r="X8" s="666"/>
      <c r="Y8" s="3466" t="s">
        <v>1683</v>
      </c>
      <c r="Z8" s="346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42" t="s">
        <v>1686</v>
      </c>
      <c r="Q9" s="530" t="str">
        <f t="shared" ref="Q9:Q15" si="6">B9</f>
        <v>用途</v>
      </c>
      <c r="R9" s="664" t="s">
        <v>14</v>
      </c>
      <c r="S9" s="665">
        <f t="shared" si="0"/>
        <v>100</v>
      </c>
      <c r="T9" s="664" t="s">
        <v>14</v>
      </c>
      <c r="U9" s="665">
        <f t="shared" si="1"/>
        <v>100</v>
      </c>
      <c r="V9" s="664" t="s">
        <v>14</v>
      </c>
      <c r="W9" s="665">
        <f t="shared" si="2"/>
        <v>100</v>
      </c>
      <c r="X9" s="666"/>
      <c r="Y9" s="3306"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42"/>
      <c r="Q10" s="530" t="str">
        <f t="shared" si="6"/>
        <v>土地使用年限（年）</v>
      </c>
      <c r="R10" s="664" t="s">
        <v>14</v>
      </c>
      <c r="S10" s="665">
        <f t="shared" si="0"/>
        <v>100</v>
      </c>
      <c r="T10" s="664" t="s">
        <v>14</v>
      </c>
      <c r="U10" s="665">
        <f t="shared" si="1"/>
        <v>100</v>
      </c>
      <c r="V10" s="664" t="s">
        <v>14</v>
      </c>
      <c r="W10" s="665">
        <f t="shared" si="2"/>
        <v>100</v>
      </c>
      <c r="X10" s="666"/>
      <c r="Y10" s="3306"/>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2"/>
      <c r="M11" s="2488"/>
      <c r="N11" s="2488"/>
      <c r="O11" s="2488"/>
      <c r="P11" s="3442"/>
      <c r="Q11" s="530" t="str">
        <f t="shared" si="6"/>
        <v>容积率</v>
      </c>
      <c r="R11" s="664" t="s">
        <v>14</v>
      </c>
      <c r="S11" s="665">
        <f t="shared" si="0"/>
        <v>100</v>
      </c>
      <c r="T11" s="664" t="s">
        <v>14</v>
      </c>
      <c r="U11" s="665">
        <f t="shared" si="1"/>
        <v>100</v>
      </c>
      <c r="V11" s="664" t="s">
        <v>14</v>
      </c>
      <c r="W11" s="665">
        <f t="shared" si="2"/>
        <v>100</v>
      </c>
      <c r="X11" s="666"/>
      <c r="Y11" s="3306"/>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42"/>
      <c r="Q12" s="530">
        <f t="shared" si="6"/>
        <v>111</v>
      </c>
      <c r="R12" s="664" t="s">
        <v>14</v>
      </c>
      <c r="S12" s="665">
        <f t="shared" si="0"/>
        <v>100</v>
      </c>
      <c r="T12" s="664" t="s">
        <v>14</v>
      </c>
      <c r="U12" s="665">
        <f t="shared" si="1"/>
        <v>100</v>
      </c>
      <c r="V12" s="664" t="s">
        <v>14</v>
      </c>
      <c r="W12" s="665">
        <f t="shared" si="2"/>
        <v>100</v>
      </c>
      <c r="X12" s="666"/>
      <c r="Y12" s="330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42"/>
      <c r="Q13" s="530">
        <f t="shared" si="6"/>
        <v>111</v>
      </c>
      <c r="R13" s="664" t="s">
        <v>14</v>
      </c>
      <c r="S13" s="665">
        <f t="shared" si="0"/>
        <v>100</v>
      </c>
      <c r="T13" s="664" t="s">
        <v>14</v>
      </c>
      <c r="U13" s="665">
        <f t="shared" si="1"/>
        <v>100</v>
      </c>
      <c r="V13" s="664" t="s">
        <v>14</v>
      </c>
      <c r="W13" s="665">
        <f t="shared" si="2"/>
        <v>100</v>
      </c>
      <c r="X13" s="666"/>
      <c r="Y13" s="3306"/>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42"/>
      <c r="Q14" s="530">
        <f t="shared" si="6"/>
        <v>111</v>
      </c>
      <c r="R14" s="664" t="s">
        <v>14</v>
      </c>
      <c r="S14" s="665">
        <f t="shared" si="0"/>
        <v>100</v>
      </c>
      <c r="T14" s="664" t="s">
        <v>14</v>
      </c>
      <c r="U14" s="665">
        <f t="shared" si="1"/>
        <v>100</v>
      </c>
      <c r="V14" s="664" t="s">
        <v>14</v>
      </c>
      <c r="W14" s="665">
        <f t="shared" si="2"/>
        <v>100</v>
      </c>
      <c r="X14" s="666"/>
      <c r="Y14" s="3306"/>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105</v>
      </c>
      <c r="G15" s="381"/>
      <c r="H15" s="380">
        <f>SUMIF(76:76,G16,77:77)-SUMIF(76:76,C16,77:77)+100</f>
        <v>105</v>
      </c>
      <c r="I15" s="381"/>
      <c r="J15" s="380">
        <f>SUMIF(76:76,I16,77:77)-SUMIF(76:76,C16,77:77)+100</f>
        <v>105</v>
      </c>
      <c r="K15" s="384">
        <v>5</v>
      </c>
      <c r="L15" s="2493"/>
      <c r="M15" s="2488"/>
      <c r="N15" s="2488"/>
      <c r="O15" s="2488"/>
      <c r="P15" s="3440" t="s">
        <v>1691</v>
      </c>
      <c r="Q15" s="1263" t="str">
        <f t="shared" si="6"/>
        <v>居住社区成熟度</v>
      </c>
      <c r="R15" s="667" t="s">
        <v>14</v>
      </c>
      <c r="S15" s="668">
        <f t="shared" si="0"/>
        <v>105</v>
      </c>
      <c r="T15" s="667" t="s">
        <v>14</v>
      </c>
      <c r="U15" s="668">
        <f t="shared" si="1"/>
        <v>105</v>
      </c>
      <c r="V15" s="667" t="s">
        <v>14</v>
      </c>
      <c r="W15" s="668">
        <f t="shared" si="2"/>
        <v>105</v>
      </c>
      <c r="X15" s="1265"/>
      <c r="Y15" s="3433" t="s">
        <v>1691</v>
      </c>
      <c r="Z15" s="1264" t="str">
        <f t="shared" si="7"/>
        <v>居住社区成熟度</v>
      </c>
      <c r="AA15" s="1264">
        <f t="shared" si="3"/>
        <v>0.95238095238095233</v>
      </c>
      <c r="AB15" s="1264">
        <f t="shared" si="4"/>
        <v>0.95238095238095233</v>
      </c>
      <c r="AC15" s="1264">
        <f t="shared" si="5"/>
        <v>0.95238095238095233</v>
      </c>
    </row>
    <row r="16" spans="1:29" ht="15">
      <c r="A16" s="367"/>
      <c r="B16" s="385"/>
      <c r="C16" s="386" t="s">
        <v>4125</v>
      </c>
      <c r="D16" s="387"/>
      <c r="E16" s="1751" t="s">
        <v>4103</v>
      </c>
      <c r="F16" s="387"/>
      <c r="G16" s="1751" t="s">
        <v>4103</v>
      </c>
      <c r="H16" s="389"/>
      <c r="I16" s="1751" t="s">
        <v>4103</v>
      </c>
      <c r="J16" s="387"/>
      <c r="K16" s="1753"/>
      <c r="L16" s="2493"/>
      <c r="M16" s="2488"/>
      <c r="N16" s="2488"/>
      <c r="O16" s="2488"/>
      <c r="P16" s="3441"/>
      <c r="Q16" s="1263"/>
      <c r="R16" s="667"/>
      <c r="S16" s="668"/>
      <c r="T16" s="667"/>
      <c r="U16" s="668"/>
      <c r="V16" s="667"/>
      <c r="W16" s="668"/>
      <c r="X16" s="1265"/>
      <c r="Y16" s="3434"/>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v>1</v>
      </c>
      <c r="L17" s="2493"/>
      <c r="M17" s="2488"/>
      <c r="N17" s="2488"/>
      <c r="O17" s="2488"/>
      <c r="P17" s="3441"/>
      <c r="Q17" s="1263" t="str">
        <f>B17</f>
        <v>交通便捷度</v>
      </c>
      <c r="R17" s="667" t="s">
        <v>14</v>
      </c>
      <c r="S17" s="668">
        <f>F17</f>
        <v>100</v>
      </c>
      <c r="T17" s="667" t="s">
        <v>14</v>
      </c>
      <c r="U17" s="668">
        <f>H17</f>
        <v>100</v>
      </c>
      <c r="V17" s="667" t="s">
        <v>14</v>
      </c>
      <c r="W17" s="668">
        <f>J17</f>
        <v>100</v>
      </c>
      <c r="X17" s="1265"/>
      <c r="Y17" s="3434"/>
      <c r="Z17" s="1264" t="str">
        <f>Q17</f>
        <v>交通便捷度</v>
      </c>
      <c r="AA17" s="1264">
        <f t="shared" si="3"/>
        <v>1</v>
      </c>
      <c r="AB17" s="1264">
        <f t="shared" si="4"/>
        <v>1</v>
      </c>
      <c r="AC17" s="1264">
        <f t="shared" si="5"/>
        <v>1</v>
      </c>
    </row>
    <row r="18" spans="1:29" ht="15">
      <c r="A18" s="367"/>
      <c r="B18" s="395"/>
      <c r="C18" s="1755" t="s">
        <v>4125</v>
      </c>
      <c r="D18" s="389"/>
      <c r="E18" s="1755" t="s">
        <v>4125</v>
      </c>
      <c r="F18" s="389"/>
      <c r="G18" s="1755" t="s">
        <v>4125</v>
      </c>
      <c r="H18" s="387"/>
      <c r="I18" s="1755" t="s">
        <v>4125</v>
      </c>
      <c r="J18" s="387"/>
      <c r="K18" s="1753"/>
      <c r="L18" s="2493"/>
      <c r="M18" s="2488"/>
      <c r="N18" s="2488"/>
      <c r="O18" s="2488"/>
      <c r="P18" s="3441"/>
      <c r="Q18" s="1263"/>
      <c r="R18" s="667"/>
      <c r="S18" s="668"/>
      <c r="T18" s="667"/>
      <c r="U18" s="668"/>
      <c r="V18" s="667"/>
      <c r="W18" s="668"/>
      <c r="X18" s="1265"/>
      <c r="Y18" s="3434"/>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103</v>
      </c>
      <c r="G19" s="396"/>
      <c r="H19" s="389">
        <f>SUMIF(80:80,G20,81:81)-SUMIF(80:80,C20,81:81)+100</f>
        <v>103</v>
      </c>
      <c r="I19" s="396"/>
      <c r="J19" s="389">
        <f>SUMIF(80:80,I20,81:81)-SUMIF(80:80,C20,81:81)+100</f>
        <v>103</v>
      </c>
      <c r="K19" s="384">
        <v>3</v>
      </c>
      <c r="L19" s="2493"/>
      <c r="M19" s="2488"/>
      <c r="N19" s="2488"/>
      <c r="O19" s="2488"/>
      <c r="P19" s="3441"/>
      <c r="Q19" s="1263" t="str">
        <f>B19</f>
        <v>公共配套设施</v>
      </c>
      <c r="R19" s="667" t="s">
        <v>14</v>
      </c>
      <c r="S19" s="668">
        <f>F19</f>
        <v>103</v>
      </c>
      <c r="T19" s="667" t="s">
        <v>14</v>
      </c>
      <c r="U19" s="668">
        <f>H19</f>
        <v>103</v>
      </c>
      <c r="V19" s="667" t="s">
        <v>14</v>
      </c>
      <c r="W19" s="668">
        <f>J19</f>
        <v>103</v>
      </c>
      <c r="X19" s="1265"/>
      <c r="Y19" s="3434"/>
      <c r="Z19" s="1264" t="str">
        <f>Q19</f>
        <v>公共配套设施</v>
      </c>
      <c r="AA19" s="1264">
        <f t="shared" si="3"/>
        <v>0.970873786407767</v>
      </c>
      <c r="AB19" s="1264">
        <f t="shared" si="4"/>
        <v>0.970873786407767</v>
      </c>
      <c r="AC19" s="1264">
        <f t="shared" si="5"/>
        <v>0.970873786407767</v>
      </c>
    </row>
    <row r="20" spans="1:29" ht="15">
      <c r="A20" s="367"/>
      <c r="B20" s="395"/>
      <c r="C20" s="386" t="s">
        <v>4125</v>
      </c>
      <c r="D20" s="387"/>
      <c r="E20" s="1751" t="s">
        <v>4103</v>
      </c>
      <c r="F20" s="387"/>
      <c r="G20" s="1751" t="s">
        <v>4103</v>
      </c>
      <c r="H20" s="387"/>
      <c r="I20" s="1751" t="s">
        <v>4103</v>
      </c>
      <c r="J20" s="387"/>
      <c r="K20" s="1753"/>
      <c r="L20" s="2493"/>
      <c r="M20" s="2488"/>
      <c r="N20" s="2488"/>
      <c r="O20" s="2488"/>
      <c r="P20" s="3441"/>
      <c r="Q20" s="1263"/>
      <c r="R20" s="667"/>
      <c r="S20" s="668"/>
      <c r="T20" s="667"/>
      <c r="U20" s="668"/>
      <c r="V20" s="667"/>
      <c r="W20" s="668"/>
      <c r="X20" s="1265"/>
      <c r="Y20" s="3434"/>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41"/>
      <c r="Q21" s="1263" t="str">
        <f>B21</f>
        <v>基础设施水平</v>
      </c>
      <c r="R21" s="667" t="s">
        <v>14</v>
      </c>
      <c r="S21" s="668">
        <f>F21</f>
        <v>100</v>
      </c>
      <c r="T21" s="667" t="s">
        <v>14</v>
      </c>
      <c r="U21" s="668">
        <f>H21</f>
        <v>100</v>
      </c>
      <c r="V21" s="667" t="s">
        <v>14</v>
      </c>
      <c r="W21" s="668">
        <f>J21</f>
        <v>100</v>
      </c>
      <c r="X21" s="1265"/>
      <c r="Y21" s="343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41"/>
      <c r="Q22" s="1263"/>
      <c r="R22" s="667"/>
      <c r="S22" s="668"/>
      <c r="T22" s="667"/>
      <c r="U22" s="668"/>
      <c r="V22" s="667"/>
      <c r="W22" s="668"/>
      <c r="X22" s="1265"/>
      <c r="Y22" s="3434"/>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41"/>
      <c r="Q23" s="1263" t="str">
        <f>B23</f>
        <v>自然及人文环境</v>
      </c>
      <c r="R23" s="667" t="s">
        <v>14</v>
      </c>
      <c r="S23" s="668">
        <f>F23</f>
        <v>100</v>
      </c>
      <c r="T23" s="667" t="s">
        <v>14</v>
      </c>
      <c r="U23" s="668">
        <f>H23</f>
        <v>100</v>
      </c>
      <c r="V23" s="667" t="s">
        <v>14</v>
      </c>
      <c r="W23" s="668">
        <f>J23</f>
        <v>100</v>
      </c>
      <c r="X23" s="1265"/>
      <c r="Y23" s="343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41"/>
      <c r="Q24" s="1263"/>
      <c r="R24" s="667"/>
      <c r="S24" s="668"/>
      <c r="T24" s="667"/>
      <c r="U24" s="668"/>
      <c r="V24" s="667"/>
      <c r="W24" s="668"/>
      <c r="X24" s="1265"/>
      <c r="Y24" s="343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41"/>
      <c r="Q25" s="1263" t="str">
        <f t="shared" ref="Q25:Q46" si="11">B25</f>
        <v>楼层-1</v>
      </c>
      <c r="R25" s="667" t="s">
        <v>14</v>
      </c>
      <c r="S25" s="668">
        <f t="shared" ref="S25:S46" si="12">F25</f>
        <v>100</v>
      </c>
      <c r="T25" s="667" t="s">
        <v>14</v>
      </c>
      <c r="U25" s="668">
        <f t="shared" ref="U25:U46" si="13">H25</f>
        <v>100</v>
      </c>
      <c r="V25" s="667" t="s">
        <v>14</v>
      </c>
      <c r="W25" s="668">
        <f t="shared" ref="W25:W46" si="14">J25</f>
        <v>100</v>
      </c>
      <c r="X25" s="1265"/>
      <c r="Y25" s="3434"/>
      <c r="Z25" s="1264" t="str">
        <f>Q25</f>
        <v>楼层-1</v>
      </c>
      <c r="AA25" s="1264">
        <f t="shared" ref="AA25:AA46" si="15">D25/F25</f>
        <v>1</v>
      </c>
      <c r="AB25" s="1264">
        <f t="shared" ref="AB25:AB46" si="16">D25/H25</f>
        <v>1</v>
      </c>
      <c r="AC25" s="1264">
        <f t="shared" ref="AC25:AC46" si="17">D25/J25</f>
        <v>1</v>
      </c>
    </row>
    <row r="26" spans="1:29" ht="15">
      <c r="A26" s="367"/>
      <c r="B26" s="364" t="s">
        <v>1693</v>
      </c>
      <c r="C26" s="399" t="s">
        <v>3479</v>
      </c>
      <c r="D26" s="374">
        <v>100</v>
      </c>
      <c r="E26" s="1760" t="s">
        <v>4122</v>
      </c>
      <c r="F26" s="374">
        <f>SUMIF(88:88,E26,89:89)-SUMIF(88:88,C26,89:89)+100</f>
        <v>99</v>
      </c>
      <c r="G26" s="1761" t="s">
        <v>3493</v>
      </c>
      <c r="H26" s="374">
        <f>SUMIF(88:88,G26,89:89)-SUMIF(88:88,C26,89:89)+100</f>
        <v>98</v>
      </c>
      <c r="I26" s="1761" t="s">
        <v>3479</v>
      </c>
      <c r="J26" s="374">
        <f>SUMIF(88:88,I26,89:89)-SUMIF(88:88,C26,89:89)+100</f>
        <v>100</v>
      </c>
      <c r="K26" s="365">
        <v>1</v>
      </c>
      <c r="L26" s="2493"/>
      <c r="M26" s="2488"/>
      <c r="N26" s="2488"/>
      <c r="O26" s="2488"/>
      <c r="P26" s="3441"/>
      <c r="Q26" s="1263" t="str">
        <f t="shared" si="11"/>
        <v>朝向</v>
      </c>
      <c r="R26" s="667" t="s">
        <v>14</v>
      </c>
      <c r="S26" s="668">
        <f t="shared" si="12"/>
        <v>99</v>
      </c>
      <c r="T26" s="667" t="s">
        <v>14</v>
      </c>
      <c r="U26" s="668">
        <f t="shared" si="13"/>
        <v>98</v>
      </c>
      <c r="V26" s="667" t="s">
        <v>14</v>
      </c>
      <c r="W26" s="668">
        <f t="shared" si="14"/>
        <v>100</v>
      </c>
      <c r="X26" s="1265"/>
      <c r="Y26" s="3434"/>
      <c r="Z26" s="1264" t="str">
        <f>Q26</f>
        <v>朝向</v>
      </c>
      <c r="AA26" s="1264">
        <f t="shared" si="15"/>
        <v>1.0101010101010102</v>
      </c>
      <c r="AB26" s="1264">
        <f t="shared" si="16"/>
        <v>1.0204081632653061</v>
      </c>
      <c r="AC26" s="1264">
        <f t="shared" si="17"/>
        <v>1</v>
      </c>
    </row>
    <row r="27" spans="1:29" s="102" customFormat="1" ht="15">
      <c r="A27" s="370"/>
      <c r="B27" s="3585" t="s">
        <v>4110</v>
      </c>
      <c r="C27" s="3586" t="s">
        <v>4121</v>
      </c>
      <c r="D27" s="401">
        <v>100</v>
      </c>
      <c r="E27" s="3587" t="s">
        <v>4121</v>
      </c>
      <c r="F27" s="401">
        <f>SUMIF(90:90,E27,91:91)-SUMIF(90:90,C27,91:91)+100</f>
        <v>100</v>
      </c>
      <c r="G27" s="3587" t="s">
        <v>4121</v>
      </c>
      <c r="H27" s="401">
        <f>SUMIF(90:90,G27,91:91)-SUMIF(90:90,C27,91:91)+100</f>
        <v>100</v>
      </c>
      <c r="I27" s="3587" t="s">
        <v>4121</v>
      </c>
      <c r="J27" s="401">
        <f>SUMIF(90:90,I27,91:91)-SUMIF(90:90,C27,91:91)+100</f>
        <v>100</v>
      </c>
      <c r="K27" s="1748"/>
      <c r="L27" s="2489"/>
      <c r="M27" s="2440"/>
      <c r="N27" s="2440"/>
      <c r="O27" s="2440"/>
      <c r="P27" s="3441"/>
      <c r="Q27" s="530" t="str">
        <f t="shared" si="11"/>
        <v>楼层</v>
      </c>
      <c r="R27" s="664" t="s">
        <v>14</v>
      </c>
      <c r="S27" s="665">
        <f t="shared" si="12"/>
        <v>100</v>
      </c>
      <c r="T27" s="664" t="s">
        <v>14</v>
      </c>
      <c r="U27" s="665">
        <f t="shared" si="13"/>
        <v>100</v>
      </c>
      <c r="V27" s="664" t="s">
        <v>14</v>
      </c>
      <c r="W27" s="665">
        <f t="shared" si="14"/>
        <v>100</v>
      </c>
      <c r="X27" s="666"/>
      <c r="Y27" s="3434"/>
      <c r="Z27" s="50" t="str">
        <f>Q27</f>
        <v>楼层</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41"/>
      <c r="Q28" s="1263">
        <f t="shared" si="11"/>
        <v>111</v>
      </c>
      <c r="R28" s="667" t="s">
        <v>14</v>
      </c>
      <c r="S28" s="668">
        <f t="shared" si="12"/>
        <v>100</v>
      </c>
      <c r="T28" s="667" t="s">
        <v>14</v>
      </c>
      <c r="U28" s="668">
        <f t="shared" si="13"/>
        <v>100</v>
      </c>
      <c r="V28" s="667" t="s">
        <v>14</v>
      </c>
      <c r="W28" s="668">
        <f t="shared" si="14"/>
        <v>100</v>
      </c>
      <c r="X28" s="1265"/>
      <c r="Y28" s="343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41"/>
      <c r="Q29" s="1263">
        <f t="shared" si="11"/>
        <v>111</v>
      </c>
      <c r="R29" s="667" t="s">
        <v>14</v>
      </c>
      <c r="S29" s="668">
        <f t="shared" si="12"/>
        <v>100</v>
      </c>
      <c r="T29" s="667" t="s">
        <v>14</v>
      </c>
      <c r="U29" s="668">
        <f t="shared" si="13"/>
        <v>100</v>
      </c>
      <c r="V29" s="667" t="s">
        <v>14</v>
      </c>
      <c r="W29" s="668">
        <f t="shared" si="14"/>
        <v>100</v>
      </c>
      <c r="X29" s="1265"/>
      <c r="Y29" s="343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41"/>
      <c r="Q30" s="1263">
        <f t="shared" si="11"/>
        <v>111</v>
      </c>
      <c r="R30" s="667" t="s">
        <v>14</v>
      </c>
      <c r="S30" s="668">
        <f t="shared" si="12"/>
        <v>100</v>
      </c>
      <c r="T30" s="667" t="s">
        <v>14</v>
      </c>
      <c r="U30" s="668">
        <f t="shared" si="13"/>
        <v>100</v>
      </c>
      <c r="V30" s="667" t="s">
        <v>14</v>
      </c>
      <c r="W30" s="668">
        <f t="shared" si="14"/>
        <v>100</v>
      </c>
      <c r="X30" s="1265"/>
      <c r="Y30" s="3434"/>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41"/>
      <c r="Q31" s="1263">
        <f t="shared" si="11"/>
        <v>111</v>
      </c>
      <c r="R31" s="667" t="s">
        <v>14</v>
      </c>
      <c r="S31" s="668">
        <f t="shared" si="12"/>
        <v>100</v>
      </c>
      <c r="T31" s="667" t="s">
        <v>14</v>
      </c>
      <c r="U31" s="668">
        <f t="shared" si="13"/>
        <v>100</v>
      </c>
      <c r="V31" s="667" t="s">
        <v>14</v>
      </c>
      <c r="W31" s="668">
        <f t="shared" si="14"/>
        <v>100</v>
      </c>
      <c r="X31" s="1265"/>
      <c r="Y31" s="343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35" t="s">
        <v>1696</v>
      </c>
      <c r="Q32" s="1263" t="str">
        <f t="shared" si="11"/>
        <v>建筑类型</v>
      </c>
      <c r="R32" s="667" t="s">
        <v>14</v>
      </c>
      <c r="S32" s="668">
        <f t="shared" si="12"/>
        <v>100</v>
      </c>
      <c r="T32" s="667" t="s">
        <v>14</v>
      </c>
      <c r="U32" s="668">
        <f t="shared" si="13"/>
        <v>100</v>
      </c>
      <c r="V32" s="667" t="s">
        <v>14</v>
      </c>
      <c r="W32" s="668">
        <f t="shared" si="14"/>
        <v>100</v>
      </c>
      <c r="X32" s="1265"/>
      <c r="Y32" s="3438" t="s">
        <v>1696</v>
      </c>
      <c r="Z32" s="1264" t="str">
        <f t="shared" si="18"/>
        <v>建筑类型</v>
      </c>
      <c r="AA32" s="1264">
        <f t="shared" si="15"/>
        <v>1</v>
      </c>
      <c r="AB32" s="1264">
        <f t="shared" si="16"/>
        <v>1</v>
      </c>
      <c r="AC32" s="1264">
        <f t="shared" si="17"/>
        <v>1</v>
      </c>
    </row>
    <row r="33" spans="1:29" s="408" customFormat="1" ht="15">
      <c r="A33" s="406"/>
      <c r="B33" s="364" t="s">
        <v>1697</v>
      </c>
      <c r="C33" s="407">
        <v>80</v>
      </c>
      <c r="D33" s="119">
        <v>100</v>
      </c>
      <c r="E33" s="369">
        <f>西山印案例!C6</f>
        <v>89.73</v>
      </c>
      <c r="F33" s="364">
        <f>LOOKUP(E33,103:103,104:104)-LOOKUP(C33,103:103,104:104)+100</f>
        <v>100</v>
      </c>
      <c r="G33" s="368">
        <f>西山印案例!C10</f>
        <v>75.48</v>
      </c>
      <c r="H33" s="119">
        <f>LOOKUP(G33,103:103,104:104)-LOOKUP(C33,103:103,104:104)+100</f>
        <v>100</v>
      </c>
      <c r="I33" s="369">
        <f>西山印案例!C12</f>
        <v>119.88</v>
      </c>
      <c r="J33" s="119">
        <f>LOOKUP(I33,103:103,104:104)-LOOKUP(C33,103:103,104:104)+100</f>
        <v>99</v>
      </c>
      <c r="K33" s="1748"/>
      <c r="L33" s="2492"/>
      <c r="M33" s="2494"/>
      <c r="N33" s="2494"/>
      <c r="O33" s="2494"/>
      <c r="P33" s="3436"/>
      <c r="Q33" s="531" t="str">
        <f t="shared" si="11"/>
        <v>项目建筑规模</v>
      </c>
      <c r="R33" s="669" t="s">
        <v>14</v>
      </c>
      <c r="S33" s="670">
        <f t="shared" si="12"/>
        <v>100</v>
      </c>
      <c r="T33" s="669" t="s">
        <v>14</v>
      </c>
      <c r="U33" s="670">
        <f t="shared" si="13"/>
        <v>100</v>
      </c>
      <c r="V33" s="669" t="s">
        <v>14</v>
      </c>
      <c r="W33" s="670">
        <f t="shared" si="14"/>
        <v>99</v>
      </c>
      <c r="X33" s="671"/>
      <c r="Y33" s="3438"/>
      <c r="Z33" s="672" t="str">
        <f t="shared" si="18"/>
        <v>项目建筑规模</v>
      </c>
      <c r="AA33" s="1264">
        <f t="shared" si="15"/>
        <v>1</v>
      </c>
      <c r="AB33" s="1264">
        <f t="shared" si="16"/>
        <v>1</v>
      </c>
      <c r="AC33" s="1264">
        <f t="shared" si="17"/>
        <v>1.0101010101010102</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36"/>
      <c r="Q34" s="1263" t="str">
        <f t="shared" si="11"/>
        <v>建筑结构</v>
      </c>
      <c r="R34" s="667" t="s">
        <v>14</v>
      </c>
      <c r="S34" s="668">
        <f t="shared" si="12"/>
        <v>100</v>
      </c>
      <c r="T34" s="667" t="s">
        <v>14</v>
      </c>
      <c r="U34" s="668">
        <f t="shared" si="13"/>
        <v>100</v>
      </c>
      <c r="V34" s="667" t="s">
        <v>14</v>
      </c>
      <c r="W34" s="668">
        <f t="shared" si="14"/>
        <v>100</v>
      </c>
      <c r="X34" s="1265"/>
      <c r="Y34" s="343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36"/>
      <c r="Q35" s="1263" t="str">
        <f t="shared" si="11"/>
        <v>建筑品质</v>
      </c>
      <c r="R35" s="667" t="s">
        <v>14</v>
      </c>
      <c r="S35" s="668">
        <f t="shared" si="12"/>
        <v>100</v>
      </c>
      <c r="T35" s="667" t="s">
        <v>14</v>
      </c>
      <c r="U35" s="668">
        <f t="shared" si="13"/>
        <v>100</v>
      </c>
      <c r="V35" s="667" t="s">
        <v>14</v>
      </c>
      <c r="W35" s="668">
        <f t="shared" si="14"/>
        <v>100</v>
      </c>
      <c r="X35" s="1265"/>
      <c r="Y35" s="343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36"/>
      <c r="Q36" s="1263" t="str">
        <f t="shared" si="11"/>
        <v>公共部分装修</v>
      </c>
      <c r="R36" s="667" t="s">
        <v>14</v>
      </c>
      <c r="S36" s="668">
        <f t="shared" si="12"/>
        <v>100</v>
      </c>
      <c r="T36" s="667" t="s">
        <v>14</v>
      </c>
      <c r="U36" s="668">
        <f t="shared" si="13"/>
        <v>100</v>
      </c>
      <c r="V36" s="667" t="s">
        <v>14</v>
      </c>
      <c r="W36" s="668">
        <f t="shared" si="14"/>
        <v>100</v>
      </c>
      <c r="X36" s="1265"/>
      <c r="Y36" s="3438"/>
      <c r="Z36" s="1264" t="str">
        <f t="shared" si="18"/>
        <v>公共部分装修</v>
      </c>
      <c r="AA36" s="1264">
        <f t="shared" si="15"/>
        <v>1</v>
      </c>
      <c r="AB36" s="1264">
        <f t="shared" si="16"/>
        <v>1</v>
      </c>
      <c r="AC36" s="1264">
        <f t="shared" si="17"/>
        <v>1</v>
      </c>
    </row>
    <row r="37" spans="1:29" s="102" customFormat="1" ht="15">
      <c r="A37" s="410"/>
      <c r="B37" s="364" t="s">
        <v>1701</v>
      </c>
      <c r="C37" s="411">
        <v>1</v>
      </c>
      <c r="D37" s="119">
        <v>100</v>
      </c>
      <c r="E37" s="411">
        <v>0.7</v>
      </c>
      <c r="F37" s="364">
        <f>LOOKUP(E37,112:112,113:113)-LOOKUP(C37,112:112,113:113)+100</f>
        <v>98</v>
      </c>
      <c r="G37" s="413">
        <v>0.78</v>
      </c>
      <c r="H37" s="119">
        <f>LOOKUP(G37,112:112,113:113)-LOOKUP(C37,112:112,113:113)+100</f>
        <v>98</v>
      </c>
      <c r="I37" s="412">
        <v>0.85</v>
      </c>
      <c r="J37" s="119">
        <f>LOOKUP(I37,112:112,113:113)-LOOKUP(C37,112:112,113:113)+100</f>
        <v>99</v>
      </c>
      <c r="K37" s="365">
        <v>1</v>
      </c>
      <c r="L37" s="2489"/>
      <c r="M37" s="2440"/>
      <c r="N37" s="2440"/>
      <c r="O37" s="2440"/>
      <c r="P37" s="3436"/>
      <c r="Q37" s="530" t="str">
        <f t="shared" si="11"/>
        <v>成新度</v>
      </c>
      <c r="R37" s="664" t="s">
        <v>14</v>
      </c>
      <c r="S37" s="665">
        <f t="shared" si="12"/>
        <v>98</v>
      </c>
      <c r="T37" s="664" t="s">
        <v>14</v>
      </c>
      <c r="U37" s="665">
        <f t="shared" si="13"/>
        <v>98</v>
      </c>
      <c r="V37" s="664" t="s">
        <v>14</v>
      </c>
      <c r="W37" s="665">
        <f t="shared" si="14"/>
        <v>99</v>
      </c>
      <c r="X37" s="666"/>
      <c r="Y37" s="3438"/>
      <c r="Z37" s="50" t="str">
        <f t="shared" si="18"/>
        <v>成新度</v>
      </c>
      <c r="AA37" s="50">
        <f t="shared" si="15"/>
        <v>1.0204081632653061</v>
      </c>
      <c r="AB37" s="50">
        <f t="shared" si="16"/>
        <v>1.0204081632653061</v>
      </c>
      <c r="AC37" s="50">
        <f t="shared" si="17"/>
        <v>1.0101010101010102</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f>1-(2023-2005)/60</f>
        <v>0.7</v>
      </c>
      <c r="N38" s="2488"/>
      <c r="O38" s="2488"/>
      <c r="P38" s="3436" t="s">
        <v>1696</v>
      </c>
      <c r="Q38" s="1263" t="str">
        <f t="shared" si="11"/>
        <v>物业管理</v>
      </c>
      <c r="R38" s="667" t="s">
        <v>14</v>
      </c>
      <c r="S38" s="668">
        <f t="shared" si="12"/>
        <v>100</v>
      </c>
      <c r="T38" s="667" t="s">
        <v>14</v>
      </c>
      <c r="U38" s="668">
        <f t="shared" si="13"/>
        <v>100</v>
      </c>
      <c r="V38" s="667" t="s">
        <v>14</v>
      </c>
      <c r="W38" s="668">
        <f t="shared" si="14"/>
        <v>100</v>
      </c>
      <c r="X38" s="1265"/>
      <c r="Y38" s="343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f>1-(2023-2010)/60</f>
        <v>0.78333333333333333</v>
      </c>
      <c r="N39" s="2488"/>
      <c r="O39" s="2488"/>
      <c r="P39" s="3436"/>
      <c r="Q39" s="1263" t="str">
        <f t="shared" si="11"/>
        <v>市政基础设施</v>
      </c>
      <c r="R39" s="667" t="s">
        <v>14</v>
      </c>
      <c r="S39" s="668">
        <f t="shared" si="12"/>
        <v>100</v>
      </c>
      <c r="T39" s="667" t="s">
        <v>14</v>
      </c>
      <c r="U39" s="668">
        <f t="shared" si="13"/>
        <v>100</v>
      </c>
      <c r="V39" s="667" t="s">
        <v>14</v>
      </c>
      <c r="W39" s="668">
        <f t="shared" si="14"/>
        <v>100</v>
      </c>
      <c r="X39" s="1265"/>
      <c r="Y39" s="343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f>1-(2023-2015)/60</f>
        <v>0.8666666666666667</v>
      </c>
      <c r="N40" s="2488"/>
      <c r="O40" s="2488"/>
      <c r="P40" s="3436"/>
      <c r="Q40" s="1263" t="str">
        <f t="shared" si="11"/>
        <v>房型</v>
      </c>
      <c r="R40" s="667" t="s">
        <v>14</v>
      </c>
      <c r="S40" s="668">
        <f t="shared" si="12"/>
        <v>100</v>
      </c>
      <c r="T40" s="667" t="s">
        <v>14</v>
      </c>
      <c r="U40" s="668">
        <f t="shared" si="13"/>
        <v>100</v>
      </c>
      <c r="V40" s="667" t="s">
        <v>14</v>
      </c>
      <c r="W40" s="668">
        <f t="shared" si="14"/>
        <v>100</v>
      </c>
      <c r="X40" s="1265"/>
      <c r="Y40" s="3438"/>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36"/>
      <c r="Q41" s="531" t="str">
        <f t="shared" si="11"/>
        <v>单套/主力户型建筑面积</v>
      </c>
      <c r="R41" s="669" t="s">
        <v>14</v>
      </c>
      <c r="S41" s="670">
        <f t="shared" si="12"/>
        <v>100</v>
      </c>
      <c r="T41" s="669" t="s">
        <v>14</v>
      </c>
      <c r="U41" s="670">
        <f t="shared" si="13"/>
        <v>100</v>
      </c>
      <c r="V41" s="669" t="s">
        <v>14</v>
      </c>
      <c r="W41" s="670">
        <f t="shared" si="14"/>
        <v>100</v>
      </c>
      <c r="X41" s="671"/>
      <c r="Y41" s="3438"/>
      <c r="Z41" s="672" t="str">
        <f t="shared" si="18"/>
        <v>单套/主力户型建筑面积</v>
      </c>
      <c r="AA41" s="1264">
        <f t="shared" si="15"/>
        <v>1</v>
      </c>
      <c r="AB41" s="1264">
        <f t="shared" si="16"/>
        <v>1</v>
      </c>
      <c r="AC41" s="1264">
        <f t="shared" si="17"/>
        <v>1</v>
      </c>
    </row>
    <row r="42" spans="1:29" ht="15">
      <c r="A42" s="409"/>
      <c r="B42" s="364" t="s">
        <v>1706</v>
      </c>
      <c r="C42" s="1760" t="s">
        <v>3494</v>
      </c>
      <c r="D42" s="374">
        <v>100</v>
      </c>
      <c r="E42" s="1761" t="s">
        <v>3484</v>
      </c>
      <c r="F42" s="400">
        <f>SUMIF(122:122,E42,123:123)-SUMIF(122:122,C42,123:123)+100</f>
        <v>99</v>
      </c>
      <c r="G42" s="1760" t="s">
        <v>3484</v>
      </c>
      <c r="H42" s="374">
        <f>SUMIF(122:122,G42,123:123)-SUMIF(122:122,C42,123:123)+100</f>
        <v>99</v>
      </c>
      <c r="I42" s="1760" t="s">
        <v>3494</v>
      </c>
      <c r="J42" s="374">
        <f>SUMIF(122:122,I42,123:123)-SUMIF(122:122,C42,123:123)+100</f>
        <v>100</v>
      </c>
      <c r="K42" s="365">
        <v>1</v>
      </c>
      <c r="L42" s="2493"/>
      <c r="M42" s="2488"/>
      <c r="N42" s="2488"/>
      <c r="O42" s="2488"/>
      <c r="P42" s="3436"/>
      <c r="Q42" s="1263" t="str">
        <f t="shared" si="11"/>
        <v>内部装修</v>
      </c>
      <c r="R42" s="667" t="s">
        <v>14</v>
      </c>
      <c r="S42" s="668">
        <f t="shared" si="12"/>
        <v>99</v>
      </c>
      <c r="T42" s="667" t="s">
        <v>14</v>
      </c>
      <c r="U42" s="668">
        <f t="shared" si="13"/>
        <v>99</v>
      </c>
      <c r="V42" s="667" t="s">
        <v>14</v>
      </c>
      <c r="W42" s="668">
        <f t="shared" si="14"/>
        <v>100</v>
      </c>
      <c r="X42" s="1265"/>
      <c r="Y42" s="3438"/>
      <c r="Z42" s="1264" t="str">
        <f t="shared" si="18"/>
        <v>内部装修</v>
      </c>
      <c r="AA42" s="1264">
        <f t="shared" si="15"/>
        <v>1.0101010101010102</v>
      </c>
      <c r="AB42" s="1264">
        <f t="shared" si="16"/>
        <v>1.0101010101010102</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36"/>
      <c r="Q43" s="1263" t="str">
        <f t="shared" si="11"/>
        <v>内部装修维护情况</v>
      </c>
      <c r="R43" s="667" t="s">
        <v>14</v>
      </c>
      <c r="S43" s="668">
        <f t="shared" si="12"/>
        <v>100</v>
      </c>
      <c r="T43" s="667" t="s">
        <v>14</v>
      </c>
      <c r="U43" s="668">
        <f t="shared" si="13"/>
        <v>100</v>
      </c>
      <c r="V43" s="667" t="s">
        <v>14</v>
      </c>
      <c r="W43" s="668">
        <f t="shared" si="14"/>
        <v>100</v>
      </c>
      <c r="X43" s="1265"/>
      <c r="Y43" s="343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N44" s="2440"/>
      <c r="O44" s="2440"/>
      <c r="P44" s="3436"/>
      <c r="Q44" s="530">
        <f t="shared" si="11"/>
        <v>111</v>
      </c>
      <c r="R44" s="664" t="s">
        <v>14</v>
      </c>
      <c r="S44" s="665">
        <f t="shared" si="12"/>
        <v>100</v>
      </c>
      <c r="T44" s="664" t="s">
        <v>14</v>
      </c>
      <c r="U44" s="665">
        <f t="shared" si="13"/>
        <v>100</v>
      </c>
      <c r="V44" s="664" t="s">
        <v>14</v>
      </c>
      <c r="W44" s="665">
        <f t="shared" si="14"/>
        <v>100</v>
      </c>
      <c r="X44" s="666"/>
      <c r="Y44" s="343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36"/>
      <c r="Q45" s="1263">
        <f t="shared" si="11"/>
        <v>111</v>
      </c>
      <c r="R45" s="667" t="s">
        <v>14</v>
      </c>
      <c r="S45" s="668">
        <f t="shared" si="12"/>
        <v>100</v>
      </c>
      <c r="T45" s="667" t="s">
        <v>14</v>
      </c>
      <c r="U45" s="668">
        <f t="shared" si="13"/>
        <v>100</v>
      </c>
      <c r="V45" s="667" t="s">
        <v>14</v>
      </c>
      <c r="W45" s="668">
        <f t="shared" si="14"/>
        <v>100</v>
      </c>
      <c r="X45" s="1265"/>
      <c r="Y45" s="3438"/>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37"/>
      <c r="Q46" s="1263">
        <f t="shared" si="11"/>
        <v>111</v>
      </c>
      <c r="R46" s="667" t="s">
        <v>14</v>
      </c>
      <c r="S46" s="668">
        <f t="shared" si="12"/>
        <v>100</v>
      </c>
      <c r="T46" s="667" t="s">
        <v>14</v>
      </c>
      <c r="U46" s="668">
        <f t="shared" si="13"/>
        <v>100</v>
      </c>
      <c r="V46" s="667" t="s">
        <v>14</v>
      </c>
      <c r="W46" s="668">
        <f t="shared" si="14"/>
        <v>100</v>
      </c>
      <c r="X46" s="1265"/>
      <c r="Y46" s="3439"/>
      <c r="Z46" s="1264">
        <f t="shared" si="18"/>
        <v>111</v>
      </c>
      <c r="AA46" s="1264">
        <f t="shared" si="15"/>
        <v>1</v>
      </c>
      <c r="AB46" s="1264">
        <f t="shared" si="16"/>
        <v>1</v>
      </c>
      <c r="AC46" s="1264">
        <f t="shared" si="17"/>
        <v>1</v>
      </c>
    </row>
    <row r="47" spans="1:29" ht="15">
      <c r="A47" s="416" t="s">
        <v>1708</v>
      </c>
      <c r="B47" s="417"/>
      <c r="C47" s="1081" t="s">
        <v>0</v>
      </c>
      <c r="D47" s="418"/>
      <c r="E47" s="419">
        <f>西山印案例!R6</f>
        <v>36220</v>
      </c>
      <c r="F47" s="420"/>
      <c r="G47" s="421">
        <f>西山印案例!R10</f>
        <v>35109</v>
      </c>
      <c r="H47" s="422"/>
      <c r="I47" s="419">
        <f>西山印案例!R12</f>
        <v>39790</v>
      </c>
      <c r="J47" s="422"/>
      <c r="K47" s="1767"/>
      <c r="L47" s="2495"/>
      <c r="M47" s="2488"/>
      <c r="N47" s="2488"/>
      <c r="O47" s="2488"/>
      <c r="P47" s="3431" t="str">
        <f>A47</f>
        <v>成交单价（元/平方米）</v>
      </c>
      <c r="Q47" s="3431"/>
      <c r="R47" s="3432">
        <f>E47</f>
        <v>36220</v>
      </c>
      <c r="S47" s="3432"/>
      <c r="T47" s="3432">
        <f>G47</f>
        <v>35109</v>
      </c>
      <c r="U47" s="3432"/>
      <c r="V47" s="3432">
        <f>I47</f>
        <v>39790</v>
      </c>
      <c r="W47" s="3432"/>
      <c r="X47" s="385"/>
      <c r="Y47" s="673"/>
      <c r="Z47" s="385"/>
      <c r="AA47" s="385"/>
      <c r="AB47" s="385"/>
      <c r="AC47" s="385"/>
    </row>
    <row r="48" spans="1:29" ht="15.75" thickBot="1">
      <c r="A48" s="423" t="s">
        <v>1709</v>
      </c>
      <c r="B48" s="424"/>
      <c r="C48" s="1082">
        <f>R49</f>
        <v>35517</v>
      </c>
      <c r="D48" s="2141" t="s">
        <v>2138</v>
      </c>
      <c r="E48" s="1083">
        <f>R48</f>
        <v>34868</v>
      </c>
      <c r="F48" s="2142"/>
      <c r="G48" s="1082">
        <f>T48</f>
        <v>34143</v>
      </c>
      <c r="H48" s="2142"/>
      <c r="I48" s="1083">
        <f>V48</f>
        <v>37539</v>
      </c>
      <c r="J48" s="2142"/>
      <c r="K48" s="2143">
        <f>F48+H48+J48</f>
        <v>0</v>
      </c>
      <c r="L48" s="2495"/>
      <c r="M48" s="2440"/>
      <c r="N48" s="2488"/>
      <c r="O48" s="2488"/>
      <c r="P48" s="3431" t="str">
        <f>A48</f>
        <v>比较价值（元/平方米）</v>
      </c>
      <c r="Q48" s="3431"/>
      <c r="R48" s="3432">
        <f>IF(F1="售价",ROUND(PRODUCT(R47,AA7:AA46),0),ROUND(PRODUCT(R47,AA7:AA46),1))</f>
        <v>34868</v>
      </c>
      <c r="S48" s="3432"/>
      <c r="T48" s="3432">
        <f>IF(F1="售价",ROUND(PRODUCT(T47,AB7:AB46),0),ROUND(PRODUCT(T47,AB7:AB46),1))</f>
        <v>34143</v>
      </c>
      <c r="U48" s="3432"/>
      <c r="V48" s="3432">
        <f>IF(F1="售价",ROUND(PRODUCT(V47,AC7:AC46),0),ROUND(PRODUCT(V47,AC7:AC46),1))</f>
        <v>37539</v>
      </c>
      <c r="W48" s="3432"/>
      <c r="X48" s="385"/>
      <c r="Y48" s="385"/>
      <c r="Z48" s="385"/>
      <c r="AA48" s="385"/>
      <c r="AB48" s="385"/>
      <c r="AC48" s="385"/>
    </row>
    <row r="49" spans="1:29" ht="15.75" thickBot="1">
      <c r="A49" s="427" t="s">
        <v>1710</v>
      </c>
      <c r="B49" s="428"/>
      <c r="C49" s="1084">
        <f>R49</f>
        <v>35517</v>
      </c>
      <c r="D49" s="351"/>
      <c r="E49" s="351"/>
      <c r="F49" s="351"/>
      <c r="G49" s="351"/>
      <c r="H49" s="351"/>
      <c r="I49" s="351"/>
      <c r="J49" s="351"/>
      <c r="K49" s="1768"/>
      <c r="L49" s="2495"/>
      <c r="M49" s="2488"/>
      <c r="N49" s="2488"/>
      <c r="O49" s="2488"/>
      <c r="P49" s="3428" t="str">
        <f>A49</f>
        <v>估价对象XX用房的比较价值（楼面单价，元/平方米）</v>
      </c>
      <c r="Q49" s="3429"/>
      <c r="R49" s="3430">
        <f>IF(F1="售价",ROUND(IF(D48="简单平均",AVERAGE(R48:V48),R48*F48+T48*H48+V48*J48),0),ROUND(IF(D48="简单平均",AVERAGE(R48:V48),R48*F48+T48*H48+V48*J48),1))</f>
        <v>35517</v>
      </c>
      <c r="S49" s="3430"/>
      <c r="T49" s="3430"/>
      <c r="U49" s="3430"/>
      <c r="V49" s="3430"/>
      <c r="W49" s="3430"/>
      <c r="X49" s="385"/>
      <c r="Y49" s="385"/>
      <c r="Z49" s="385"/>
      <c r="AA49" s="385"/>
      <c r="AB49" s="385"/>
      <c r="AC49" s="385"/>
    </row>
    <row r="50" spans="1:29">
      <c r="A50" s="2488"/>
      <c r="B50" s="2488"/>
      <c r="C50" s="2488"/>
      <c r="D50" s="2488"/>
      <c r="E50" s="2488">
        <v>2005</v>
      </c>
      <c r="F50" s="2488"/>
      <c r="G50" s="2499">
        <v>20.100000000000001</v>
      </c>
      <c r="H50" s="2488"/>
      <c r="I50" s="2488">
        <v>2015</v>
      </c>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f>IF(E47&lt;E48,E48/E47-1,E47/E48-1)</f>
        <v>3.8774807846736259E-2</v>
      </c>
      <c r="F52" s="435" t="str">
        <f>IF(OR(E52&gt;=0.3,E52&lt;=-0.3),"超过30%","")</f>
        <v/>
      </c>
      <c r="G52" s="434">
        <f>IF(G47&lt;G48,G48/G47-1,G47/G48-1)</f>
        <v>2.8292768649503586E-2</v>
      </c>
      <c r="H52" s="435" t="str">
        <f>IF(OR(G52&gt;=0.3,G52&lt;=-0.3),"超过30%","")</f>
        <v/>
      </c>
      <c r="I52" s="434">
        <f>IF(I47&lt;I48,I48/I47-1,I47/I48-1)</f>
        <v>5.996430379072426E-2</v>
      </c>
      <c r="J52" s="435" t="str">
        <f>IF(OR(I52&gt;=0.3,I52&lt;=-0.3),"超过30%","")</f>
        <v/>
      </c>
      <c r="K52" s="2500"/>
      <c r="L52" s="2496"/>
      <c r="M52" s="2488"/>
      <c r="N52" s="2488"/>
      <c r="O52" s="2488"/>
    </row>
    <row r="53" spans="1:29" ht="13.5" customHeight="1">
      <c r="A53" s="2488"/>
      <c r="B53" s="2488"/>
      <c r="C53" s="432" t="s">
        <v>1712</v>
      </c>
      <c r="D53" s="436"/>
      <c r="E53" s="434">
        <f>IF(E48&lt;G48,G48/E48-1,E48/G48-1)</f>
        <v>2.1234220777318846E-2</v>
      </c>
      <c r="F53" s="435" t="str">
        <f>IF(OR(E53&gt;=0.2,E53&lt;=-0.2),"超过20%","")</f>
        <v/>
      </c>
      <c r="G53" s="434">
        <f>IF(G48&lt;I48,I48/G48-1,G48/I48-1)</f>
        <v>9.9464018979000146E-2</v>
      </c>
      <c r="H53" s="435" t="str">
        <f>IF(OR(G53&gt;=0.2,G53&lt;=-0.2),"超过20%","")</f>
        <v/>
      </c>
      <c r="I53" s="434">
        <f>IF(I48&lt;E48,E48/I48-1,I48/E48-1)</f>
        <v>7.6603189170586283E-2</v>
      </c>
      <c r="J53" s="435" t="str">
        <f>IF(OR(I53&gt;=0.2,I53&lt;=-0.2),"超过20%","")</f>
        <v/>
      </c>
      <c r="K53" s="2500"/>
      <c r="L53" s="2496"/>
      <c r="M53" s="2488"/>
      <c r="N53" s="2488"/>
      <c r="O53" s="2488"/>
    </row>
    <row r="54" spans="1:29" s="437" customFormat="1" ht="13.5" customHeight="1">
      <c r="A54" s="2498"/>
      <c r="B54" s="2498"/>
      <c r="C54" s="432" t="s">
        <v>1713</v>
      </c>
      <c r="D54" s="436"/>
      <c r="E54" s="434">
        <f>IF(E47&lt;G47,G47/E47-1,E47/G47-1)</f>
        <v>3.1644307727363374E-2</v>
      </c>
      <c r="F54" s="435" t="str">
        <f>IF(OR(E54&gt;=0.3,E54&lt;=-0.3),"超过30%","")</f>
        <v/>
      </c>
      <c r="G54" s="434">
        <f>IF(G47&lt;I47,I47/G47-1,G47/I47-1)</f>
        <v>0.13332763678828785</v>
      </c>
      <c r="H54" s="435" t="str">
        <f>IF(OR(G54&gt;=0.3,G54&lt;=-0.3),"超过30%","")</f>
        <v/>
      </c>
      <c r="I54" s="434">
        <f>IF(I47&lt;E47,E47/I47-1,I47/E47-1)</f>
        <v>9.8564329099944725E-2</v>
      </c>
      <c r="J54" s="435" t="str">
        <f>IF(OR(I54&gt;=0.3,I54&lt;=-0.3),"超过30%","")</f>
        <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1679</v>
      </c>
      <c r="B58" s="441"/>
      <c r="C58" s="1105" t="str">
        <f>YEAR(C7)&amp;"-"&amp;MONTH(C7)</f>
        <v>2023-11</v>
      </c>
      <c r="D58" s="1104">
        <f>EDATE(C58,-1)</f>
        <v>45200</v>
      </c>
      <c r="E58" s="1104">
        <f>EDATE(D58,-1)</f>
        <v>45170</v>
      </c>
      <c r="F58" s="1104">
        <f t="shared" ref="F58:O58" si="19">EDATE(E58,-1)</f>
        <v>45139</v>
      </c>
      <c r="G58" s="1104">
        <f t="shared" si="19"/>
        <v>45108</v>
      </c>
      <c r="H58" s="1104">
        <f t="shared" si="19"/>
        <v>45078</v>
      </c>
      <c r="I58" s="1104">
        <f t="shared" si="19"/>
        <v>45047</v>
      </c>
      <c r="J58" s="1104">
        <f t="shared" si="19"/>
        <v>45017</v>
      </c>
      <c r="K58" s="1104">
        <f t="shared" si="19"/>
        <v>44986</v>
      </c>
      <c r="L58" s="1104">
        <f t="shared" si="19"/>
        <v>44958</v>
      </c>
      <c r="M58" s="1104">
        <f t="shared" si="19"/>
        <v>44927</v>
      </c>
      <c r="N58" s="1104">
        <f t="shared" si="19"/>
        <v>44896</v>
      </c>
      <c r="O58" s="1104">
        <f t="shared" si="19"/>
        <v>44866</v>
      </c>
      <c r="P58" s="1100"/>
    </row>
    <row r="59" spans="1:29" s="102" customFormat="1" ht="15">
      <c r="A59" s="443"/>
      <c r="B59" s="1772"/>
      <c r="C59" s="1102">
        <v>100</v>
      </c>
      <c r="D59" s="445">
        <v>100</v>
      </c>
      <c r="E59" s="446">
        <v>100</v>
      </c>
      <c r="F59" s="446">
        <v>100</v>
      </c>
      <c r="G59" s="446">
        <v>100</v>
      </c>
      <c r="H59" s="446">
        <v>100</v>
      </c>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1681</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v>0</v>
      </c>
      <c r="D68" s="480">
        <v>1</v>
      </c>
      <c r="E68" s="480">
        <v>2</v>
      </c>
      <c r="F68" s="480">
        <v>3</v>
      </c>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95</v>
      </c>
      <c r="E77" s="475">
        <f>D77-$K15</f>
        <v>90</v>
      </c>
      <c r="F77" s="475">
        <f>E77-$K15</f>
        <v>85</v>
      </c>
      <c r="G77" s="475">
        <f>F77-$K15</f>
        <v>80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99</v>
      </c>
      <c r="E79" s="475">
        <f>D79-$K17</f>
        <v>98</v>
      </c>
      <c r="F79" s="475">
        <f>E79-$K17</f>
        <v>97</v>
      </c>
      <c r="G79" s="475">
        <f>F79-$K17</f>
        <v>96</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97</v>
      </c>
      <c r="E81" s="475">
        <f>D81-$K19</f>
        <v>94</v>
      </c>
      <c r="F81" s="475">
        <f>E81-$K19</f>
        <v>91</v>
      </c>
      <c r="G81" s="475">
        <f>F81-$K19</f>
        <v>88</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3582" t="s">
        <v>4104</v>
      </c>
      <c r="D88" s="3582" t="s">
        <v>4124</v>
      </c>
      <c r="E88" s="3582" t="s">
        <v>4119</v>
      </c>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99</v>
      </c>
      <c r="E89" s="475">
        <f t="shared" si="24"/>
        <v>98</v>
      </c>
      <c r="F89" s="475">
        <f t="shared" si="24"/>
        <v>97</v>
      </c>
      <c r="G89" s="475">
        <f t="shared" si="24"/>
        <v>96</v>
      </c>
      <c r="H89" s="475">
        <f t="shared" si="24"/>
        <v>95</v>
      </c>
      <c r="I89" s="475">
        <f t="shared" si="24"/>
        <v>94</v>
      </c>
      <c r="J89" s="475">
        <f t="shared" si="24"/>
        <v>93</v>
      </c>
      <c r="K89" s="475">
        <f t="shared" si="24"/>
        <v>92</v>
      </c>
      <c r="L89" s="475">
        <f t="shared" si="24"/>
        <v>91</v>
      </c>
      <c r="M89" s="475">
        <f t="shared" si="24"/>
        <v>90</v>
      </c>
      <c r="N89" s="880"/>
      <c r="O89" s="880"/>
      <c r="P89" s="1775"/>
      <c r="Q89" s="439"/>
    </row>
    <row r="90" spans="1:17" s="408" customFormat="1" ht="15.75" thickTop="1">
      <c r="A90" s="484"/>
      <c r="B90" s="469" t="str">
        <f>B27</f>
        <v>楼层</v>
      </c>
      <c r="C90" s="3582" t="s">
        <v>4106</v>
      </c>
      <c r="D90" s="3582" t="s">
        <v>4107</v>
      </c>
      <c r="E90" s="3582" t="s">
        <v>4108</v>
      </c>
      <c r="F90" s="485"/>
      <c r="G90" s="485"/>
      <c r="H90" s="486"/>
      <c r="I90" s="486"/>
      <c r="J90" s="486"/>
      <c r="K90" s="486"/>
      <c r="L90" s="487"/>
      <c r="M90" s="488"/>
      <c r="N90" s="881"/>
      <c r="O90" s="881"/>
      <c r="P90" s="1776"/>
      <c r="Q90" s="490"/>
    </row>
    <row r="91" spans="1:17" s="408" customFormat="1" ht="15.75" thickBot="1">
      <c r="A91" s="484"/>
      <c r="B91" s="474"/>
      <c r="C91" s="491">
        <v>100</v>
      </c>
      <c r="D91" s="491">
        <v>99</v>
      </c>
      <c r="E91" s="491">
        <v>98</v>
      </c>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0(含)-100</v>
      </c>
      <c r="D102" s="509" t="str">
        <f t="shared" ref="D102:L102" si="26">D103&amp;"(含)"&amp;"-"&amp;E103</f>
        <v>100(含)-150</v>
      </c>
      <c r="E102" s="509" t="str">
        <f t="shared" si="26"/>
        <v>150(含)-200</v>
      </c>
      <c r="F102" s="509" t="str">
        <f t="shared" si="26"/>
        <v>200(含)-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100</v>
      </c>
      <c r="E103" s="6">
        <v>150</v>
      </c>
      <c r="F103" s="6">
        <v>200</v>
      </c>
      <c r="G103" s="6"/>
      <c r="H103" s="6"/>
      <c r="I103" s="6"/>
      <c r="J103" s="524"/>
      <c r="K103" s="524"/>
      <c r="L103" s="525"/>
      <c r="M103" s="526"/>
      <c r="N103" s="881"/>
      <c r="O103" s="881"/>
      <c r="P103" s="1776"/>
      <c r="Q103" s="490"/>
    </row>
    <row r="104" spans="1:17" s="408" customFormat="1" ht="15.75" thickBot="1">
      <c r="A104" s="484"/>
      <c r="B104" s="474"/>
      <c r="C104" s="491">
        <v>100</v>
      </c>
      <c r="D104" s="467">
        <v>99</v>
      </c>
      <c r="E104" s="467">
        <v>98</v>
      </c>
      <c r="F104" s="467">
        <v>97</v>
      </c>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101</v>
      </c>
      <c r="E113" s="475">
        <f>D113+$K37</f>
        <v>102</v>
      </c>
      <c r="F113" s="475">
        <f>E113+$K37</f>
        <v>103</v>
      </c>
      <c r="G113" s="475">
        <f>F113+$K37</f>
        <v>104</v>
      </c>
      <c r="H113" s="475">
        <f>G113+$K37</f>
        <v>105</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3582" t="s">
        <v>4100</v>
      </c>
      <c r="D122" s="3582" t="s">
        <v>4101</v>
      </c>
      <c r="E122" s="3582" t="s">
        <v>4102</v>
      </c>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99</v>
      </c>
      <c r="E123" s="475">
        <f t="shared" si="32"/>
        <v>98</v>
      </c>
      <c r="F123" s="475">
        <f t="shared" si="32"/>
        <v>97</v>
      </c>
      <c r="G123" s="475">
        <f t="shared" si="32"/>
        <v>96</v>
      </c>
      <c r="H123" s="475">
        <f t="shared" si="32"/>
        <v>95</v>
      </c>
      <c r="I123" s="475">
        <f t="shared" si="32"/>
        <v>94</v>
      </c>
      <c r="J123" s="475">
        <f t="shared" si="32"/>
        <v>93</v>
      </c>
      <c r="K123" s="475">
        <f t="shared" si="32"/>
        <v>92</v>
      </c>
      <c r="L123" s="475">
        <f t="shared" si="32"/>
        <v>91</v>
      </c>
      <c r="M123" s="475">
        <f t="shared" si="32"/>
        <v>90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4" type="noConversion"/>
  <conditionalFormatting sqref="E52">
    <cfRule type="expression" dxfId="27" priority="13" stopIfTrue="1">
      <formula>$F$52="超过30%"</formula>
    </cfRule>
  </conditionalFormatting>
  <conditionalFormatting sqref="E53">
    <cfRule type="expression" dxfId="26" priority="11" stopIfTrue="1">
      <formula>$F$53="超过20%"</formula>
    </cfRule>
  </conditionalFormatting>
  <conditionalFormatting sqref="E54">
    <cfRule type="expression" dxfId="25" priority="10" stopIfTrue="1">
      <formula>$F$54="超过30%"</formula>
    </cfRule>
  </conditionalFormatting>
  <conditionalFormatting sqref="F7:F46 H7:H46 J7:J46">
    <cfRule type="cellIs" dxfId="24" priority="1" operator="notEqual">
      <formula>100</formula>
    </cfRule>
  </conditionalFormatting>
  <conditionalFormatting sqref="F48">
    <cfRule type="expression" dxfId="23" priority="4">
      <formula>$D$48="简单平均"</formula>
    </cfRule>
  </conditionalFormatting>
  <conditionalFormatting sqref="F52:F54 H52:H54 J52:J54">
    <cfRule type="containsText" dxfId="22" priority="14" stopIfTrue="1" operator="containsText" text="超过">
      <formula>NOT(ISERROR(SEARCH("超过",F52)))</formula>
    </cfRule>
  </conditionalFormatting>
  <conditionalFormatting sqref="G52">
    <cfRule type="expression" dxfId="21" priority="9" stopIfTrue="1">
      <formula>$H$52="超过30%"</formula>
    </cfRule>
  </conditionalFormatting>
  <conditionalFormatting sqref="G53">
    <cfRule type="expression" dxfId="20" priority="8" stopIfTrue="1">
      <formula>$H$53="超过20%"</formula>
    </cfRule>
  </conditionalFormatting>
  <conditionalFormatting sqref="G54">
    <cfRule type="expression" dxfId="19" priority="12" stopIfTrue="1">
      <formula>$H$54="超过30%"</formula>
    </cfRule>
  </conditionalFormatting>
  <conditionalFormatting sqref="H48">
    <cfRule type="expression" dxfId="18" priority="3">
      <formula>$D$48="简单平均"</formula>
    </cfRule>
  </conditionalFormatting>
  <conditionalFormatting sqref="I52">
    <cfRule type="expression" dxfId="17" priority="7" stopIfTrue="1">
      <formula>$J$52="超过30%"</formula>
    </cfRule>
  </conditionalFormatting>
  <conditionalFormatting sqref="I53">
    <cfRule type="expression" dxfId="16" priority="6" stopIfTrue="1">
      <formula>$J$53="超过20%"</formula>
    </cfRule>
  </conditionalFormatting>
  <conditionalFormatting sqref="I54">
    <cfRule type="expression" dxfId="15" priority="5" stopIfTrue="1">
      <formula>$J$54="超过30%"</formula>
    </cfRule>
  </conditionalFormatting>
  <conditionalFormatting sqref="J48">
    <cfRule type="expression" dxfId="14" priority="2">
      <formula>$D$48="简单平均"</formula>
    </cfRule>
  </conditionalFormatting>
  <dataValidations count="24">
    <dataValidation type="list" allowBlank="1" showInputMessage="1" showErrorMessage="1" sqref="E1" xr:uid="{25D52A2C-B898-4715-8EB5-C2E1F3AB0A03}">
      <formula1>"项目模式,单套模式"</formula1>
    </dataValidation>
    <dataValidation type="list" allowBlank="1" showInputMessage="1" showErrorMessage="1" sqref="D48" xr:uid="{16C685F3-9C60-4A6F-A258-904E6F3B7C73}">
      <formula1>"简单平均,加权平均"</formula1>
    </dataValidation>
    <dataValidation type="list" allowBlank="1" showInputMessage="1" showErrorMessage="1" sqref="F2" xr:uid="{F396D8BD-5ABF-4AE8-9602-1B30EB4BC4ED}">
      <formula1>估价方法</formula1>
    </dataValidation>
    <dataValidation type="list" allowBlank="1" showInputMessage="1" showErrorMessage="1" sqref="C2" xr:uid="{053D54E4-E476-4B3D-9A54-717618814DA0}">
      <formula1>"需扣减承租人权益,——"</formula1>
    </dataValidation>
    <dataValidation type="list" allowBlank="1" showInputMessage="1" showErrorMessage="1" sqref="F1" xr:uid="{983D635A-98CD-4689-91A2-C992000B8BB1}">
      <formula1>"售价,租金"</formula1>
    </dataValidation>
    <dataValidation type="list" allowBlank="1" showInputMessage="1" showErrorMessage="1" sqref="C22 E22 G22 I22" xr:uid="{3B5F58E9-F672-4CC6-8903-72D258B0E47D}">
      <formula1>基础设施水平</formula1>
    </dataValidation>
    <dataValidation type="list" allowBlank="1" showInputMessage="1" showErrorMessage="1" sqref="E9 G9 I9" xr:uid="{1E61DCFA-2CD7-47D2-A082-A1A1D13FCF3D}">
      <formula1>住宅用途</formula1>
    </dataValidation>
    <dataValidation type="list" allowBlank="1" showInputMessage="1" showErrorMessage="1" sqref="D1" xr:uid="{36AF9D8F-389F-4668-BCDB-C3AD2B427F41}">
      <formula1>项目类型</formula1>
    </dataValidation>
    <dataValidation type="list" allowBlank="1" showInputMessage="1" showErrorMessage="1" sqref="E8 G8 I8 C8" xr:uid="{818F976D-48A6-4047-B2AD-5BAEBEB53118}">
      <formula1>住宅交易情况</formula1>
    </dataValidation>
    <dataValidation type="list" allowBlank="1" showInputMessage="1" showErrorMessage="1" sqref="E43 G43 I43 C43" xr:uid="{B6E711DD-386B-4DA9-9FF0-E249FD02DE4D}">
      <formula1>内部装修维护情况</formula1>
    </dataValidation>
    <dataValidation type="list" allowBlank="1" showInputMessage="1" showErrorMessage="1" sqref="E42 G42 C42 I42" xr:uid="{27DAEF5E-88D0-4F91-B488-3FA4428FE181}">
      <formula1>住宅内部装修</formula1>
    </dataValidation>
    <dataValidation type="list" allowBlank="1" showInputMessage="1" showErrorMessage="1" sqref="E40 G40 I40 C40" xr:uid="{2A2B003D-5B39-4B30-A678-FC35F1F52A0C}">
      <formula1>住宅房型</formula1>
    </dataValidation>
    <dataValidation type="list" allowBlank="1" showInputMessage="1" showErrorMessage="1" sqref="E39 G39 I39 C39" xr:uid="{667581F4-B176-438A-AAAD-F360291D2221}">
      <formula1>住宅基础设施水平</formula1>
    </dataValidation>
    <dataValidation type="list" allowBlank="1" showInputMessage="1" showErrorMessage="1" sqref="E38 G38 I38 C38" xr:uid="{A29C4B12-18DD-48AE-8D30-34ED5C19101C}">
      <formula1>住宅物业管理</formula1>
    </dataValidation>
    <dataValidation type="list" allowBlank="1" showInputMessage="1" showErrorMessage="1" sqref="E36 G36 I36 C36" xr:uid="{07F4A733-45F1-4514-9FCF-FBFD9D4F47F6}">
      <formula1>住宅公共部分装修</formula1>
    </dataValidation>
    <dataValidation type="list" allowBlank="1" showInputMessage="1" showErrorMessage="1" sqref="E35 G35 I35 C35" xr:uid="{47E678AA-D020-4BEC-AED8-D7E036860510}">
      <formula1>住宅建筑品质</formula1>
    </dataValidation>
    <dataValidation type="list" allowBlank="1" showInputMessage="1" showErrorMessage="1" sqref="E34 G34 I34 C34" xr:uid="{54EF8DED-786E-48BD-B259-9E8792A268C4}">
      <formula1>住宅建筑结构</formula1>
    </dataValidation>
    <dataValidation type="list" allowBlank="1" showInputMessage="1" showErrorMessage="1" sqref="E32 G32 I32 C32" xr:uid="{D7D5D36B-AA5A-404A-90E7-5C947CC6545F}">
      <formula1>住宅建筑类型</formula1>
    </dataValidation>
    <dataValidation type="list" allowBlank="1" showInputMessage="1" showErrorMessage="1" sqref="E26 G26 C26 I26" xr:uid="{45CF9C61-D282-4C89-A626-58FCE8B00C2D}">
      <formula1>住宅朝向</formula1>
    </dataValidation>
    <dataValidation type="list" allowBlank="1" showInputMessage="1" showErrorMessage="1" sqref="E25 G25 I25 C25" xr:uid="{EBE26B37-1EDC-44BF-9C11-A7B1F4A0C442}">
      <formula1>住宅楼层</formula1>
    </dataValidation>
    <dataValidation type="list" allowBlank="1" showInputMessage="1" showErrorMessage="1" sqref="C20 G20 E20 I20" xr:uid="{D43088A8-F80B-4412-92DD-257976EF4AA8}">
      <formula1>公共配套设施</formula1>
    </dataValidation>
    <dataValidation type="list" allowBlank="1" showInputMessage="1" showErrorMessage="1" sqref="C18 E18 G18 I18" xr:uid="{2E0DAE4B-AFE8-4545-A26A-DDC650DF95F5}">
      <formula1>交通便捷度</formula1>
    </dataValidation>
    <dataValidation type="list" allowBlank="1" showInputMessage="1" showErrorMessage="1" sqref="E16 C16 G16 I16" xr:uid="{149FC2CF-6567-45EC-B773-30046FC160CA}">
      <formula1>居住社区成熟度</formula1>
    </dataValidation>
    <dataValidation type="list" allowBlank="1" showInputMessage="1" showErrorMessage="1" sqref="E24 G24 I24 C24" xr:uid="{C1588F16-8682-482D-929C-F2C7456DD914}">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F175D-0F2A-4FA4-9228-C938A22B8CB6}">
  <sheetPr>
    <tabColor theme="9" tint="0.79998168889431442"/>
    <pageSetUpPr fitToPage="1"/>
  </sheetPr>
  <dimension ref="A1:AC148"/>
  <sheetViews>
    <sheetView view="pageBreakPreview" topLeftCell="A13" zoomScale="115" zoomScaleNormal="60" zoomScaleSheetLayoutView="115" workbookViewId="0">
      <selection activeCell="K20" sqref="K20"/>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t="s">
        <v>4099</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IF(C2="——",C49,ROUND(B2*10000/D3,0))</f>
        <v>#DIV/0!</v>
      </c>
      <c r="C3" s="344" t="s">
        <v>1665</v>
      </c>
      <c r="D3" s="343">
        <f>IF(D1="",'数据-汇总表'!E3,SUMIF('数据-汇总表'!$C19:$C33,D1,'数据-汇总表'!$E19:$E33))</f>
        <v>0</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46" t="s">
        <v>1667</v>
      </c>
      <c r="D4" s="3447"/>
      <c r="E4" s="3448" t="s">
        <v>1668</v>
      </c>
      <c r="F4" s="3449"/>
      <c r="G4" s="3446" t="s">
        <v>1669</v>
      </c>
      <c r="H4" s="3447"/>
      <c r="I4" s="3446" t="s">
        <v>1670</v>
      </c>
      <c r="J4" s="3447"/>
      <c r="K4" s="1744" t="s">
        <v>1671</v>
      </c>
      <c r="L4" s="2487"/>
      <c r="M4" s="2488"/>
      <c r="N4" s="2488"/>
      <c r="O4" s="2488"/>
      <c r="P4" s="3450" t="s">
        <v>1672</v>
      </c>
      <c r="Q4" s="3451"/>
      <c r="R4" s="3456" t="s">
        <v>1668</v>
      </c>
      <c r="S4" s="3457"/>
      <c r="T4" s="3456" t="s">
        <v>1669</v>
      </c>
      <c r="U4" s="3457"/>
      <c r="V4" s="3432" t="s">
        <v>1670</v>
      </c>
      <c r="W4" s="3432"/>
      <c r="X4" s="1265"/>
      <c r="Y4" s="3456" t="s">
        <v>1672</v>
      </c>
      <c r="Z4" s="3457"/>
      <c r="AA4" s="3443" t="s">
        <v>1668</v>
      </c>
      <c r="AB4" s="3443" t="s">
        <v>1669</v>
      </c>
      <c r="AC4" s="3443" t="s">
        <v>1670</v>
      </c>
    </row>
    <row r="5" spans="1:29" ht="15">
      <c r="A5" s="348"/>
      <c r="B5" s="349"/>
      <c r="C5" s="3564" t="s">
        <v>4120</v>
      </c>
      <c r="D5" s="3465"/>
      <c r="E5" s="3471" t="str">
        <f>西山印案例!B5</f>
        <v>皓月园</v>
      </c>
      <c r="F5" s="3472"/>
      <c r="G5" s="3464" t="str">
        <f>西山印案例!B10</f>
        <v>惠民家园</v>
      </c>
      <c r="H5" s="3465"/>
      <c r="I5" s="3464" t="str">
        <f>西山印案例!B11</f>
        <v>金泰丽湾悦栖山</v>
      </c>
      <c r="J5" s="3465"/>
      <c r="K5" s="1745"/>
      <c r="L5" s="2487"/>
      <c r="M5" s="2488"/>
      <c r="N5" s="2488"/>
      <c r="O5" s="2488"/>
      <c r="P5" s="3452"/>
      <c r="Q5" s="3453"/>
      <c r="R5" s="3458"/>
      <c r="S5" s="3459"/>
      <c r="T5" s="3458"/>
      <c r="U5" s="3459"/>
      <c r="V5" s="3432"/>
      <c r="W5" s="3432"/>
      <c r="X5" s="1265"/>
      <c r="Y5" s="3458"/>
      <c r="Z5" s="3459"/>
      <c r="AA5" s="3444"/>
      <c r="AB5" s="3444"/>
      <c r="AC5" s="3444"/>
    </row>
    <row r="6" spans="1:29" ht="15.75" thickBot="1">
      <c r="A6" s="350"/>
      <c r="B6" s="351"/>
      <c r="C6" s="3462" t="s">
        <v>1677</v>
      </c>
      <c r="D6" s="3463"/>
      <c r="E6" s="3469" t="s">
        <v>1677</v>
      </c>
      <c r="F6" s="3470"/>
      <c r="G6" s="3462" t="s">
        <v>1677</v>
      </c>
      <c r="H6" s="3463"/>
      <c r="I6" s="3462" t="s">
        <v>1677</v>
      </c>
      <c r="J6" s="3463"/>
      <c r="K6" s="1745" t="s">
        <v>1678</v>
      </c>
      <c r="L6" s="2487"/>
      <c r="M6" s="2488"/>
      <c r="N6" s="2488"/>
      <c r="O6" s="2488"/>
      <c r="P6" s="3454"/>
      <c r="Q6" s="3455"/>
      <c r="R6" s="3458"/>
      <c r="S6" s="3459"/>
      <c r="T6" s="3460"/>
      <c r="U6" s="3461"/>
      <c r="V6" s="3432"/>
      <c r="W6" s="3432"/>
      <c r="X6" s="1265"/>
      <c r="Y6" s="3460"/>
      <c r="Z6" s="3461"/>
      <c r="AA6" s="3445"/>
      <c r="AB6" s="3445"/>
      <c r="AC6" s="3445"/>
    </row>
    <row r="7" spans="1:29" s="102" customFormat="1" ht="15.75" thickBot="1">
      <c r="A7" s="352" t="s">
        <v>1679</v>
      </c>
      <c r="B7" s="353"/>
      <c r="C7" s="354">
        <v>46122</v>
      </c>
      <c r="D7" s="355">
        <v>100</v>
      </c>
      <c r="E7" s="356">
        <f>西山印案例!AD4</f>
        <v>46113</v>
      </c>
      <c r="F7" s="357">
        <f>SUMIF(58:58,YEAR(E7)&amp;"-"&amp;MONTH(E7),59:59)</f>
        <v>100</v>
      </c>
      <c r="G7" s="356">
        <f>西山印案例!AD8</f>
        <v>46094</v>
      </c>
      <c r="H7" s="355">
        <f>SUMIF(58:58,YEAR(G7)&amp;"-"&amp;MONTH(G7),59:59)</f>
        <v>100</v>
      </c>
      <c r="I7" s="356">
        <f>西山印案例!AD11</f>
        <v>46058</v>
      </c>
      <c r="J7" s="355">
        <f>SUMIF(58:58,YEAR(I7)&amp;"-"&amp;MONTH(I7),59:59)</f>
        <v>100</v>
      </c>
      <c r="K7" s="1746"/>
      <c r="L7" s="2489"/>
      <c r="M7" s="2440"/>
      <c r="N7" s="2440"/>
      <c r="O7" s="2440"/>
      <c r="P7" s="3466" t="s">
        <v>1680</v>
      </c>
      <c r="Q7" s="3468"/>
      <c r="R7" s="664" t="s">
        <v>14</v>
      </c>
      <c r="S7" s="665">
        <f t="shared" ref="S7:S15" si="0">F7</f>
        <v>100</v>
      </c>
      <c r="T7" s="664" t="s">
        <v>14</v>
      </c>
      <c r="U7" s="665">
        <f t="shared" ref="U7:U15" si="1">H7</f>
        <v>100</v>
      </c>
      <c r="V7" s="664" t="s">
        <v>14</v>
      </c>
      <c r="W7" s="665">
        <f t="shared" ref="W7:W15" si="2">J7</f>
        <v>100</v>
      </c>
      <c r="X7" s="666"/>
      <c r="Y7" s="3466" t="s">
        <v>1680</v>
      </c>
      <c r="Z7" s="3467"/>
      <c r="AA7" s="50">
        <f>D7/F7</f>
        <v>1</v>
      </c>
      <c r="AB7" s="50">
        <f>D7/H7</f>
        <v>1</v>
      </c>
      <c r="AC7" s="50">
        <f>D7/J7</f>
        <v>1</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66" t="s">
        <v>1683</v>
      </c>
      <c r="Q8" s="3467"/>
      <c r="R8" s="664" t="s">
        <v>14</v>
      </c>
      <c r="S8" s="665">
        <f t="shared" si="0"/>
        <v>100</v>
      </c>
      <c r="T8" s="664" t="s">
        <v>14</v>
      </c>
      <c r="U8" s="665">
        <f t="shared" si="1"/>
        <v>100</v>
      </c>
      <c r="V8" s="664" t="s">
        <v>14</v>
      </c>
      <c r="W8" s="665">
        <f t="shared" si="2"/>
        <v>100</v>
      </c>
      <c r="X8" s="666"/>
      <c r="Y8" s="3466" t="s">
        <v>1683</v>
      </c>
      <c r="Z8" s="346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42" t="s">
        <v>1686</v>
      </c>
      <c r="Q9" s="530" t="str">
        <f t="shared" ref="Q9:Q15" si="6">B9</f>
        <v>用途</v>
      </c>
      <c r="R9" s="664" t="s">
        <v>14</v>
      </c>
      <c r="S9" s="665">
        <f t="shared" si="0"/>
        <v>100</v>
      </c>
      <c r="T9" s="664" t="s">
        <v>14</v>
      </c>
      <c r="U9" s="665">
        <f t="shared" si="1"/>
        <v>100</v>
      </c>
      <c r="V9" s="664" t="s">
        <v>14</v>
      </c>
      <c r="W9" s="665">
        <f t="shared" si="2"/>
        <v>100</v>
      </c>
      <c r="X9" s="666"/>
      <c r="Y9" s="3306"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42"/>
      <c r="Q10" s="530" t="str">
        <f t="shared" si="6"/>
        <v>土地使用年限（年）</v>
      </c>
      <c r="R10" s="664" t="s">
        <v>14</v>
      </c>
      <c r="S10" s="665">
        <f t="shared" si="0"/>
        <v>100</v>
      </c>
      <c r="T10" s="664" t="s">
        <v>14</v>
      </c>
      <c r="U10" s="665">
        <f t="shared" si="1"/>
        <v>100</v>
      </c>
      <c r="V10" s="664" t="s">
        <v>14</v>
      </c>
      <c r="W10" s="665">
        <f t="shared" si="2"/>
        <v>100</v>
      </c>
      <c r="X10" s="666"/>
      <c r="Y10" s="3306"/>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2"/>
      <c r="M11" s="2488"/>
      <c r="N11" s="2488"/>
      <c r="O11" s="2488"/>
      <c r="P11" s="3442"/>
      <c r="Q11" s="530" t="str">
        <f t="shared" si="6"/>
        <v>容积率</v>
      </c>
      <c r="R11" s="664" t="s">
        <v>14</v>
      </c>
      <c r="S11" s="665">
        <f t="shared" si="0"/>
        <v>100</v>
      </c>
      <c r="T11" s="664" t="s">
        <v>14</v>
      </c>
      <c r="U11" s="665">
        <f t="shared" si="1"/>
        <v>100</v>
      </c>
      <c r="V11" s="664" t="s">
        <v>14</v>
      </c>
      <c r="W11" s="665">
        <f t="shared" si="2"/>
        <v>100</v>
      </c>
      <c r="X11" s="666"/>
      <c r="Y11" s="3306"/>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42"/>
      <c r="Q12" s="530">
        <f t="shared" si="6"/>
        <v>111</v>
      </c>
      <c r="R12" s="664" t="s">
        <v>14</v>
      </c>
      <c r="S12" s="665">
        <f t="shared" si="0"/>
        <v>100</v>
      </c>
      <c r="T12" s="664" t="s">
        <v>14</v>
      </c>
      <c r="U12" s="665">
        <f t="shared" si="1"/>
        <v>100</v>
      </c>
      <c r="V12" s="664" t="s">
        <v>14</v>
      </c>
      <c r="W12" s="665">
        <f t="shared" si="2"/>
        <v>100</v>
      </c>
      <c r="X12" s="666"/>
      <c r="Y12" s="330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42"/>
      <c r="Q13" s="530">
        <f t="shared" si="6"/>
        <v>111</v>
      </c>
      <c r="R13" s="664" t="s">
        <v>14</v>
      </c>
      <c r="S13" s="665">
        <f t="shared" si="0"/>
        <v>100</v>
      </c>
      <c r="T13" s="664" t="s">
        <v>14</v>
      </c>
      <c r="U13" s="665">
        <f t="shared" si="1"/>
        <v>100</v>
      </c>
      <c r="V13" s="664" t="s">
        <v>14</v>
      </c>
      <c r="W13" s="665">
        <f t="shared" si="2"/>
        <v>100</v>
      </c>
      <c r="X13" s="666"/>
      <c r="Y13" s="3306"/>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42"/>
      <c r="Q14" s="530">
        <f t="shared" si="6"/>
        <v>111</v>
      </c>
      <c r="R14" s="664" t="s">
        <v>14</v>
      </c>
      <c r="S14" s="665">
        <f t="shared" si="0"/>
        <v>100</v>
      </c>
      <c r="T14" s="664" t="s">
        <v>14</v>
      </c>
      <c r="U14" s="665">
        <f t="shared" si="1"/>
        <v>100</v>
      </c>
      <c r="V14" s="664" t="s">
        <v>14</v>
      </c>
      <c r="W14" s="665">
        <f t="shared" si="2"/>
        <v>100</v>
      </c>
      <c r="X14" s="666"/>
      <c r="Y14" s="3306"/>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105</v>
      </c>
      <c r="G15" s="381"/>
      <c r="H15" s="380">
        <f>SUMIF(76:76,G16,77:77)-SUMIF(76:76,C16,77:77)+100</f>
        <v>105</v>
      </c>
      <c r="I15" s="381"/>
      <c r="J15" s="380">
        <f>SUMIF(76:76,I16,77:77)-SUMIF(76:76,C16,77:77)+100</f>
        <v>105</v>
      </c>
      <c r="K15" s="384">
        <f>'比较法-西山印2023.11.29'!K15</f>
        <v>5</v>
      </c>
      <c r="L15" s="2493"/>
      <c r="M15" s="2488"/>
      <c r="N15" s="2488"/>
      <c r="O15" s="2488"/>
      <c r="P15" s="3440" t="s">
        <v>1691</v>
      </c>
      <c r="Q15" s="1263" t="str">
        <f t="shared" si="6"/>
        <v>居住社区成熟度</v>
      </c>
      <c r="R15" s="667" t="s">
        <v>14</v>
      </c>
      <c r="S15" s="668">
        <f t="shared" si="0"/>
        <v>105</v>
      </c>
      <c r="T15" s="667" t="s">
        <v>14</v>
      </c>
      <c r="U15" s="668">
        <f t="shared" si="1"/>
        <v>105</v>
      </c>
      <c r="V15" s="667" t="s">
        <v>14</v>
      </c>
      <c r="W15" s="668">
        <f t="shared" si="2"/>
        <v>105</v>
      </c>
      <c r="X15" s="1265"/>
      <c r="Y15" s="3433" t="s">
        <v>1691</v>
      </c>
      <c r="Z15" s="1264" t="str">
        <f t="shared" si="7"/>
        <v>居住社区成熟度</v>
      </c>
      <c r="AA15" s="1264">
        <f t="shared" si="3"/>
        <v>0.95238095238095233</v>
      </c>
      <c r="AB15" s="1264">
        <f t="shared" si="4"/>
        <v>0.95238095238095233</v>
      </c>
      <c r="AC15" s="1264">
        <f t="shared" si="5"/>
        <v>0.95238095238095233</v>
      </c>
    </row>
    <row r="16" spans="1:29" ht="15">
      <c r="A16" s="367"/>
      <c r="B16" s="385"/>
      <c r="C16" s="386" t="s">
        <v>4125</v>
      </c>
      <c r="D16" s="387"/>
      <c r="E16" s="1751" t="s">
        <v>4103</v>
      </c>
      <c r="F16" s="387"/>
      <c r="G16" s="1751" t="s">
        <v>4103</v>
      </c>
      <c r="H16" s="389"/>
      <c r="I16" s="1751" t="s">
        <v>4103</v>
      </c>
      <c r="J16" s="387"/>
      <c r="K16" s="1753"/>
      <c r="L16" s="2493"/>
      <c r="M16" s="2488"/>
      <c r="N16" s="2488"/>
      <c r="O16" s="2488"/>
      <c r="P16" s="3441"/>
      <c r="Q16" s="1263"/>
      <c r="R16" s="667"/>
      <c r="S16" s="668"/>
      <c r="T16" s="667"/>
      <c r="U16" s="668"/>
      <c r="V16" s="667"/>
      <c r="W16" s="668"/>
      <c r="X16" s="1265"/>
      <c r="Y16" s="3434"/>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41"/>
      <c r="Q17" s="1263" t="str">
        <f>B17</f>
        <v>交通便捷度</v>
      </c>
      <c r="R17" s="667" t="s">
        <v>14</v>
      </c>
      <c r="S17" s="668">
        <f>F17</f>
        <v>100</v>
      </c>
      <c r="T17" s="667" t="s">
        <v>14</v>
      </c>
      <c r="U17" s="668">
        <f>H17</f>
        <v>100</v>
      </c>
      <c r="V17" s="667" t="s">
        <v>14</v>
      </c>
      <c r="W17" s="668">
        <f>J17</f>
        <v>100</v>
      </c>
      <c r="X17" s="1265"/>
      <c r="Y17" s="343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41"/>
      <c r="Q18" s="1263"/>
      <c r="R18" s="667"/>
      <c r="S18" s="668"/>
      <c r="T18" s="667"/>
      <c r="U18" s="668"/>
      <c r="V18" s="667"/>
      <c r="W18" s="668"/>
      <c r="X18" s="1265"/>
      <c r="Y18" s="3434"/>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103</v>
      </c>
      <c r="G19" s="396"/>
      <c r="H19" s="389">
        <f>SUMIF(80:80,G20,81:81)-SUMIF(80:80,C20,81:81)+100</f>
        <v>103</v>
      </c>
      <c r="I19" s="396"/>
      <c r="J19" s="389">
        <f>SUMIF(80:80,I20,81:81)-SUMIF(80:80,C20,81:81)+100</f>
        <v>103</v>
      </c>
      <c r="K19" s="384">
        <f>'比较法-西山印2023.11.29'!K19</f>
        <v>3</v>
      </c>
      <c r="L19" s="2493"/>
      <c r="M19" s="2488"/>
      <c r="N19" s="2488"/>
      <c r="O19" s="2488"/>
      <c r="P19" s="3441"/>
      <c r="Q19" s="1263" t="str">
        <f>B19</f>
        <v>公共配套设施</v>
      </c>
      <c r="R19" s="667" t="s">
        <v>14</v>
      </c>
      <c r="S19" s="668">
        <f>F19</f>
        <v>103</v>
      </c>
      <c r="T19" s="667" t="s">
        <v>14</v>
      </c>
      <c r="U19" s="668">
        <f>H19</f>
        <v>103</v>
      </c>
      <c r="V19" s="667" t="s">
        <v>14</v>
      </c>
      <c r="W19" s="668">
        <f>J19</f>
        <v>103</v>
      </c>
      <c r="X19" s="1265"/>
      <c r="Y19" s="3434"/>
      <c r="Z19" s="1264" t="str">
        <f>Q19</f>
        <v>公共配套设施</v>
      </c>
      <c r="AA19" s="1264">
        <f t="shared" si="3"/>
        <v>0.970873786407767</v>
      </c>
      <c r="AB19" s="1264">
        <f t="shared" si="4"/>
        <v>0.970873786407767</v>
      </c>
      <c r="AC19" s="1264">
        <f t="shared" si="5"/>
        <v>0.970873786407767</v>
      </c>
    </row>
    <row r="20" spans="1:29" ht="15">
      <c r="A20" s="367"/>
      <c r="B20" s="395"/>
      <c r="C20" s="386" t="s">
        <v>4125</v>
      </c>
      <c r="D20" s="387"/>
      <c r="E20" s="1751" t="s">
        <v>4103</v>
      </c>
      <c r="F20" s="387"/>
      <c r="G20" s="1751" t="s">
        <v>4103</v>
      </c>
      <c r="H20" s="387"/>
      <c r="I20" s="1751" t="s">
        <v>4103</v>
      </c>
      <c r="J20" s="387"/>
      <c r="K20" s="1753"/>
      <c r="L20" s="2493"/>
      <c r="M20" s="2488"/>
      <c r="N20" s="2488"/>
      <c r="O20" s="2488"/>
      <c r="P20" s="3441"/>
      <c r="Q20" s="1263"/>
      <c r="R20" s="667"/>
      <c r="S20" s="668"/>
      <c r="T20" s="667"/>
      <c r="U20" s="668"/>
      <c r="V20" s="667"/>
      <c r="W20" s="668"/>
      <c r="X20" s="1265"/>
      <c r="Y20" s="3434"/>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41"/>
      <c r="Q21" s="1263" t="str">
        <f>B21</f>
        <v>基础设施水平</v>
      </c>
      <c r="R21" s="667" t="s">
        <v>14</v>
      </c>
      <c r="S21" s="668">
        <f>F21</f>
        <v>100</v>
      </c>
      <c r="T21" s="667" t="s">
        <v>14</v>
      </c>
      <c r="U21" s="668">
        <f>H21</f>
        <v>100</v>
      </c>
      <c r="V21" s="667" t="s">
        <v>14</v>
      </c>
      <c r="W21" s="668">
        <f>J21</f>
        <v>100</v>
      </c>
      <c r="X21" s="1265"/>
      <c r="Y21" s="343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41"/>
      <c r="Q22" s="1263"/>
      <c r="R22" s="667"/>
      <c r="S22" s="668"/>
      <c r="T22" s="667"/>
      <c r="U22" s="668"/>
      <c r="V22" s="667"/>
      <c r="W22" s="668"/>
      <c r="X22" s="1265"/>
      <c r="Y22" s="3434"/>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41"/>
      <c r="Q23" s="1263" t="str">
        <f>B23</f>
        <v>自然及人文环境</v>
      </c>
      <c r="R23" s="667" t="s">
        <v>14</v>
      </c>
      <c r="S23" s="668">
        <f>F23</f>
        <v>100</v>
      </c>
      <c r="T23" s="667" t="s">
        <v>14</v>
      </c>
      <c r="U23" s="668">
        <f>H23</f>
        <v>100</v>
      </c>
      <c r="V23" s="667" t="s">
        <v>14</v>
      </c>
      <c r="W23" s="668">
        <f>J23</f>
        <v>100</v>
      </c>
      <c r="X23" s="1265"/>
      <c r="Y23" s="343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41"/>
      <c r="Q24" s="1263"/>
      <c r="R24" s="667"/>
      <c r="S24" s="668"/>
      <c r="T24" s="667"/>
      <c r="U24" s="668"/>
      <c r="V24" s="667"/>
      <c r="W24" s="668"/>
      <c r="X24" s="1265"/>
      <c r="Y24" s="343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41"/>
      <c r="Q25" s="1263" t="str">
        <f t="shared" ref="Q25:Q46" si="11">B25</f>
        <v>楼层-1</v>
      </c>
      <c r="R25" s="667" t="s">
        <v>14</v>
      </c>
      <c r="S25" s="668">
        <f t="shared" ref="S25:S46" si="12">F25</f>
        <v>100</v>
      </c>
      <c r="T25" s="667" t="s">
        <v>14</v>
      </c>
      <c r="U25" s="668">
        <f t="shared" ref="U25:U46" si="13">H25</f>
        <v>100</v>
      </c>
      <c r="V25" s="667" t="s">
        <v>14</v>
      </c>
      <c r="W25" s="668">
        <f t="shared" ref="W25:W46" si="14">J25</f>
        <v>100</v>
      </c>
      <c r="X25" s="1265"/>
      <c r="Y25" s="3434"/>
      <c r="Z25" s="1264" t="str">
        <f>Q25</f>
        <v>楼层-1</v>
      </c>
      <c r="AA25" s="1264">
        <f t="shared" ref="AA25:AA46" si="15">D25/F25</f>
        <v>1</v>
      </c>
      <c r="AB25" s="1264">
        <f t="shared" ref="AB25:AB46" si="16">D25/H25</f>
        <v>1</v>
      </c>
      <c r="AC25" s="1264">
        <f t="shared" ref="AC25:AC46" si="17">D25/J25</f>
        <v>1</v>
      </c>
    </row>
    <row r="26" spans="1:29" ht="15">
      <c r="A26" s="367"/>
      <c r="B26" s="364" t="s">
        <v>1693</v>
      </c>
      <c r="C26" s="399" t="s">
        <v>3479</v>
      </c>
      <c r="D26" s="374">
        <v>100</v>
      </c>
      <c r="E26" s="1760" t="s">
        <v>3479</v>
      </c>
      <c r="F26" s="374">
        <f>SUMIF(88:88,E26,89:89)-SUMIF(88:88,C26,89:89)+100</f>
        <v>100</v>
      </c>
      <c r="G26" s="1761" t="s">
        <v>3493</v>
      </c>
      <c r="H26" s="374">
        <f>SUMIF(88:88,G26,89:89)-SUMIF(88:88,C26,89:89)+100</f>
        <v>99</v>
      </c>
      <c r="I26" s="1761" t="s">
        <v>3485</v>
      </c>
      <c r="J26" s="374">
        <f>SUMIF(88:88,I26,89:89)-SUMIF(88:88,C26,89:89)+100</f>
        <v>98</v>
      </c>
      <c r="K26" s="365">
        <v>1</v>
      </c>
      <c r="L26" s="2493"/>
      <c r="M26" s="2488"/>
      <c r="N26" s="2488"/>
      <c r="O26" s="2488"/>
      <c r="P26" s="3441"/>
      <c r="Q26" s="1263" t="str">
        <f t="shared" si="11"/>
        <v>朝向</v>
      </c>
      <c r="R26" s="667" t="s">
        <v>14</v>
      </c>
      <c r="S26" s="668">
        <f t="shared" si="12"/>
        <v>100</v>
      </c>
      <c r="T26" s="667" t="s">
        <v>14</v>
      </c>
      <c r="U26" s="668">
        <f t="shared" si="13"/>
        <v>99</v>
      </c>
      <c r="V26" s="667" t="s">
        <v>14</v>
      </c>
      <c r="W26" s="668">
        <f t="shared" si="14"/>
        <v>98</v>
      </c>
      <c r="X26" s="1265"/>
      <c r="Y26" s="3434"/>
      <c r="Z26" s="1264" t="str">
        <f>Q26</f>
        <v>朝向</v>
      </c>
      <c r="AA26" s="1264">
        <f t="shared" si="15"/>
        <v>1</v>
      </c>
      <c r="AB26" s="1264">
        <f t="shared" si="16"/>
        <v>1.0101010101010102</v>
      </c>
      <c r="AC26" s="1264">
        <f t="shared" si="17"/>
        <v>1.0204081632653061</v>
      </c>
    </row>
    <row r="27" spans="1:29" s="102" customFormat="1" ht="15">
      <c r="A27" s="370"/>
      <c r="B27" s="3585" t="s">
        <v>4110</v>
      </c>
      <c r="C27" s="3586" t="s">
        <v>4121</v>
      </c>
      <c r="D27" s="401">
        <v>100</v>
      </c>
      <c r="E27" s="3587" t="s">
        <v>4112</v>
      </c>
      <c r="F27" s="401">
        <f>SUMIF(90:90,E27,91:91)-SUMIF(90:90,C27,91:91)+100</f>
        <v>101</v>
      </c>
      <c r="G27" s="3587" t="s">
        <v>4112</v>
      </c>
      <c r="H27" s="401">
        <f>SUMIF(90:90,G27,91:91)-SUMIF(90:90,C27,91:91)+100</f>
        <v>101</v>
      </c>
      <c r="I27" s="3587" t="s">
        <v>4112</v>
      </c>
      <c r="J27" s="401">
        <f>SUMIF(90:90,I27,91:91)-SUMIF(90:90,C27,91:91)+100</f>
        <v>101</v>
      </c>
      <c r="K27" s="1748"/>
      <c r="L27" s="2489"/>
      <c r="M27" s="2440"/>
      <c r="N27" s="2440"/>
      <c r="O27" s="2440"/>
      <c r="P27" s="3441"/>
      <c r="Q27" s="530" t="str">
        <f t="shared" si="11"/>
        <v>楼层</v>
      </c>
      <c r="R27" s="664" t="s">
        <v>14</v>
      </c>
      <c r="S27" s="665">
        <f t="shared" si="12"/>
        <v>101</v>
      </c>
      <c r="T27" s="664" t="s">
        <v>14</v>
      </c>
      <c r="U27" s="665">
        <f t="shared" si="13"/>
        <v>101</v>
      </c>
      <c r="V27" s="664" t="s">
        <v>14</v>
      </c>
      <c r="W27" s="665">
        <f t="shared" si="14"/>
        <v>101</v>
      </c>
      <c r="X27" s="666"/>
      <c r="Y27" s="3434"/>
      <c r="Z27" s="50" t="str">
        <f>Q27</f>
        <v>楼层</v>
      </c>
      <c r="AA27" s="1264">
        <f t="shared" si="15"/>
        <v>0.99009900990099009</v>
      </c>
      <c r="AB27" s="1264">
        <f t="shared" si="16"/>
        <v>0.99009900990099009</v>
      </c>
      <c r="AC27" s="1264">
        <f t="shared" si="17"/>
        <v>0.99009900990099009</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41"/>
      <c r="Q28" s="1263">
        <f t="shared" si="11"/>
        <v>111</v>
      </c>
      <c r="R28" s="667" t="s">
        <v>14</v>
      </c>
      <c r="S28" s="668">
        <f t="shared" si="12"/>
        <v>100</v>
      </c>
      <c r="T28" s="667" t="s">
        <v>14</v>
      </c>
      <c r="U28" s="668">
        <f t="shared" si="13"/>
        <v>100</v>
      </c>
      <c r="V28" s="667" t="s">
        <v>14</v>
      </c>
      <c r="W28" s="668">
        <f t="shared" si="14"/>
        <v>100</v>
      </c>
      <c r="X28" s="1265"/>
      <c r="Y28" s="343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41"/>
      <c r="Q29" s="1263">
        <f t="shared" si="11"/>
        <v>111</v>
      </c>
      <c r="R29" s="667" t="s">
        <v>14</v>
      </c>
      <c r="S29" s="668">
        <f t="shared" si="12"/>
        <v>100</v>
      </c>
      <c r="T29" s="667" t="s">
        <v>14</v>
      </c>
      <c r="U29" s="668">
        <f t="shared" si="13"/>
        <v>100</v>
      </c>
      <c r="V29" s="667" t="s">
        <v>14</v>
      </c>
      <c r="W29" s="668">
        <f t="shared" si="14"/>
        <v>100</v>
      </c>
      <c r="X29" s="1265"/>
      <c r="Y29" s="343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41"/>
      <c r="Q30" s="1263">
        <f t="shared" si="11"/>
        <v>111</v>
      </c>
      <c r="R30" s="667" t="s">
        <v>14</v>
      </c>
      <c r="S30" s="668">
        <f t="shared" si="12"/>
        <v>100</v>
      </c>
      <c r="T30" s="667" t="s">
        <v>14</v>
      </c>
      <c r="U30" s="668">
        <f t="shared" si="13"/>
        <v>100</v>
      </c>
      <c r="V30" s="667" t="s">
        <v>14</v>
      </c>
      <c r="W30" s="668">
        <f t="shared" si="14"/>
        <v>100</v>
      </c>
      <c r="X30" s="1265"/>
      <c r="Y30" s="3434"/>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41"/>
      <c r="Q31" s="1263">
        <f t="shared" si="11"/>
        <v>111</v>
      </c>
      <c r="R31" s="667" t="s">
        <v>14</v>
      </c>
      <c r="S31" s="668">
        <f t="shared" si="12"/>
        <v>100</v>
      </c>
      <c r="T31" s="667" t="s">
        <v>14</v>
      </c>
      <c r="U31" s="668">
        <f t="shared" si="13"/>
        <v>100</v>
      </c>
      <c r="V31" s="667" t="s">
        <v>14</v>
      </c>
      <c r="W31" s="668">
        <f t="shared" si="14"/>
        <v>100</v>
      </c>
      <c r="X31" s="1265"/>
      <c r="Y31" s="343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35" t="s">
        <v>1696</v>
      </c>
      <c r="Q32" s="1263" t="str">
        <f t="shared" si="11"/>
        <v>建筑类型</v>
      </c>
      <c r="R32" s="667" t="s">
        <v>14</v>
      </c>
      <c r="S32" s="668">
        <f t="shared" si="12"/>
        <v>100</v>
      </c>
      <c r="T32" s="667" t="s">
        <v>14</v>
      </c>
      <c r="U32" s="668">
        <f t="shared" si="13"/>
        <v>100</v>
      </c>
      <c r="V32" s="667" t="s">
        <v>14</v>
      </c>
      <c r="W32" s="668">
        <f t="shared" si="14"/>
        <v>100</v>
      </c>
      <c r="X32" s="1265"/>
      <c r="Y32" s="3438" t="s">
        <v>1696</v>
      </c>
      <c r="Z32" s="1264" t="str">
        <f t="shared" si="18"/>
        <v>建筑类型</v>
      </c>
      <c r="AA32" s="1264">
        <f t="shared" si="15"/>
        <v>1</v>
      </c>
      <c r="AB32" s="1264">
        <f t="shared" si="16"/>
        <v>1</v>
      </c>
      <c r="AC32" s="1264">
        <f t="shared" si="17"/>
        <v>1</v>
      </c>
    </row>
    <row r="33" spans="1:29" s="408" customFormat="1" ht="15">
      <c r="A33" s="406"/>
      <c r="B33" s="364" t="s">
        <v>1697</v>
      </c>
      <c r="C33" s="407">
        <v>80</v>
      </c>
      <c r="D33" s="119">
        <v>100</v>
      </c>
      <c r="E33" s="369">
        <f>西山印案例!W4</f>
        <v>107.53</v>
      </c>
      <c r="F33" s="364">
        <f>LOOKUP(E33,103:103,104:104)-LOOKUP(C33,103:103,104:104)+100</f>
        <v>99</v>
      </c>
      <c r="G33" s="368">
        <f>西山印案例!W8</f>
        <v>63.58</v>
      </c>
      <c r="H33" s="119">
        <f>LOOKUP(G33,103:103,104:104)-LOOKUP(C33,103:103,104:104)+100</f>
        <v>100</v>
      </c>
      <c r="I33" s="369">
        <f>西山印案例!W11</f>
        <v>92.67</v>
      </c>
      <c r="J33" s="119">
        <f>LOOKUP(I33,103:103,104:104)-LOOKUP(C33,103:103,104:104)+100</f>
        <v>100</v>
      </c>
      <c r="K33" s="1748"/>
      <c r="L33" s="2492"/>
      <c r="M33" s="2494"/>
      <c r="N33" s="2494"/>
      <c r="O33" s="2494"/>
      <c r="P33" s="3436"/>
      <c r="Q33" s="531" t="str">
        <f t="shared" si="11"/>
        <v>项目建筑规模</v>
      </c>
      <c r="R33" s="669" t="s">
        <v>14</v>
      </c>
      <c r="S33" s="670">
        <f t="shared" si="12"/>
        <v>99</v>
      </c>
      <c r="T33" s="669" t="s">
        <v>14</v>
      </c>
      <c r="U33" s="670">
        <f t="shared" si="13"/>
        <v>100</v>
      </c>
      <c r="V33" s="669" t="s">
        <v>14</v>
      </c>
      <c r="W33" s="670">
        <f t="shared" si="14"/>
        <v>100</v>
      </c>
      <c r="X33" s="671"/>
      <c r="Y33" s="3438"/>
      <c r="Z33" s="672" t="str">
        <f t="shared" si="18"/>
        <v>项目建筑规模</v>
      </c>
      <c r="AA33" s="1264">
        <f t="shared" si="15"/>
        <v>1.0101010101010102</v>
      </c>
      <c r="AB33" s="1264">
        <f t="shared" si="16"/>
        <v>1</v>
      </c>
      <c r="AC33" s="1264">
        <f t="shared" si="17"/>
        <v>1</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36"/>
      <c r="Q34" s="1263" t="str">
        <f t="shared" si="11"/>
        <v>建筑结构</v>
      </c>
      <c r="R34" s="667" t="s">
        <v>14</v>
      </c>
      <c r="S34" s="668">
        <f t="shared" si="12"/>
        <v>100</v>
      </c>
      <c r="T34" s="667" t="s">
        <v>14</v>
      </c>
      <c r="U34" s="668">
        <f t="shared" si="13"/>
        <v>100</v>
      </c>
      <c r="V34" s="667" t="s">
        <v>14</v>
      </c>
      <c r="W34" s="668">
        <f t="shared" si="14"/>
        <v>100</v>
      </c>
      <c r="X34" s="1265"/>
      <c r="Y34" s="343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36"/>
      <c r="Q35" s="1263" t="str">
        <f t="shared" si="11"/>
        <v>建筑品质</v>
      </c>
      <c r="R35" s="667" t="s">
        <v>14</v>
      </c>
      <c r="S35" s="668">
        <f t="shared" si="12"/>
        <v>100</v>
      </c>
      <c r="T35" s="667" t="s">
        <v>14</v>
      </c>
      <c r="U35" s="668">
        <f t="shared" si="13"/>
        <v>100</v>
      </c>
      <c r="V35" s="667" t="s">
        <v>14</v>
      </c>
      <c r="W35" s="668">
        <f t="shared" si="14"/>
        <v>100</v>
      </c>
      <c r="X35" s="1265"/>
      <c r="Y35" s="343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36"/>
      <c r="Q36" s="1263" t="str">
        <f t="shared" si="11"/>
        <v>公共部分装修</v>
      </c>
      <c r="R36" s="667" t="s">
        <v>14</v>
      </c>
      <c r="S36" s="668">
        <f t="shared" si="12"/>
        <v>100</v>
      </c>
      <c r="T36" s="667" t="s">
        <v>14</v>
      </c>
      <c r="U36" s="668">
        <f t="shared" si="13"/>
        <v>100</v>
      </c>
      <c r="V36" s="667" t="s">
        <v>14</v>
      </c>
      <c r="W36" s="668">
        <f t="shared" si="14"/>
        <v>100</v>
      </c>
      <c r="X36" s="1265"/>
      <c r="Y36" s="3438"/>
      <c r="Z36" s="1264" t="str">
        <f t="shared" si="18"/>
        <v>公共部分装修</v>
      </c>
      <c r="AA36" s="1264">
        <f t="shared" si="15"/>
        <v>1</v>
      </c>
      <c r="AB36" s="1264">
        <f t="shared" si="16"/>
        <v>1</v>
      </c>
      <c r="AC36" s="1264">
        <f t="shared" si="17"/>
        <v>1</v>
      </c>
    </row>
    <row r="37" spans="1:29" s="102" customFormat="1" ht="15">
      <c r="A37" s="410"/>
      <c r="B37" s="364" t="s">
        <v>1701</v>
      </c>
      <c r="C37" s="411">
        <v>0.9</v>
      </c>
      <c r="D37" s="119">
        <v>100</v>
      </c>
      <c r="E37" s="411">
        <v>0.65</v>
      </c>
      <c r="F37" s="364">
        <f>LOOKUP(E37,112:112,113:113)-LOOKUP(C37,112:112,113:113)+100</f>
        <v>94</v>
      </c>
      <c r="G37" s="413">
        <v>0.75</v>
      </c>
      <c r="H37" s="119">
        <f>LOOKUP(G37,112:112,113:113)-LOOKUP(C37,112:112,113:113)+100</f>
        <v>96</v>
      </c>
      <c r="I37" s="412">
        <v>0.85</v>
      </c>
      <c r="J37" s="119">
        <f>LOOKUP(I37,112:112,113:113)-LOOKUP(C37,112:112,113:113)+100</f>
        <v>98</v>
      </c>
      <c r="K37" s="365">
        <v>2</v>
      </c>
      <c r="L37" s="2489"/>
      <c r="M37" s="2440"/>
      <c r="N37" s="2440"/>
      <c r="O37" s="2440"/>
      <c r="P37" s="3436"/>
      <c r="Q37" s="530" t="str">
        <f t="shared" si="11"/>
        <v>成新度</v>
      </c>
      <c r="R37" s="664" t="s">
        <v>14</v>
      </c>
      <c r="S37" s="665">
        <f t="shared" si="12"/>
        <v>94</v>
      </c>
      <c r="T37" s="664" t="s">
        <v>14</v>
      </c>
      <c r="U37" s="665">
        <f t="shared" si="13"/>
        <v>96</v>
      </c>
      <c r="V37" s="664" t="s">
        <v>14</v>
      </c>
      <c r="W37" s="665">
        <f t="shared" si="14"/>
        <v>98</v>
      </c>
      <c r="X37" s="666"/>
      <c r="Y37" s="3438"/>
      <c r="Z37" s="50" t="str">
        <f t="shared" si="18"/>
        <v>成新度</v>
      </c>
      <c r="AA37" s="50">
        <f t="shared" si="15"/>
        <v>1.0638297872340425</v>
      </c>
      <c r="AB37" s="50">
        <f t="shared" si="16"/>
        <v>1.0416666666666667</v>
      </c>
      <c r="AC37" s="50">
        <f t="shared" si="17"/>
        <v>1.0204081632653061</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f>1-(2026-2005)/60</f>
        <v>0.65</v>
      </c>
      <c r="N38" s="2488"/>
      <c r="O38" s="2488"/>
      <c r="P38" s="3436" t="s">
        <v>1696</v>
      </c>
      <c r="Q38" s="1263" t="str">
        <f t="shared" si="11"/>
        <v>物业管理</v>
      </c>
      <c r="R38" s="667" t="s">
        <v>14</v>
      </c>
      <c r="S38" s="668">
        <f t="shared" si="12"/>
        <v>100</v>
      </c>
      <c r="T38" s="667" t="s">
        <v>14</v>
      </c>
      <c r="U38" s="668">
        <f t="shared" si="13"/>
        <v>100</v>
      </c>
      <c r="V38" s="667" t="s">
        <v>14</v>
      </c>
      <c r="W38" s="668">
        <f t="shared" si="14"/>
        <v>100</v>
      </c>
      <c r="X38" s="1265"/>
      <c r="Y38" s="343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f>1-(2026-2010)/60</f>
        <v>0.73333333333333339</v>
      </c>
      <c r="N39" s="2488"/>
      <c r="O39" s="2488"/>
      <c r="P39" s="3436"/>
      <c r="Q39" s="1263" t="str">
        <f t="shared" si="11"/>
        <v>市政基础设施</v>
      </c>
      <c r="R39" s="667" t="s">
        <v>14</v>
      </c>
      <c r="S39" s="668">
        <f t="shared" si="12"/>
        <v>100</v>
      </c>
      <c r="T39" s="667" t="s">
        <v>14</v>
      </c>
      <c r="U39" s="668">
        <f t="shared" si="13"/>
        <v>100</v>
      </c>
      <c r="V39" s="667" t="s">
        <v>14</v>
      </c>
      <c r="W39" s="668">
        <f t="shared" si="14"/>
        <v>100</v>
      </c>
      <c r="X39" s="1265"/>
      <c r="Y39" s="343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f>1-(2026-2015)/60</f>
        <v>0.81666666666666665</v>
      </c>
      <c r="N40" s="2488"/>
      <c r="O40" s="2488"/>
      <c r="P40" s="3436"/>
      <c r="Q40" s="1263" t="str">
        <f t="shared" si="11"/>
        <v>房型</v>
      </c>
      <c r="R40" s="667" t="s">
        <v>14</v>
      </c>
      <c r="S40" s="668">
        <f t="shared" si="12"/>
        <v>100</v>
      </c>
      <c r="T40" s="667" t="s">
        <v>14</v>
      </c>
      <c r="U40" s="668">
        <f t="shared" si="13"/>
        <v>100</v>
      </c>
      <c r="V40" s="667" t="s">
        <v>14</v>
      </c>
      <c r="W40" s="668">
        <f t="shared" si="14"/>
        <v>100</v>
      </c>
      <c r="X40" s="1265"/>
      <c r="Y40" s="3438"/>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36"/>
      <c r="Q41" s="531" t="str">
        <f t="shared" si="11"/>
        <v>单套/主力户型建筑面积</v>
      </c>
      <c r="R41" s="669" t="s">
        <v>14</v>
      </c>
      <c r="S41" s="670">
        <f t="shared" si="12"/>
        <v>100</v>
      </c>
      <c r="T41" s="669" t="s">
        <v>14</v>
      </c>
      <c r="U41" s="670">
        <f t="shared" si="13"/>
        <v>100</v>
      </c>
      <c r="V41" s="669" t="s">
        <v>14</v>
      </c>
      <c r="W41" s="670">
        <f t="shared" si="14"/>
        <v>100</v>
      </c>
      <c r="X41" s="671"/>
      <c r="Y41" s="3438"/>
      <c r="Z41" s="672" t="str">
        <f t="shared" si="18"/>
        <v>单套/主力户型建筑面积</v>
      </c>
      <c r="AA41" s="1264">
        <f t="shared" si="15"/>
        <v>1</v>
      </c>
      <c r="AB41" s="1264">
        <f t="shared" si="16"/>
        <v>1</v>
      </c>
      <c r="AC41" s="1264">
        <f t="shared" si="17"/>
        <v>1</v>
      </c>
    </row>
    <row r="42" spans="1:29" ht="15">
      <c r="A42" s="409"/>
      <c r="B42" s="364" t="s">
        <v>1706</v>
      </c>
      <c r="C42" s="1760" t="s">
        <v>3494</v>
      </c>
      <c r="D42" s="374">
        <v>100</v>
      </c>
      <c r="E42" s="1761" t="s">
        <v>3478</v>
      </c>
      <c r="F42" s="400">
        <f>SUMIF(122:122,E42,123:123)-SUMIF(122:122,C42,123:123)+100</f>
        <v>96</v>
      </c>
      <c r="G42" s="1760" t="s">
        <v>3478</v>
      </c>
      <c r="H42" s="374">
        <f>SUMIF(122:122,G42,123:123)-SUMIF(122:122,C42,123:123)+100</f>
        <v>96</v>
      </c>
      <c r="I42" s="1760" t="s">
        <v>3478</v>
      </c>
      <c r="J42" s="374">
        <f>SUMIF(122:122,I42,123:123)-SUMIF(122:122,C42,123:123)+100</f>
        <v>96</v>
      </c>
      <c r="K42" s="365">
        <v>2</v>
      </c>
      <c r="L42" s="2493"/>
      <c r="M42" s="2488"/>
      <c r="N42" s="2488"/>
      <c r="O42" s="2488"/>
      <c r="P42" s="3436"/>
      <c r="Q42" s="1263" t="str">
        <f t="shared" si="11"/>
        <v>内部装修</v>
      </c>
      <c r="R42" s="667" t="s">
        <v>14</v>
      </c>
      <c r="S42" s="668">
        <f t="shared" si="12"/>
        <v>96</v>
      </c>
      <c r="T42" s="667" t="s">
        <v>14</v>
      </c>
      <c r="U42" s="668">
        <f t="shared" si="13"/>
        <v>96</v>
      </c>
      <c r="V42" s="667" t="s">
        <v>14</v>
      </c>
      <c r="W42" s="668">
        <f t="shared" si="14"/>
        <v>96</v>
      </c>
      <c r="X42" s="1265"/>
      <c r="Y42" s="3438"/>
      <c r="Z42" s="1264" t="str">
        <f t="shared" si="18"/>
        <v>内部装修</v>
      </c>
      <c r="AA42" s="1264">
        <f t="shared" si="15"/>
        <v>1.0416666666666667</v>
      </c>
      <c r="AB42" s="1264">
        <f t="shared" si="16"/>
        <v>1.0416666666666667</v>
      </c>
      <c r="AC42" s="1264">
        <f t="shared" si="17"/>
        <v>1.0416666666666667</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36"/>
      <c r="Q43" s="1263" t="str">
        <f t="shared" si="11"/>
        <v>内部装修维护情况</v>
      </c>
      <c r="R43" s="667" t="s">
        <v>14</v>
      </c>
      <c r="S43" s="668">
        <f t="shared" si="12"/>
        <v>100</v>
      </c>
      <c r="T43" s="667" t="s">
        <v>14</v>
      </c>
      <c r="U43" s="668">
        <f t="shared" si="13"/>
        <v>100</v>
      </c>
      <c r="V43" s="667" t="s">
        <v>14</v>
      </c>
      <c r="W43" s="668">
        <f t="shared" si="14"/>
        <v>100</v>
      </c>
      <c r="X43" s="1265"/>
      <c r="Y43" s="343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36"/>
      <c r="Q44" s="530">
        <f t="shared" si="11"/>
        <v>111</v>
      </c>
      <c r="R44" s="664" t="s">
        <v>14</v>
      </c>
      <c r="S44" s="665">
        <f t="shared" si="12"/>
        <v>100</v>
      </c>
      <c r="T44" s="664" t="s">
        <v>14</v>
      </c>
      <c r="U44" s="665">
        <f t="shared" si="13"/>
        <v>100</v>
      </c>
      <c r="V44" s="664" t="s">
        <v>14</v>
      </c>
      <c r="W44" s="665">
        <f t="shared" si="14"/>
        <v>100</v>
      </c>
      <c r="X44" s="666"/>
      <c r="Y44" s="343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36"/>
      <c r="Q45" s="1263">
        <f t="shared" si="11"/>
        <v>111</v>
      </c>
      <c r="R45" s="667" t="s">
        <v>14</v>
      </c>
      <c r="S45" s="668">
        <f t="shared" si="12"/>
        <v>100</v>
      </c>
      <c r="T45" s="667" t="s">
        <v>14</v>
      </c>
      <c r="U45" s="668">
        <f t="shared" si="13"/>
        <v>100</v>
      </c>
      <c r="V45" s="667" t="s">
        <v>14</v>
      </c>
      <c r="W45" s="668">
        <f t="shared" si="14"/>
        <v>100</v>
      </c>
      <c r="X45" s="1265"/>
      <c r="Y45" s="3438"/>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37"/>
      <c r="Q46" s="1263">
        <f t="shared" si="11"/>
        <v>111</v>
      </c>
      <c r="R46" s="667" t="s">
        <v>14</v>
      </c>
      <c r="S46" s="668">
        <f t="shared" si="12"/>
        <v>100</v>
      </c>
      <c r="T46" s="667" t="s">
        <v>14</v>
      </c>
      <c r="U46" s="668">
        <f t="shared" si="13"/>
        <v>100</v>
      </c>
      <c r="V46" s="667" t="s">
        <v>14</v>
      </c>
      <c r="W46" s="668">
        <f t="shared" si="14"/>
        <v>100</v>
      </c>
      <c r="X46" s="1265"/>
      <c r="Y46" s="3439"/>
      <c r="Z46" s="1264">
        <f t="shared" si="18"/>
        <v>111</v>
      </c>
      <c r="AA46" s="1264">
        <f t="shared" si="15"/>
        <v>1</v>
      </c>
      <c r="AB46" s="1264">
        <f t="shared" si="16"/>
        <v>1</v>
      </c>
      <c r="AC46" s="1264">
        <f t="shared" si="17"/>
        <v>1</v>
      </c>
    </row>
    <row r="47" spans="1:29" ht="15">
      <c r="A47" s="416" t="s">
        <v>1708</v>
      </c>
      <c r="B47" s="417"/>
      <c r="C47" s="1081" t="s">
        <v>0</v>
      </c>
      <c r="D47" s="418"/>
      <c r="E47" s="419">
        <f>西山印案例!AC4</f>
        <v>22784</v>
      </c>
      <c r="F47" s="420"/>
      <c r="G47" s="421">
        <f>西山印案例!AC8</f>
        <v>23592</v>
      </c>
      <c r="H47" s="422"/>
      <c r="I47" s="419">
        <f>西山印案例!AC11</f>
        <v>28057</v>
      </c>
      <c r="J47" s="422"/>
      <c r="K47" s="1767"/>
      <c r="L47" s="2495"/>
      <c r="M47" s="2488"/>
      <c r="N47" s="2488"/>
      <c r="O47" s="2488"/>
      <c r="P47" s="3431" t="str">
        <f>A47</f>
        <v>成交单价（元/平方米）</v>
      </c>
      <c r="Q47" s="3431"/>
      <c r="R47" s="3432">
        <f>E47</f>
        <v>22784</v>
      </c>
      <c r="S47" s="3432"/>
      <c r="T47" s="3432">
        <f>G47</f>
        <v>23592</v>
      </c>
      <c r="U47" s="3432"/>
      <c r="V47" s="3432">
        <f>I47</f>
        <v>28057</v>
      </c>
      <c r="W47" s="3432"/>
      <c r="X47" s="385"/>
      <c r="Y47" s="673"/>
      <c r="Z47" s="385"/>
      <c r="AA47" s="385"/>
      <c r="AB47" s="385"/>
      <c r="AC47" s="385"/>
    </row>
    <row r="48" spans="1:29" ht="15.75" thickBot="1">
      <c r="A48" s="423" t="s">
        <v>1709</v>
      </c>
      <c r="B48" s="424"/>
      <c r="C48" s="1082">
        <f>R49</f>
        <v>24960</v>
      </c>
      <c r="D48" s="2141" t="s">
        <v>2138</v>
      </c>
      <c r="E48" s="1083">
        <f>R48</f>
        <v>23348</v>
      </c>
      <c r="F48" s="2142"/>
      <c r="G48" s="1082">
        <f>T48</f>
        <v>23672</v>
      </c>
      <c r="H48" s="2142"/>
      <c r="I48" s="1083">
        <f>V48</f>
        <v>27859</v>
      </c>
      <c r="J48" s="2142"/>
      <c r="K48" s="2143">
        <f>F48+H48+J48</f>
        <v>0</v>
      </c>
      <c r="L48" s="2495"/>
      <c r="M48" s="2488"/>
      <c r="N48" s="2488"/>
      <c r="O48" s="2488"/>
      <c r="P48" s="3431" t="str">
        <f>A48</f>
        <v>比较价值（元/平方米）</v>
      </c>
      <c r="Q48" s="3431"/>
      <c r="R48" s="3432">
        <f>IF(F1="售价",ROUND(PRODUCT(R47,AA7:AA46),0),ROUND(PRODUCT(R47,AA7:AA46),1))</f>
        <v>23348</v>
      </c>
      <c r="S48" s="3432"/>
      <c r="T48" s="3432">
        <f>IF(F1="售价",ROUND(PRODUCT(T47,AB7:AB46),0),ROUND(PRODUCT(T47,AB7:AB46),1))</f>
        <v>23672</v>
      </c>
      <c r="U48" s="3432"/>
      <c r="V48" s="3432">
        <f>IF(F1="售价",ROUND(PRODUCT(V47,AC7:AC46),0),ROUND(PRODUCT(V47,AC7:AC46),1))</f>
        <v>27859</v>
      </c>
      <c r="W48" s="3432"/>
      <c r="X48" s="385"/>
      <c r="Y48" s="385"/>
      <c r="Z48" s="385"/>
      <c r="AA48" s="385"/>
      <c r="AB48" s="385"/>
      <c r="AC48" s="385"/>
    </row>
    <row r="49" spans="1:29" ht="15.75" thickBot="1">
      <c r="A49" s="427" t="s">
        <v>1710</v>
      </c>
      <c r="B49" s="428"/>
      <c r="C49" s="1084">
        <f>R49</f>
        <v>24960</v>
      </c>
      <c r="D49" s="351"/>
      <c r="E49" s="351"/>
      <c r="F49" s="351"/>
      <c r="G49" s="351"/>
      <c r="H49" s="351"/>
      <c r="I49" s="351"/>
      <c r="J49" s="351"/>
      <c r="K49" s="1768"/>
      <c r="L49" s="2495"/>
      <c r="M49" s="2488"/>
      <c r="N49" s="2488"/>
      <c r="O49" s="2488"/>
      <c r="P49" s="3428" t="str">
        <f>A49</f>
        <v>估价对象XX用房的比较价值（楼面单价，元/平方米）</v>
      </c>
      <c r="Q49" s="3429"/>
      <c r="R49" s="3430">
        <f>IF(F1="售价",ROUND(IF(D48="简单平均",AVERAGE(R48:V48),R48*F48+T48*H48+V48*J48),0),ROUND(IF(D48="简单平均",AVERAGE(R48:V48),R48*F48+T48*H48+V48*J48),1))</f>
        <v>24960</v>
      </c>
      <c r="S49" s="3430"/>
      <c r="T49" s="3430"/>
      <c r="U49" s="3430"/>
      <c r="V49" s="3430"/>
      <c r="W49" s="3430"/>
      <c r="X49" s="385"/>
      <c r="Y49" s="385"/>
      <c r="Z49" s="385"/>
      <c r="AA49" s="385"/>
      <c r="AB49" s="385"/>
      <c r="AC49" s="385"/>
    </row>
    <row r="50" spans="1:29">
      <c r="A50" s="2488"/>
      <c r="B50" s="2488"/>
      <c r="C50" s="2488"/>
      <c r="D50" s="2488"/>
      <c r="E50" s="2488">
        <v>2005</v>
      </c>
      <c r="F50" s="2488"/>
      <c r="G50" s="2499">
        <v>20.100000000000001</v>
      </c>
      <c r="H50" s="2488"/>
      <c r="I50" s="2488">
        <v>2015</v>
      </c>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f>IF(E47&lt;E48,E48/E47-1,E47/E48-1)</f>
        <v>2.4754213483145993E-2</v>
      </c>
      <c r="F52" s="435" t="str">
        <f>IF(OR(E52&gt;=0.3,E52&lt;=-0.3),"超过30%","")</f>
        <v/>
      </c>
      <c r="G52" s="434">
        <f>IF(G47&lt;G48,G48/G47-1,G47/G48-1)</f>
        <v>3.390979993218135E-3</v>
      </c>
      <c r="H52" s="435" t="str">
        <f>IF(OR(G52&gt;=0.3,G52&lt;=-0.3),"超过30%","")</f>
        <v/>
      </c>
      <c r="I52" s="434">
        <f>IF(I47&lt;I48,I48/I47-1,I47/I48-1)</f>
        <v>7.1072184931260107E-3</v>
      </c>
      <c r="J52" s="435" t="str">
        <f>IF(OR(I52&gt;=0.3,I52&lt;=-0.3),"超过30%","")</f>
        <v/>
      </c>
      <c r="K52" s="2500"/>
      <c r="L52" s="2496"/>
      <c r="M52" s="2488"/>
      <c r="N52" s="2488"/>
      <c r="O52" s="2488"/>
    </row>
    <row r="53" spans="1:29" ht="13.5" customHeight="1">
      <c r="A53" s="2488"/>
      <c r="B53" s="2488"/>
      <c r="C53" s="432" t="s">
        <v>1712</v>
      </c>
      <c r="D53" s="436"/>
      <c r="E53" s="434">
        <f>IF(E48&lt;G48,G48/E48-1,E48/G48-1)</f>
        <v>1.3876991605276778E-2</v>
      </c>
      <c r="F53" s="435" t="str">
        <f>IF(OR(E53&gt;=0.2,E53&lt;=-0.2),"超过20%","")</f>
        <v/>
      </c>
      <c r="G53" s="434">
        <f>IF(G48&lt;I48,I48/G48-1,G48/I48-1)</f>
        <v>0.17687563366002035</v>
      </c>
      <c r="H53" s="435" t="str">
        <f>IF(OR(G53&gt;=0.2,G53&lt;=-0.2),"超过20%","")</f>
        <v/>
      </c>
      <c r="I53" s="434">
        <f>IF(I48&lt;E48,E48/I48-1,I48/E48-1)</f>
        <v>0.19320712694877495</v>
      </c>
      <c r="J53" s="435" t="str">
        <f>IF(OR(I53&gt;=0.2,I53&lt;=-0.2),"超过20%","")</f>
        <v/>
      </c>
      <c r="K53" s="2500"/>
      <c r="L53" s="2496"/>
      <c r="M53" s="2488"/>
      <c r="N53" s="2488"/>
      <c r="O53" s="2488"/>
    </row>
    <row r="54" spans="1:29" s="437" customFormat="1" ht="13.5" customHeight="1">
      <c r="A54" s="2498"/>
      <c r="B54" s="2498"/>
      <c r="C54" s="432" t="s">
        <v>1713</v>
      </c>
      <c r="D54" s="436"/>
      <c r="E54" s="434">
        <f>IF(E47&lt;G47,G47/E47-1,E47/G47-1)</f>
        <v>3.5463483146067398E-2</v>
      </c>
      <c r="F54" s="435" t="str">
        <f>IF(OR(E54&gt;=0.3,E54&lt;=-0.3),"超过30%","")</f>
        <v/>
      </c>
      <c r="G54" s="434">
        <f>IF(G47&lt;I47,I47/G47-1,G47/I47-1)</f>
        <v>0.18925907087148186</v>
      </c>
      <c r="H54" s="435" t="str">
        <f>IF(OR(G54&gt;=0.3,G54&lt;=-0.3),"超过30%","")</f>
        <v/>
      </c>
      <c r="I54" s="434">
        <f>IF(I47&lt;E47,E47/I47-1,I47/E47-1)</f>
        <v>0.23143433988764039</v>
      </c>
      <c r="J54" s="435" t="str">
        <f>IF(OR(I54&gt;=0.3,I54&lt;=-0.3),"超过30%","")</f>
        <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1679</v>
      </c>
      <c r="B58" s="441"/>
      <c r="C58" s="1105" t="str">
        <f>YEAR(C7)&amp;"-"&amp;MONTH(C7)</f>
        <v>2026-4</v>
      </c>
      <c r="D58" s="1104">
        <f>EDATE(C58,-1)</f>
        <v>46082</v>
      </c>
      <c r="E58" s="1104">
        <f>EDATE(D58,-1)</f>
        <v>46054</v>
      </c>
      <c r="F58" s="1104">
        <f t="shared" ref="F58:O58" si="19">EDATE(E58,-1)</f>
        <v>46023</v>
      </c>
      <c r="G58" s="1104">
        <f t="shared" si="19"/>
        <v>45992</v>
      </c>
      <c r="H58" s="1104">
        <f t="shared" si="19"/>
        <v>45962</v>
      </c>
      <c r="I58" s="1104">
        <f t="shared" si="19"/>
        <v>45931</v>
      </c>
      <c r="J58" s="1104">
        <f t="shared" si="19"/>
        <v>45901</v>
      </c>
      <c r="K58" s="1104">
        <f t="shared" si="19"/>
        <v>45870</v>
      </c>
      <c r="L58" s="1104">
        <f t="shared" si="19"/>
        <v>45839</v>
      </c>
      <c r="M58" s="1104">
        <f t="shared" si="19"/>
        <v>45809</v>
      </c>
      <c r="N58" s="1104">
        <f t="shared" si="19"/>
        <v>45778</v>
      </c>
      <c r="O58" s="1104">
        <f t="shared" si="19"/>
        <v>45748</v>
      </c>
      <c r="P58" s="1100"/>
    </row>
    <row r="59" spans="1:29" s="102" customFormat="1" ht="15">
      <c r="A59" s="443"/>
      <c r="B59" s="1772"/>
      <c r="C59" s="1102">
        <v>100</v>
      </c>
      <c r="D59" s="445">
        <v>100</v>
      </c>
      <c r="E59" s="446">
        <v>100</v>
      </c>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1681</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v>0</v>
      </c>
      <c r="D68" s="480">
        <v>1</v>
      </c>
      <c r="E68" s="480">
        <v>2</v>
      </c>
      <c r="F68" s="480">
        <v>3</v>
      </c>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95</v>
      </c>
      <c r="E77" s="475">
        <f>D77-$K15</f>
        <v>90</v>
      </c>
      <c r="F77" s="475">
        <f>E77-$K15</f>
        <v>85</v>
      </c>
      <c r="G77" s="475">
        <f>F77-$K15</f>
        <v>80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97</v>
      </c>
      <c r="E81" s="475">
        <f>D81-$K19</f>
        <v>94</v>
      </c>
      <c r="F81" s="475">
        <f>E81-$K19</f>
        <v>91</v>
      </c>
      <c r="G81" s="475">
        <f>F81-$K19</f>
        <v>88</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3582" t="s">
        <v>4104</v>
      </c>
      <c r="D88" s="3582" t="s">
        <v>4105</v>
      </c>
      <c r="E88" s="3582" t="s">
        <v>4117</v>
      </c>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99</v>
      </c>
      <c r="E89" s="475">
        <f t="shared" si="24"/>
        <v>98</v>
      </c>
      <c r="F89" s="475">
        <f t="shared" si="24"/>
        <v>97</v>
      </c>
      <c r="G89" s="475">
        <f t="shared" si="24"/>
        <v>96</v>
      </c>
      <c r="H89" s="475">
        <f t="shared" si="24"/>
        <v>95</v>
      </c>
      <c r="I89" s="475">
        <f t="shared" si="24"/>
        <v>94</v>
      </c>
      <c r="J89" s="475">
        <f t="shared" si="24"/>
        <v>93</v>
      </c>
      <c r="K89" s="475">
        <f t="shared" si="24"/>
        <v>92</v>
      </c>
      <c r="L89" s="475">
        <f t="shared" si="24"/>
        <v>91</v>
      </c>
      <c r="M89" s="475">
        <f t="shared" si="24"/>
        <v>90</v>
      </c>
      <c r="N89" s="880"/>
      <c r="O89" s="880"/>
      <c r="P89" s="1775"/>
      <c r="Q89" s="439"/>
    </row>
    <row r="90" spans="1:17" s="408" customFormat="1" ht="15.75" thickTop="1">
      <c r="A90" s="484"/>
      <c r="B90" s="469" t="str">
        <f>B27</f>
        <v>楼层</v>
      </c>
      <c r="C90" s="3582" t="s">
        <v>4106</v>
      </c>
      <c r="D90" s="3582" t="s">
        <v>4107</v>
      </c>
      <c r="E90" s="3582" t="s">
        <v>4108</v>
      </c>
      <c r="F90" s="485"/>
      <c r="G90" s="485"/>
      <c r="H90" s="486"/>
      <c r="I90" s="486"/>
      <c r="J90" s="486"/>
      <c r="K90" s="486"/>
      <c r="L90" s="487"/>
      <c r="M90" s="488"/>
      <c r="N90" s="881"/>
      <c r="O90" s="881"/>
      <c r="P90" s="1776"/>
      <c r="Q90" s="490"/>
    </row>
    <row r="91" spans="1:17" s="408" customFormat="1" ht="15.75" thickBot="1">
      <c r="A91" s="484"/>
      <c r="B91" s="474"/>
      <c r="C91" s="491">
        <v>100</v>
      </c>
      <c r="D91" s="491">
        <v>99</v>
      </c>
      <c r="E91" s="491">
        <v>98</v>
      </c>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0(含)-100</v>
      </c>
      <c r="D102" s="509" t="str">
        <f t="shared" ref="D102:L102" si="26">D103&amp;"(含)"&amp;"-"&amp;E103</f>
        <v>100(含)-150</v>
      </c>
      <c r="E102" s="509" t="str">
        <f t="shared" si="26"/>
        <v>150(含)-200</v>
      </c>
      <c r="F102" s="509" t="str">
        <f t="shared" si="26"/>
        <v>200(含)-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100</v>
      </c>
      <c r="E103" s="6">
        <v>150</v>
      </c>
      <c r="F103" s="6">
        <v>200</v>
      </c>
      <c r="G103" s="6"/>
      <c r="H103" s="6"/>
      <c r="I103" s="6"/>
      <c r="J103" s="524"/>
      <c r="K103" s="524"/>
      <c r="L103" s="525"/>
      <c r="M103" s="526"/>
      <c r="N103" s="881"/>
      <c r="O103" s="881"/>
      <c r="P103" s="1776"/>
      <c r="Q103" s="490"/>
    </row>
    <row r="104" spans="1:17" s="408" customFormat="1" ht="15.75" thickBot="1">
      <c r="A104" s="484"/>
      <c r="B104" s="474"/>
      <c r="C104" s="491">
        <v>100</v>
      </c>
      <c r="D104" s="467">
        <v>99</v>
      </c>
      <c r="E104" s="467">
        <v>98</v>
      </c>
      <c r="F104" s="467">
        <v>97</v>
      </c>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102</v>
      </c>
      <c r="E113" s="475">
        <f>D113+$K37</f>
        <v>104</v>
      </c>
      <c r="F113" s="475">
        <f>E113+$K37</f>
        <v>106</v>
      </c>
      <c r="G113" s="475">
        <f>F113+$K37</f>
        <v>108</v>
      </c>
      <c r="H113" s="475">
        <f>G113+$K37</f>
        <v>110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3582" t="s">
        <v>4100</v>
      </c>
      <c r="D122" s="3582" t="s">
        <v>4101</v>
      </c>
      <c r="E122" s="3582" t="s">
        <v>4102</v>
      </c>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4" type="noConversion"/>
  <conditionalFormatting sqref="E52">
    <cfRule type="expression" dxfId="13" priority="13" stopIfTrue="1">
      <formula>$F$52="超过30%"</formula>
    </cfRule>
  </conditionalFormatting>
  <conditionalFormatting sqref="E53">
    <cfRule type="expression" dxfId="12" priority="11" stopIfTrue="1">
      <formula>$F$53="超过20%"</formula>
    </cfRule>
  </conditionalFormatting>
  <conditionalFormatting sqref="E54">
    <cfRule type="expression" dxfId="11" priority="10" stopIfTrue="1">
      <formula>$F$54="超过30%"</formula>
    </cfRule>
  </conditionalFormatting>
  <conditionalFormatting sqref="F7:F46 H7:H46 J7:J46">
    <cfRule type="cellIs" dxfId="10" priority="1" operator="notEqual">
      <formula>100</formula>
    </cfRule>
  </conditionalFormatting>
  <conditionalFormatting sqref="F48">
    <cfRule type="expression" dxfId="9" priority="4">
      <formula>$D$48="简单平均"</formula>
    </cfRule>
  </conditionalFormatting>
  <conditionalFormatting sqref="F52:F54 H52:H54 J52:J54">
    <cfRule type="containsText" dxfId="8" priority="14" stopIfTrue="1" operator="containsText" text="超过">
      <formula>NOT(ISERROR(SEARCH("超过",F52)))</formula>
    </cfRule>
  </conditionalFormatting>
  <conditionalFormatting sqref="G52">
    <cfRule type="expression" dxfId="7" priority="9" stopIfTrue="1">
      <formula>$H$52="超过30%"</formula>
    </cfRule>
  </conditionalFormatting>
  <conditionalFormatting sqref="G53">
    <cfRule type="expression" dxfId="6" priority="8" stopIfTrue="1">
      <formula>$H$53="超过20%"</formula>
    </cfRule>
  </conditionalFormatting>
  <conditionalFormatting sqref="G54">
    <cfRule type="expression" dxfId="5" priority="12" stopIfTrue="1">
      <formula>$H$54="超过30%"</formula>
    </cfRule>
  </conditionalFormatting>
  <conditionalFormatting sqref="H48">
    <cfRule type="expression" dxfId="4" priority="3">
      <formula>$D$48="简单平均"</formula>
    </cfRule>
  </conditionalFormatting>
  <conditionalFormatting sqref="I52">
    <cfRule type="expression" dxfId="3" priority="7" stopIfTrue="1">
      <formula>$J$52="超过30%"</formula>
    </cfRule>
  </conditionalFormatting>
  <conditionalFormatting sqref="I53">
    <cfRule type="expression" dxfId="2" priority="6" stopIfTrue="1">
      <formula>$J$53="超过20%"</formula>
    </cfRule>
  </conditionalFormatting>
  <conditionalFormatting sqref="I54">
    <cfRule type="expression" dxfId="1" priority="5" stopIfTrue="1">
      <formula>$J$54="超过30%"</formula>
    </cfRule>
  </conditionalFormatting>
  <conditionalFormatting sqref="J48">
    <cfRule type="expression" dxfId="0" priority="2">
      <formula>$D$48="简单平均"</formula>
    </cfRule>
  </conditionalFormatting>
  <dataValidations count="23">
    <dataValidation type="list" allowBlank="1" showInputMessage="1" showErrorMessage="1" sqref="E24 G24 I24 C24" xr:uid="{0332D412-9101-4AC7-B249-FD4B9E62AA9C}">
      <formula1>环境</formula1>
    </dataValidation>
    <dataValidation type="list" allowBlank="1" showInputMessage="1" showErrorMessage="1" sqref="E16 E20 G20 C16 C20 G16 I16 I20" xr:uid="{98D68A5F-731A-4C57-A3D1-B5AF110F7776}">
      <formula1>居住社区成熟度</formula1>
    </dataValidation>
    <dataValidation type="list" allowBlank="1" showInputMessage="1" showErrorMessage="1" sqref="E18 G18 I18 C18" xr:uid="{66D7B412-C3F7-461E-A9E9-C137B808F337}">
      <formula1>交通便捷度</formula1>
    </dataValidation>
    <dataValidation type="list" allowBlank="1" showInputMessage="1" showErrorMessage="1" sqref="E25 G25 I25 C25" xr:uid="{9F33C376-D3B4-4411-9C66-FDDBC2E4FB72}">
      <formula1>住宅楼层</formula1>
    </dataValidation>
    <dataValidation type="list" allowBlank="1" showInputMessage="1" showErrorMessage="1" sqref="E26 G26 I26 C26" xr:uid="{B66C01AB-5FB9-42AE-A0A8-8D6CE5B93FA2}">
      <formula1>住宅朝向</formula1>
    </dataValidation>
    <dataValidation type="list" allowBlank="1" showInputMessage="1" showErrorMessage="1" sqref="E32 G32 I32 C32" xr:uid="{9983B25D-0DF5-4F26-86BA-932FD7A32FA3}">
      <formula1>住宅建筑类型</formula1>
    </dataValidation>
    <dataValidation type="list" allowBlank="1" showInputMessage="1" showErrorMessage="1" sqref="E34 G34 I34 C34" xr:uid="{D88D8A7B-5393-4465-9BC8-4C2EA8CF063C}">
      <formula1>住宅建筑结构</formula1>
    </dataValidation>
    <dataValidation type="list" allowBlank="1" showInputMessage="1" showErrorMessage="1" sqref="E35 G35 I35 C35" xr:uid="{66417C56-EE1E-4370-8E4B-C88073BC9068}">
      <formula1>住宅建筑品质</formula1>
    </dataValidation>
    <dataValidation type="list" allowBlank="1" showInputMessage="1" showErrorMessage="1" sqref="E36 G36 I36 C36" xr:uid="{8BC8E3E1-48D9-4FF2-9C0E-7D429FBEEA21}">
      <formula1>住宅公共部分装修</formula1>
    </dataValidation>
    <dataValidation type="list" allowBlank="1" showInputMessage="1" showErrorMessage="1" sqref="E38 G38 I38 C38" xr:uid="{9263DFB9-CA1C-4081-BF30-AE0AB0A2EA75}">
      <formula1>住宅物业管理</formula1>
    </dataValidation>
    <dataValidation type="list" allowBlank="1" showInputMessage="1" showErrorMessage="1" sqref="E39 G39 I39 C39" xr:uid="{E61FE1AF-8F81-4329-AD59-2A885328840A}">
      <formula1>住宅基础设施水平</formula1>
    </dataValidation>
    <dataValidation type="list" allowBlank="1" showInputMessage="1" showErrorMessage="1" sqref="E40 G40 I40 C40" xr:uid="{76110F1C-AA72-4928-A062-AED48EED7353}">
      <formula1>住宅房型</formula1>
    </dataValidation>
    <dataValidation type="list" allowBlank="1" showInputMessage="1" showErrorMessage="1" sqref="E42 G42 C42 I42" xr:uid="{7C1C320E-6107-4E94-819E-53981D0283AB}">
      <formula1>住宅内部装修</formula1>
    </dataValidation>
    <dataValidation type="list" allowBlank="1" showInputMessage="1" showErrorMessage="1" sqref="E43 G43 I43 C43" xr:uid="{6B0C1948-685F-46B8-B954-365E3C72B176}">
      <formula1>内部装修维护情况</formula1>
    </dataValidation>
    <dataValidation type="list" allowBlank="1" showInputMessage="1" showErrorMessage="1" sqref="E8 G8 I8 C8" xr:uid="{FDDE88D4-9D7B-4F3C-A8DD-36E9054D3D41}">
      <formula1>住宅交易情况</formula1>
    </dataValidation>
    <dataValidation type="list" allowBlank="1" showInputMessage="1" showErrorMessage="1" sqref="D1" xr:uid="{9CF83D99-2457-4B64-A9B0-8311744A4F36}">
      <formula1>项目类型</formula1>
    </dataValidation>
    <dataValidation type="list" allowBlank="1" showInputMessage="1" showErrorMessage="1" sqref="E9 G9 I9" xr:uid="{4EDFBD5E-1765-495D-972A-88352A8691B7}">
      <formula1>住宅用途</formula1>
    </dataValidation>
    <dataValidation type="list" allowBlank="1" showInputMessage="1" showErrorMessage="1" sqref="C22 E22 G22 I22" xr:uid="{5C6908ED-B205-4472-94D0-72E9BC0B2A6B}">
      <formula1>基础设施水平</formula1>
    </dataValidation>
    <dataValidation type="list" allowBlank="1" showInputMessage="1" showErrorMessage="1" sqref="F1" xr:uid="{D996E7F2-EFF4-451C-99C5-20C058B09110}">
      <formula1>"售价,租金"</formula1>
    </dataValidation>
    <dataValidation type="list" allowBlank="1" showInputMessage="1" showErrorMessage="1" sqref="C2" xr:uid="{AF509E19-2CAF-4027-BC66-348914CE4AA6}">
      <formula1>"需扣减承租人权益,——"</formula1>
    </dataValidation>
    <dataValidation type="list" allowBlank="1" showInputMessage="1" showErrorMessage="1" sqref="F2" xr:uid="{BCA474CF-9F66-4E58-BB88-CDC73E76204A}">
      <formula1>估价方法</formula1>
    </dataValidation>
    <dataValidation type="list" allowBlank="1" showInputMessage="1" showErrorMessage="1" sqref="D48" xr:uid="{C36D8E4B-3C68-4C0C-9A58-EBBA000DC2DA}">
      <formula1>"简单平均,加权平均"</formula1>
    </dataValidation>
    <dataValidation type="list" allowBlank="1" showInputMessage="1" showErrorMessage="1" sqref="E1" xr:uid="{0C0C1704-9D35-4E47-B34E-794B417EF66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35" t="str">
        <f>IF(项目基本情况!B9="房地产市场价值","估价结果一览表","结果表-2")</f>
        <v>结果表-2</v>
      </c>
      <c r="B1" s="3235"/>
      <c r="C1" s="3235"/>
      <c r="D1" s="3235"/>
      <c r="E1" s="3235"/>
      <c r="F1" s="3235"/>
      <c r="G1" s="3235"/>
      <c r="H1" s="3235"/>
      <c r="I1" s="3235"/>
    </row>
    <row r="2" spans="1:9" ht="30" customHeight="1" thickTop="1">
      <c r="A2" s="3236" t="s">
        <v>928</v>
      </c>
      <c r="B2" s="3236" t="s">
        <v>929</v>
      </c>
      <c r="C2" s="3236" t="s">
        <v>930</v>
      </c>
      <c r="D2" s="3236" t="str">
        <f>结果表!D116</f>
        <v>出让国有建设用地使用权价值</v>
      </c>
      <c r="E2" s="3236"/>
      <c r="F2" s="3236" t="str">
        <f>结果表!F116</f>
        <v>在建建筑物价值</v>
      </c>
      <c r="G2" s="3236"/>
      <c r="H2" s="3236" t="str">
        <f>IF(项目基本情况!B9="房地产市场价值","房地产市场价值","房地产价值")</f>
        <v>房地产价值</v>
      </c>
      <c r="I2" s="3236"/>
    </row>
    <row r="3" spans="1:9" ht="15">
      <c r="A3" s="3231"/>
      <c r="B3" s="3231"/>
      <c r="C3" s="3231"/>
      <c r="D3" s="801" t="s">
        <v>925</v>
      </c>
      <c r="E3" s="801" t="s">
        <v>931</v>
      </c>
      <c r="F3" s="801" t="s">
        <v>925</v>
      </c>
      <c r="G3" s="801" t="s">
        <v>926</v>
      </c>
      <c r="H3" s="801" t="s">
        <v>925</v>
      </c>
      <c r="I3" s="801" t="s">
        <v>926</v>
      </c>
    </row>
    <row r="4" spans="1:9" ht="15">
      <c r="A4" s="1403" t="str">
        <f>项目基本情况!S2</f>
        <v>房地产</v>
      </c>
      <c r="B4" s="801">
        <f>项目基本情况!C17</f>
        <v>0</v>
      </c>
      <c r="C4" s="801" t="e">
        <f>项目基本情况!C18</f>
        <v>#DIV/0!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31" t="s">
        <v>927</v>
      </c>
      <c r="B5" s="3231"/>
      <c r="C5" s="3231"/>
      <c r="D5" s="3231" t="e">
        <f ca="1">结果表!D119</f>
        <v>#REF!</v>
      </c>
      <c r="E5" s="3231"/>
      <c r="F5" s="3231" t="e">
        <f ca="1">结果表!F119</f>
        <v>#REF!</v>
      </c>
      <c r="G5" s="3231"/>
      <c r="H5" s="3231" t="e">
        <f ca="1">结果表!H119</f>
        <v>#REF!</v>
      </c>
      <c r="I5" s="3231"/>
    </row>
    <row r="6" spans="1:9" ht="15.75">
      <c r="A6" s="3230" t="str">
        <f>结果表!A120</f>
        <v>估价师知悉的法定优先受偿款</v>
      </c>
      <c r="B6" s="3230"/>
      <c r="C6" s="3230"/>
      <c r="D6" s="3230">
        <f>结果表!D120</f>
        <v>0</v>
      </c>
      <c r="E6" s="3230"/>
      <c r="F6" s="3230"/>
      <c r="G6" s="3230"/>
      <c r="H6" s="3230"/>
      <c r="I6" s="3230"/>
    </row>
    <row r="7" spans="1:9" ht="15">
      <c r="A7" s="3231" t="s">
        <v>927</v>
      </c>
      <c r="B7" s="3231"/>
      <c r="C7" s="3231"/>
      <c r="D7" s="3232" t="str">
        <f>结果表!D121</f>
        <v>零元整</v>
      </c>
      <c r="E7" s="3233"/>
      <c r="F7" s="3233"/>
      <c r="G7" s="3233"/>
      <c r="H7" s="3233"/>
      <c r="I7" s="3234"/>
    </row>
    <row r="8" spans="1:9" ht="15.75">
      <c r="A8" s="3230" t="str">
        <f>结果表!A122</f>
        <v>房地产抵押价值</v>
      </c>
      <c r="B8" s="3230"/>
      <c r="C8" s="3230"/>
      <c r="D8" s="3230" t="e">
        <f ca="1">结果表!D122</f>
        <v>#REF!</v>
      </c>
      <c r="E8" s="3230"/>
      <c r="F8" s="3230"/>
      <c r="G8" s="3230"/>
      <c r="H8" s="3230"/>
      <c r="I8" s="3230"/>
    </row>
    <row r="9" spans="1:9" ht="15">
      <c r="A9" s="3231" t="s">
        <v>927</v>
      </c>
      <c r="B9" s="3231"/>
      <c r="C9" s="3231"/>
      <c r="D9" s="3231" t="e">
        <f ca="1">结果表!D123</f>
        <v>#REF!</v>
      </c>
      <c r="E9" s="3231"/>
      <c r="F9" s="3231"/>
      <c r="G9" s="3231"/>
      <c r="H9" s="3231"/>
      <c r="I9" s="3231"/>
    </row>
    <row r="10" spans="1:9" ht="15.75">
      <c r="A10" s="3230" t="str">
        <f>结果表!A124</f>
        <v/>
      </c>
      <c r="B10" s="3230"/>
      <c r="C10" s="3230"/>
      <c r="D10" s="3230" t="str">
        <f>结果表!D124</f>
        <v>——</v>
      </c>
      <c r="E10" s="3230"/>
      <c r="F10" s="3230"/>
      <c r="G10" s="3230"/>
      <c r="H10" s="3230"/>
      <c r="I10" s="3230"/>
    </row>
    <row r="11" spans="1:9" ht="15">
      <c r="A11" s="3231" t="s">
        <v>927</v>
      </c>
      <c r="B11" s="3231"/>
      <c r="C11" s="3231"/>
      <c r="D11" s="3231" t="e">
        <f>结果表!D125</f>
        <v>#VALUE!</v>
      </c>
      <c r="E11" s="3231"/>
      <c r="F11" s="3231"/>
      <c r="G11" s="3231"/>
      <c r="H11" s="3231"/>
      <c r="I11" s="3231"/>
    </row>
    <row r="12" spans="1:9" ht="15.75">
      <c r="A12" s="3230" t="str">
        <f>结果表!A126</f>
        <v/>
      </c>
      <c r="B12" s="3230"/>
      <c r="C12" s="3230"/>
      <c r="D12" s="3230" t="str">
        <f>结果表!D126</f>
        <v>——</v>
      </c>
      <c r="E12" s="3230"/>
      <c r="F12" s="3230"/>
      <c r="G12" s="3230"/>
      <c r="H12" s="3230"/>
      <c r="I12" s="3230"/>
    </row>
    <row r="13" spans="1:9" ht="15.75" thickBot="1">
      <c r="A13" s="3228" t="s">
        <v>927</v>
      </c>
      <c r="B13" s="3228"/>
      <c r="C13" s="3228"/>
      <c r="D13" s="3228" t="e">
        <f>结果表!D127</f>
        <v>#VALUE!</v>
      </c>
      <c r="E13" s="3228"/>
      <c r="F13" s="3228"/>
      <c r="G13" s="3228"/>
      <c r="H13" s="3228"/>
      <c r="I13" s="3228"/>
    </row>
    <row r="14" spans="1:9" ht="15" thickTop="1">
      <c r="A14" s="3229" t="s">
        <v>932</v>
      </c>
      <c r="B14" s="3229"/>
      <c r="C14" s="3229"/>
      <c r="D14" s="3229"/>
      <c r="E14" s="3229"/>
      <c r="F14" s="3229"/>
      <c r="G14" s="3229"/>
      <c r="H14" s="3229"/>
      <c r="I14" s="3229"/>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7E8C6-1230-43FE-9E11-69DDF8B3C129}">
  <dimension ref="A3:AQ105"/>
  <sheetViews>
    <sheetView topLeftCell="B34" workbookViewId="0">
      <selection activeCell="W40" sqref="W40"/>
    </sheetView>
  </sheetViews>
  <sheetFormatPr defaultRowHeight="13.5"/>
  <cols>
    <col min="11" max="12" width="0" hidden="1" customWidth="1"/>
    <col min="13" max="13" width="13.375" bestFit="1" customWidth="1"/>
    <col min="19" max="19" width="13.75" bestFit="1" customWidth="1"/>
    <col min="22" max="22" width="13.375" bestFit="1" customWidth="1"/>
    <col min="24" max="24" width="0" hidden="1" customWidth="1"/>
    <col min="26" max="27" width="9" customWidth="1"/>
    <col min="28" max="28" width="13.375" hidden="1" customWidth="1"/>
    <col min="30" max="30" width="13.75" bestFit="1" customWidth="1"/>
    <col min="41" max="42" width="0" hidden="1" customWidth="1"/>
    <col min="43" max="43" width="13.375" bestFit="1" customWidth="1"/>
  </cols>
  <sheetData>
    <row r="3" spans="1:35" ht="14.25" thickBot="1">
      <c r="A3" s="3559" t="s">
        <v>3456</v>
      </c>
      <c r="B3" s="3559" t="s">
        <v>3457</v>
      </c>
      <c r="C3" s="3559" t="s">
        <v>3458</v>
      </c>
      <c r="D3" s="3559" t="s">
        <v>3459</v>
      </c>
      <c r="E3" s="3559" t="s">
        <v>3460</v>
      </c>
      <c r="F3" s="3561" t="s">
        <v>3461</v>
      </c>
      <c r="G3" s="3563"/>
      <c r="H3" s="3563"/>
      <c r="I3" s="3562"/>
      <c r="J3" s="3559" t="s">
        <v>3462</v>
      </c>
      <c r="K3" s="3561" t="s">
        <v>3463</v>
      </c>
      <c r="L3" s="3562"/>
      <c r="M3" s="3559" t="s">
        <v>3464</v>
      </c>
      <c r="N3" s="3559" t="s">
        <v>3465</v>
      </c>
      <c r="O3" s="3559" t="s">
        <v>3466</v>
      </c>
      <c r="P3" s="3559" t="s">
        <v>3467</v>
      </c>
      <c r="Q3" s="3559" t="s">
        <v>3468</v>
      </c>
      <c r="R3" s="3559" t="s">
        <v>3470</v>
      </c>
      <c r="S3" s="3559" t="s">
        <v>3471</v>
      </c>
    </row>
    <row r="4" spans="1:35" ht="15.75" thickBot="1">
      <c r="A4" s="3560"/>
      <c r="B4" s="3560"/>
      <c r="C4" s="3560"/>
      <c r="D4" s="3560"/>
      <c r="E4" s="3560"/>
      <c r="F4" s="3184" t="s">
        <v>3472</v>
      </c>
      <c r="G4" s="3184" t="s">
        <v>3473</v>
      </c>
      <c r="H4" s="3184" t="s">
        <v>3474</v>
      </c>
      <c r="I4" s="3184" t="s">
        <v>3475</v>
      </c>
      <c r="J4" s="3560"/>
      <c r="K4" s="3184" t="s">
        <v>3476</v>
      </c>
      <c r="L4" s="3184" t="s">
        <v>3477</v>
      </c>
      <c r="M4" s="3560"/>
      <c r="N4" s="3560"/>
      <c r="O4" s="3560"/>
      <c r="P4" s="3560"/>
      <c r="Q4" s="3560"/>
      <c r="R4" s="3560"/>
      <c r="S4" s="3560"/>
      <c r="U4" s="3578" t="s">
        <v>3509</v>
      </c>
      <c r="V4" s="3578" t="s">
        <v>3490</v>
      </c>
      <c r="W4" s="3578">
        <v>107.53</v>
      </c>
      <c r="X4" s="3578"/>
      <c r="Y4" s="3578">
        <v>6</v>
      </c>
      <c r="Z4" s="3578">
        <v>5</v>
      </c>
      <c r="AA4" s="3578">
        <v>2005</v>
      </c>
      <c r="AB4" s="3578"/>
      <c r="AC4" s="3578">
        <v>22784</v>
      </c>
      <c r="AD4" s="3579">
        <v>46113</v>
      </c>
      <c r="AE4" s="1405" t="s">
        <v>4115</v>
      </c>
      <c r="AF4" s="1405" t="s">
        <v>4116</v>
      </c>
    </row>
    <row r="5" spans="1:35" ht="15.75" thickBot="1">
      <c r="A5" s="3565">
        <v>1</v>
      </c>
      <c r="B5" s="3594" t="s">
        <v>3483</v>
      </c>
      <c r="C5" s="3595">
        <v>107.54</v>
      </c>
      <c r="D5" s="3594" t="s">
        <v>3484</v>
      </c>
      <c r="E5" s="3594" t="s">
        <v>4115</v>
      </c>
      <c r="F5" s="3594">
        <v>4</v>
      </c>
      <c r="G5" s="3594" t="s">
        <v>4116</v>
      </c>
      <c r="H5" s="3594">
        <v>6</v>
      </c>
      <c r="I5" s="3594"/>
      <c r="J5" s="3594" t="s">
        <v>3480</v>
      </c>
      <c r="K5" s="3594" t="s">
        <v>3486</v>
      </c>
      <c r="L5" s="3596" t="s">
        <v>3514</v>
      </c>
      <c r="M5" s="3594" t="s">
        <v>3487</v>
      </c>
      <c r="N5" s="3594" t="s">
        <v>3488</v>
      </c>
      <c r="O5" s="3597" t="s">
        <v>3489</v>
      </c>
      <c r="P5" s="3594">
        <v>2005</v>
      </c>
      <c r="Q5" s="3594" t="s">
        <v>3490</v>
      </c>
      <c r="R5" s="3595">
        <v>41118</v>
      </c>
      <c r="S5" s="3598">
        <v>45220</v>
      </c>
      <c r="U5" s="3214" t="s">
        <v>3509</v>
      </c>
      <c r="V5" s="3214" t="s">
        <v>3490</v>
      </c>
      <c r="W5" s="3214">
        <v>60.7</v>
      </c>
      <c r="X5" s="3214" t="s">
        <v>3402</v>
      </c>
      <c r="Y5" s="3214">
        <v>14</v>
      </c>
      <c r="Z5" s="3214">
        <v>13</v>
      </c>
      <c r="AA5" s="3214">
        <v>2006</v>
      </c>
      <c r="AB5" s="3214" t="s">
        <v>633</v>
      </c>
      <c r="AC5" s="3214">
        <v>21746</v>
      </c>
      <c r="AD5" s="3215">
        <v>46055</v>
      </c>
    </row>
    <row r="6" spans="1:35" ht="15.75" thickBot="1">
      <c r="A6" s="3185">
        <v>2</v>
      </c>
      <c r="B6" s="3565" t="s">
        <v>3509</v>
      </c>
      <c r="C6" s="3566">
        <v>89.73</v>
      </c>
      <c r="D6" s="3565" t="s">
        <v>3484</v>
      </c>
      <c r="E6" s="3565" t="s">
        <v>4123</v>
      </c>
      <c r="F6" s="3565">
        <v>9</v>
      </c>
      <c r="G6" s="3565" t="s">
        <v>3484</v>
      </c>
      <c r="H6" s="3565">
        <v>16</v>
      </c>
      <c r="I6" s="3565"/>
      <c r="J6" s="3565" t="s">
        <v>3480</v>
      </c>
      <c r="K6" s="3565" t="s">
        <v>3486</v>
      </c>
      <c r="L6" s="3593" t="s">
        <v>3514</v>
      </c>
      <c r="M6" s="3565" t="s">
        <v>3487</v>
      </c>
      <c r="N6" s="3565" t="s">
        <v>3488</v>
      </c>
      <c r="O6" s="3568" t="s">
        <v>3489</v>
      </c>
      <c r="P6" s="3565">
        <v>2005</v>
      </c>
      <c r="Q6" s="3565" t="s">
        <v>3490</v>
      </c>
      <c r="R6" s="3566">
        <v>36220</v>
      </c>
      <c r="S6" s="3567">
        <v>45120</v>
      </c>
      <c r="U6" s="3212" t="s">
        <v>3509</v>
      </c>
      <c r="V6" s="3212" t="s">
        <v>3490</v>
      </c>
      <c r="W6" s="3212">
        <v>41.95</v>
      </c>
      <c r="X6" s="3212" t="s">
        <v>3402</v>
      </c>
      <c r="Y6" s="3212">
        <v>14</v>
      </c>
      <c r="Z6" s="3212">
        <v>1</v>
      </c>
      <c r="AA6" s="3212" t="s">
        <v>633</v>
      </c>
      <c r="AB6" s="3212">
        <v>2006</v>
      </c>
      <c r="AC6" s="3212">
        <v>17235</v>
      </c>
      <c r="AD6" s="3213">
        <v>45993</v>
      </c>
    </row>
    <row r="7" spans="1:35" ht="15.75" thickBot="1">
      <c r="A7" s="3185">
        <v>3</v>
      </c>
      <c r="B7" s="3594" t="s">
        <v>3509</v>
      </c>
      <c r="C7" s="3595">
        <v>112.3</v>
      </c>
      <c r="D7" s="3594" t="s">
        <v>3484</v>
      </c>
      <c r="E7" s="3594" t="s">
        <v>3491</v>
      </c>
      <c r="F7" s="3594">
        <v>2</v>
      </c>
      <c r="G7" s="3594"/>
      <c r="H7" s="3594"/>
      <c r="I7" s="3594"/>
      <c r="J7" s="3594" t="s">
        <v>3480</v>
      </c>
      <c r="K7" s="3594" t="s">
        <v>3492</v>
      </c>
      <c r="L7" s="3596" t="s">
        <v>3514</v>
      </c>
      <c r="M7" s="3594" t="s">
        <v>3487</v>
      </c>
      <c r="N7" s="3594" t="s">
        <v>3488</v>
      </c>
      <c r="O7" s="3597" t="s">
        <v>3489</v>
      </c>
      <c r="P7" s="3594">
        <v>2005</v>
      </c>
      <c r="Q7" s="3594" t="s">
        <v>3490</v>
      </c>
      <c r="R7" s="3595">
        <v>34550</v>
      </c>
      <c r="S7" s="3598">
        <v>45010</v>
      </c>
      <c r="U7" s="3212" t="s">
        <v>3509</v>
      </c>
      <c r="V7" s="3212" t="s">
        <v>3490</v>
      </c>
      <c r="W7" s="3212">
        <v>192.18</v>
      </c>
      <c r="X7" s="3212" t="s">
        <v>3402</v>
      </c>
      <c r="Y7" s="3212">
        <v>6</v>
      </c>
      <c r="Z7" s="3212">
        <v>6</v>
      </c>
      <c r="AA7" s="3212" t="s">
        <v>633</v>
      </c>
      <c r="AB7" s="3212">
        <v>2005</v>
      </c>
      <c r="AC7" s="3212">
        <v>19596</v>
      </c>
      <c r="AD7" s="3213">
        <v>45925</v>
      </c>
    </row>
    <row r="8" spans="1:35" ht="30.75" thickBot="1">
      <c r="A8" s="3185">
        <v>4</v>
      </c>
      <c r="B8" s="3594" t="s">
        <v>3496</v>
      </c>
      <c r="C8" s="3595">
        <v>63.6</v>
      </c>
      <c r="D8" s="3594" t="s">
        <v>3478</v>
      </c>
      <c r="E8" s="3594" t="s">
        <v>3491</v>
      </c>
      <c r="F8" s="3594">
        <v>2</v>
      </c>
      <c r="G8" s="3594"/>
      <c r="H8" s="3594"/>
      <c r="I8" s="3594"/>
      <c r="J8" s="3594" t="s">
        <v>3480</v>
      </c>
      <c r="K8" s="3594" t="s">
        <v>3497</v>
      </c>
      <c r="L8" s="3596" t="s">
        <v>3498</v>
      </c>
      <c r="M8" s="3594" t="s">
        <v>3487</v>
      </c>
      <c r="N8" s="3594" t="s">
        <v>3488</v>
      </c>
      <c r="O8" s="3597" t="s">
        <v>3489</v>
      </c>
      <c r="P8" s="3594">
        <v>2009</v>
      </c>
      <c r="Q8" s="3594" t="s">
        <v>3490</v>
      </c>
      <c r="R8" s="3595">
        <v>26840</v>
      </c>
      <c r="S8" s="3598">
        <v>45265</v>
      </c>
      <c r="U8" s="3578" t="s">
        <v>3510</v>
      </c>
      <c r="V8" s="3578" t="s">
        <v>3628</v>
      </c>
      <c r="W8" s="3578">
        <v>63.58</v>
      </c>
      <c r="X8" s="3578" t="s">
        <v>3402</v>
      </c>
      <c r="Y8" s="3578" t="s">
        <v>3629</v>
      </c>
      <c r="Z8" s="3578">
        <v>14</v>
      </c>
      <c r="AA8" s="3578" t="s">
        <v>633</v>
      </c>
      <c r="AB8" s="3578">
        <v>2010</v>
      </c>
      <c r="AC8" s="3578">
        <v>23592</v>
      </c>
      <c r="AD8" s="3579">
        <v>46094</v>
      </c>
      <c r="AE8" s="1405" t="s">
        <v>4117</v>
      </c>
      <c r="AF8" s="1405" t="s">
        <v>4118</v>
      </c>
    </row>
    <row r="9" spans="1:35" ht="15.75" thickBot="1">
      <c r="A9" s="3185">
        <v>5</v>
      </c>
      <c r="B9" s="3594" t="s">
        <v>3510</v>
      </c>
      <c r="C9" s="3595">
        <v>63.86</v>
      </c>
      <c r="D9" s="3594" t="s">
        <v>3484</v>
      </c>
      <c r="E9" s="3594" t="s">
        <v>3493</v>
      </c>
      <c r="F9" s="3594">
        <v>2</v>
      </c>
      <c r="G9" s="3594"/>
      <c r="H9" s="3594"/>
      <c r="I9" s="3594"/>
      <c r="J9" s="3594" t="s">
        <v>3480</v>
      </c>
      <c r="K9" s="3594" t="s">
        <v>3499</v>
      </c>
      <c r="L9" s="3594">
        <v>6</v>
      </c>
      <c r="M9" s="3594" t="s">
        <v>3481</v>
      </c>
      <c r="N9" s="3594" t="s">
        <v>3500</v>
      </c>
      <c r="O9" s="3597" t="s">
        <v>3489</v>
      </c>
      <c r="P9" s="3594">
        <v>2009</v>
      </c>
      <c r="Q9" s="3594" t="s">
        <v>3490</v>
      </c>
      <c r="R9" s="3595">
        <v>27482</v>
      </c>
      <c r="S9" s="3598">
        <v>45213</v>
      </c>
      <c r="U9" s="3212" t="s">
        <v>3510</v>
      </c>
      <c r="V9" s="3212" t="s">
        <v>3490</v>
      </c>
      <c r="W9" s="3212">
        <v>72.150000000000006</v>
      </c>
      <c r="X9" s="3212" t="s">
        <v>3402</v>
      </c>
      <c r="Y9" s="3212">
        <v>6</v>
      </c>
      <c r="Z9" s="3212">
        <v>3</v>
      </c>
      <c r="AA9" s="3212">
        <v>2010</v>
      </c>
      <c r="AB9" s="3212" t="s">
        <v>633</v>
      </c>
      <c r="AC9" s="3212">
        <v>17394</v>
      </c>
      <c r="AD9" s="3213">
        <v>46027</v>
      </c>
    </row>
    <row r="10" spans="1:35" ht="30.75" thickBot="1">
      <c r="A10" s="3565">
        <v>6</v>
      </c>
      <c r="B10" s="3565" t="s">
        <v>3510</v>
      </c>
      <c r="C10" s="3566">
        <v>75.48</v>
      </c>
      <c r="D10" s="3565" t="s">
        <v>3478</v>
      </c>
      <c r="E10" s="3565" t="s">
        <v>4119</v>
      </c>
      <c r="F10" s="3565">
        <v>8</v>
      </c>
      <c r="G10" s="3565" t="s">
        <v>4118</v>
      </c>
      <c r="H10" s="3565">
        <v>12</v>
      </c>
      <c r="I10" s="3565"/>
      <c r="J10" s="3565" t="s">
        <v>3480</v>
      </c>
      <c r="K10" s="3565" t="s">
        <v>3492</v>
      </c>
      <c r="L10" s="3565">
        <v>21</v>
      </c>
      <c r="M10" s="3565" t="s">
        <v>3487</v>
      </c>
      <c r="N10" s="3565" t="s">
        <v>3501</v>
      </c>
      <c r="O10" s="3565" t="s">
        <v>3502</v>
      </c>
      <c r="P10" s="3565">
        <v>2012</v>
      </c>
      <c r="Q10" s="3565" t="s">
        <v>3490</v>
      </c>
      <c r="R10" s="3566">
        <v>35109</v>
      </c>
      <c r="S10" s="3567">
        <v>45243</v>
      </c>
      <c r="U10" s="3212" t="s">
        <v>3633</v>
      </c>
      <c r="V10" s="3212" t="s">
        <v>3490</v>
      </c>
      <c r="W10" s="3212">
        <v>86.18</v>
      </c>
      <c r="X10" s="3212" t="s">
        <v>3402</v>
      </c>
      <c r="Y10" s="3212" t="s">
        <v>3634</v>
      </c>
      <c r="Z10" s="3212">
        <v>3</v>
      </c>
      <c r="AA10" s="3212" t="s">
        <v>633</v>
      </c>
      <c r="AB10" s="3212">
        <v>2010</v>
      </c>
      <c r="AC10" s="3212">
        <v>28545</v>
      </c>
      <c r="AD10" s="3213">
        <v>45940</v>
      </c>
    </row>
    <row r="11" spans="1:35" ht="30.75" thickBot="1">
      <c r="A11" s="3565">
        <v>7</v>
      </c>
      <c r="B11" s="3594" t="s">
        <v>3503</v>
      </c>
      <c r="C11" s="3595">
        <v>71.55</v>
      </c>
      <c r="D11" s="3594" t="s">
        <v>3484</v>
      </c>
      <c r="E11" s="3594" t="s">
        <v>3493</v>
      </c>
      <c r="F11" s="3594">
        <v>20</v>
      </c>
      <c r="G11" s="3594" t="s">
        <v>4118</v>
      </c>
      <c r="H11" s="3594">
        <v>20</v>
      </c>
      <c r="I11" s="3594"/>
      <c r="J11" s="3594" t="s">
        <v>3480</v>
      </c>
      <c r="K11" s="3594" t="s">
        <v>3497</v>
      </c>
      <c r="L11" s="3594">
        <v>21</v>
      </c>
      <c r="M11" s="3594" t="s">
        <v>3487</v>
      </c>
      <c r="N11" s="3594" t="s">
        <v>3501</v>
      </c>
      <c r="O11" s="3594" t="s">
        <v>3504</v>
      </c>
      <c r="P11" s="3594">
        <v>2015</v>
      </c>
      <c r="Q11" s="3594" t="s">
        <v>3490</v>
      </c>
      <c r="R11" s="3595">
        <v>40252</v>
      </c>
      <c r="S11" s="3598">
        <v>45210</v>
      </c>
      <c r="U11" s="3566" t="s">
        <v>3511</v>
      </c>
      <c r="V11" s="3566" t="s">
        <v>3490</v>
      </c>
      <c r="W11" s="3566">
        <v>92.67</v>
      </c>
      <c r="X11" s="3566" t="s">
        <v>3402</v>
      </c>
      <c r="Y11" s="3566" t="s">
        <v>3526</v>
      </c>
      <c r="Z11" s="3566">
        <v>16</v>
      </c>
      <c r="AA11" s="3566">
        <v>2015</v>
      </c>
      <c r="AB11" s="3566"/>
      <c r="AC11" s="3566">
        <v>28057</v>
      </c>
      <c r="AD11" s="3567">
        <v>46058</v>
      </c>
      <c r="AE11" s="1405" t="s">
        <v>4119</v>
      </c>
      <c r="AF11" s="1405" t="s">
        <v>4118</v>
      </c>
    </row>
    <row r="12" spans="1:35" ht="30.75" thickBot="1">
      <c r="A12" s="3185">
        <v>8</v>
      </c>
      <c r="B12" s="3565" t="s">
        <v>3511</v>
      </c>
      <c r="C12" s="3566">
        <v>119.88</v>
      </c>
      <c r="D12" s="3565" t="s">
        <v>3484</v>
      </c>
      <c r="E12" s="3565" t="s">
        <v>3479</v>
      </c>
      <c r="F12" s="3565">
        <v>9</v>
      </c>
      <c r="G12" s="3565" t="s">
        <v>3484</v>
      </c>
      <c r="H12" s="3565">
        <v>20</v>
      </c>
      <c r="I12" s="3565"/>
      <c r="J12" s="3565" t="s">
        <v>3480</v>
      </c>
      <c r="K12" s="3565" t="s">
        <v>3499</v>
      </c>
      <c r="L12" s="3593" t="s">
        <v>3515</v>
      </c>
      <c r="M12" s="3565" t="s">
        <v>3487</v>
      </c>
      <c r="N12" s="3565" t="s">
        <v>3501</v>
      </c>
      <c r="O12" s="3565" t="s">
        <v>3505</v>
      </c>
      <c r="P12" s="3565">
        <v>2015</v>
      </c>
      <c r="Q12" s="3565" t="s">
        <v>3490</v>
      </c>
      <c r="R12" s="3566">
        <v>39790</v>
      </c>
      <c r="S12" s="3567">
        <v>45135</v>
      </c>
      <c r="U12" s="3212" t="s">
        <v>3511</v>
      </c>
      <c r="V12" s="3212" t="s">
        <v>3490</v>
      </c>
      <c r="W12" s="3212">
        <v>120.99</v>
      </c>
      <c r="X12" s="3212" t="s">
        <v>3402</v>
      </c>
      <c r="Y12" s="3212" t="s">
        <v>3528</v>
      </c>
      <c r="Z12" s="3212">
        <v>2</v>
      </c>
      <c r="AA12" s="3212">
        <v>2015</v>
      </c>
      <c r="AB12" s="3212"/>
      <c r="AC12" s="3212">
        <v>29093</v>
      </c>
      <c r="AD12" s="3213">
        <v>46021</v>
      </c>
    </row>
    <row r="13" spans="1:35" ht="30.75" thickBot="1">
      <c r="A13" s="3185">
        <v>9</v>
      </c>
      <c r="B13" s="3594" t="s">
        <v>3511</v>
      </c>
      <c r="C13" s="3599">
        <v>173.27</v>
      </c>
      <c r="D13" s="3594" t="s">
        <v>3494</v>
      </c>
      <c r="E13" s="3594" t="s">
        <v>3479</v>
      </c>
      <c r="F13" s="3594">
        <v>2</v>
      </c>
      <c r="G13" s="3594"/>
      <c r="H13" s="3594"/>
      <c r="I13" s="3594"/>
      <c r="J13" s="3594" t="s">
        <v>3480</v>
      </c>
      <c r="K13" s="3594" t="s">
        <v>3508</v>
      </c>
      <c r="L13" s="3596" t="s">
        <v>3515</v>
      </c>
      <c r="M13" s="3594" t="s">
        <v>3487</v>
      </c>
      <c r="N13" s="3594" t="s">
        <v>3501</v>
      </c>
      <c r="O13" s="3594" t="s">
        <v>3504</v>
      </c>
      <c r="P13" s="3594">
        <v>2015</v>
      </c>
      <c r="Q13" s="3594" t="s">
        <v>3490</v>
      </c>
      <c r="R13" s="3599">
        <v>42419</v>
      </c>
      <c r="S13" s="3600">
        <v>45122</v>
      </c>
      <c r="U13" s="3212" t="s">
        <v>3511</v>
      </c>
      <c r="V13" s="3212" t="s">
        <v>3490</v>
      </c>
      <c r="W13" s="3212">
        <v>121.03</v>
      </c>
      <c r="X13" s="3212" t="s">
        <v>3402</v>
      </c>
      <c r="Y13" s="3212" t="s">
        <v>3530</v>
      </c>
      <c r="Z13" s="3212">
        <v>4</v>
      </c>
      <c r="AA13" s="3212">
        <v>2016</v>
      </c>
      <c r="AB13" s="3212"/>
      <c r="AC13" s="3212">
        <v>28241</v>
      </c>
      <c r="AD13" s="3213">
        <v>46020</v>
      </c>
    </row>
    <row r="14" spans="1:35">
      <c r="R14" s="3209">
        <f>AVERAGE(R5:R13)</f>
        <v>35975.555555555555</v>
      </c>
      <c r="U14" s="3209"/>
      <c r="AC14" s="3216">
        <f>AVERAGE(AC5:AC13)</f>
        <v>23722.111111111109</v>
      </c>
      <c r="AG14">
        <f>R14-AC14</f>
        <v>12253.444444444445</v>
      </c>
      <c r="AH14">
        <f>AG14*0.85</f>
        <v>10415.427777777779</v>
      </c>
      <c r="AI14">
        <f>29000-AH14</f>
        <v>18584.572222222221</v>
      </c>
    </row>
    <row r="15" spans="1:35">
      <c r="AC15">
        <f>AC14*0.85</f>
        <v>20163.794444444444</v>
      </c>
    </row>
    <row r="20" spans="1:43" ht="14.25" thickBot="1"/>
    <row r="21" spans="1:43" ht="15.75" thickBot="1">
      <c r="A21" s="3192" t="s">
        <v>3456</v>
      </c>
      <c r="B21" s="3192" t="s">
        <v>3516</v>
      </c>
      <c r="C21" s="3192" t="s">
        <v>3517</v>
      </c>
      <c r="D21" s="3192" t="s">
        <v>3468</v>
      </c>
      <c r="E21" s="3192" t="s">
        <v>3458</v>
      </c>
      <c r="F21" s="3192" t="s">
        <v>3518</v>
      </c>
      <c r="G21" s="3192" t="s">
        <v>3519</v>
      </c>
      <c r="H21" s="3192" t="s">
        <v>3476</v>
      </c>
      <c r="I21" s="3192" t="s">
        <v>3521</v>
      </c>
      <c r="J21" s="3192" t="s">
        <v>3470</v>
      </c>
      <c r="K21" s="3192" t="s">
        <v>3522</v>
      </c>
      <c r="L21" s="3192" t="s">
        <v>3523</v>
      </c>
      <c r="M21" s="3192" t="s">
        <v>3524</v>
      </c>
      <c r="O21" s="3192" t="s">
        <v>3456</v>
      </c>
      <c r="P21" s="3192" t="s">
        <v>3516</v>
      </c>
      <c r="Q21" s="3192" t="s">
        <v>3517</v>
      </c>
      <c r="R21" s="3192" t="s">
        <v>3468</v>
      </c>
      <c r="S21" s="3192" t="s">
        <v>3458</v>
      </c>
      <c r="T21" s="3192" t="s">
        <v>3518</v>
      </c>
      <c r="U21" s="3192" t="s">
        <v>3519</v>
      </c>
      <c r="V21" s="3192" t="s">
        <v>3476</v>
      </c>
      <c r="W21" s="3192" t="s">
        <v>3625</v>
      </c>
      <c r="X21" s="3192" t="s">
        <v>3626</v>
      </c>
      <c r="Y21" s="3192" t="s">
        <v>3470</v>
      </c>
      <c r="Z21" s="3192" t="s">
        <v>3523</v>
      </c>
      <c r="AA21" s="3192" t="s">
        <v>3524</v>
      </c>
      <c r="AB21" s="3192" t="s">
        <v>3524</v>
      </c>
      <c r="AD21" s="3192" t="s">
        <v>3456</v>
      </c>
      <c r="AE21" s="3192" t="s">
        <v>3516</v>
      </c>
      <c r="AF21" s="3192" t="s">
        <v>3517</v>
      </c>
      <c r="AG21" s="3192" t="s">
        <v>3468</v>
      </c>
      <c r="AH21" s="3192" t="s">
        <v>3458</v>
      </c>
      <c r="AI21" s="3192" t="s">
        <v>3518</v>
      </c>
      <c r="AJ21" s="3192" t="s">
        <v>3519</v>
      </c>
      <c r="AK21" s="3192" t="s">
        <v>3476</v>
      </c>
      <c r="AL21" s="3192" t="s">
        <v>3625</v>
      </c>
      <c r="AM21" s="3192" t="s">
        <v>3626</v>
      </c>
      <c r="AN21" s="3192" t="s">
        <v>3470</v>
      </c>
      <c r="AO21" s="3192" t="s">
        <v>3523</v>
      </c>
      <c r="AP21" s="3192" t="s">
        <v>3524</v>
      </c>
      <c r="AQ21" s="3192" t="s">
        <v>3524</v>
      </c>
    </row>
    <row r="22" spans="1:43" ht="60.75" thickBot="1">
      <c r="A22" s="3186">
        <v>1</v>
      </c>
      <c r="B22" s="3212" t="s">
        <v>3525</v>
      </c>
      <c r="C22" s="3212" t="s">
        <v>3511</v>
      </c>
      <c r="D22" s="3212" t="s">
        <v>3490</v>
      </c>
      <c r="E22" s="3212">
        <v>92.67</v>
      </c>
      <c r="F22" s="3212" t="s">
        <v>3402</v>
      </c>
      <c r="G22" s="3212" t="s">
        <v>3526</v>
      </c>
      <c r="H22" s="3212">
        <v>16</v>
      </c>
      <c r="I22" s="3212">
        <v>2015</v>
      </c>
      <c r="J22" s="3212">
        <v>28057</v>
      </c>
      <c r="K22" s="3212">
        <v>28294</v>
      </c>
      <c r="L22" s="3212">
        <v>2622005</v>
      </c>
      <c r="M22" s="3213">
        <v>46058</v>
      </c>
      <c r="O22" s="3214">
        <v>1</v>
      </c>
      <c r="P22" s="3214" t="s">
        <v>3585</v>
      </c>
      <c r="Q22" s="3214" t="s">
        <v>3509</v>
      </c>
      <c r="R22" s="3214" t="s">
        <v>3490</v>
      </c>
      <c r="S22" s="3214">
        <v>60.7</v>
      </c>
      <c r="T22" s="3214" t="s">
        <v>3402</v>
      </c>
      <c r="U22" s="3214">
        <v>14</v>
      </c>
      <c r="V22" s="3214">
        <v>13</v>
      </c>
      <c r="W22" s="3214">
        <v>2006</v>
      </c>
      <c r="X22" s="3214" t="s">
        <v>633</v>
      </c>
      <c r="Y22" s="3214">
        <v>21746</v>
      </c>
      <c r="Z22" s="3214">
        <v>21870</v>
      </c>
      <c r="AA22" s="3214">
        <v>1327509</v>
      </c>
      <c r="AB22" s="3215">
        <v>46055</v>
      </c>
      <c r="AD22" s="3214">
        <v>1</v>
      </c>
      <c r="AE22" s="3214" t="s">
        <v>3627</v>
      </c>
      <c r="AF22" s="3214" t="s">
        <v>3510</v>
      </c>
      <c r="AG22" s="3214" t="s">
        <v>3628</v>
      </c>
      <c r="AH22" s="3214">
        <v>63.58</v>
      </c>
      <c r="AI22" s="3214" t="s">
        <v>3402</v>
      </c>
      <c r="AJ22" s="3214" t="s">
        <v>3629</v>
      </c>
      <c r="AK22" s="3214">
        <v>14</v>
      </c>
      <c r="AL22" s="3214" t="s">
        <v>633</v>
      </c>
      <c r="AM22" s="3214">
        <v>2010</v>
      </c>
      <c r="AN22" s="3214">
        <v>23592</v>
      </c>
      <c r="AO22" s="3214">
        <v>22053</v>
      </c>
      <c r="AP22" s="3214">
        <v>1402130</v>
      </c>
      <c r="AQ22" s="3215">
        <v>46094</v>
      </c>
    </row>
    <row r="23" spans="1:43" ht="45.75" thickBot="1">
      <c r="A23" s="3188">
        <v>2</v>
      </c>
      <c r="B23" s="3212" t="s">
        <v>3527</v>
      </c>
      <c r="C23" s="3212" t="s">
        <v>3511</v>
      </c>
      <c r="D23" s="3212" t="s">
        <v>3490</v>
      </c>
      <c r="E23" s="3212">
        <v>120.99</v>
      </c>
      <c r="F23" s="3212" t="s">
        <v>3402</v>
      </c>
      <c r="G23" s="3212" t="s">
        <v>3528</v>
      </c>
      <c r="H23" s="3212">
        <v>2</v>
      </c>
      <c r="I23" s="3212">
        <v>2015</v>
      </c>
      <c r="J23" s="3212">
        <v>29093</v>
      </c>
      <c r="K23" s="3212">
        <v>27647</v>
      </c>
      <c r="L23" s="3212">
        <v>3345011</v>
      </c>
      <c r="M23" s="3213">
        <v>46021</v>
      </c>
      <c r="O23" s="3212">
        <v>2</v>
      </c>
      <c r="P23" s="3212" t="s">
        <v>3586</v>
      </c>
      <c r="Q23" s="3212" t="s">
        <v>3509</v>
      </c>
      <c r="R23" s="3212" t="s">
        <v>3490</v>
      </c>
      <c r="S23" s="3212">
        <v>41.95</v>
      </c>
      <c r="T23" s="3212" t="s">
        <v>3402</v>
      </c>
      <c r="U23" s="3212">
        <v>14</v>
      </c>
      <c r="V23" s="3212">
        <v>1</v>
      </c>
      <c r="W23" s="3212" t="s">
        <v>633</v>
      </c>
      <c r="X23" s="3212">
        <v>2006</v>
      </c>
      <c r="Y23" s="3212">
        <v>17235</v>
      </c>
      <c r="Z23" s="3212">
        <v>17352</v>
      </c>
      <c r="AA23" s="3212">
        <v>727916</v>
      </c>
      <c r="AB23" s="3213">
        <v>45993</v>
      </c>
      <c r="AD23" s="3212">
        <v>3</v>
      </c>
      <c r="AE23" s="3212" t="s">
        <v>3631</v>
      </c>
      <c r="AF23" s="3212" t="s">
        <v>3510</v>
      </c>
      <c r="AG23" s="3212" t="s">
        <v>3490</v>
      </c>
      <c r="AH23" s="3212">
        <v>72.150000000000006</v>
      </c>
      <c r="AI23" s="3212" t="s">
        <v>3402</v>
      </c>
      <c r="AJ23" s="3212">
        <v>6</v>
      </c>
      <c r="AK23" s="3212">
        <v>3</v>
      </c>
      <c r="AL23" s="3212">
        <v>2010</v>
      </c>
      <c r="AM23" s="3212" t="s">
        <v>633</v>
      </c>
      <c r="AN23" s="3212">
        <v>17394</v>
      </c>
      <c r="AO23" s="3212">
        <v>17536</v>
      </c>
      <c r="AP23" s="3212">
        <v>1265222</v>
      </c>
      <c r="AQ23" s="3213">
        <v>46027</v>
      </c>
    </row>
    <row r="24" spans="1:43" ht="60.75" thickBot="1">
      <c r="A24" s="3186">
        <v>3</v>
      </c>
      <c r="B24" s="3212" t="s">
        <v>3529</v>
      </c>
      <c r="C24" s="3212" t="s">
        <v>3511</v>
      </c>
      <c r="D24" s="3212" t="s">
        <v>3490</v>
      </c>
      <c r="E24" s="3212">
        <v>121.03</v>
      </c>
      <c r="F24" s="3212" t="s">
        <v>3402</v>
      </c>
      <c r="G24" s="3212" t="s">
        <v>3530</v>
      </c>
      <c r="H24" s="3212">
        <v>4</v>
      </c>
      <c r="I24" s="3212">
        <v>2016</v>
      </c>
      <c r="J24" s="3212">
        <v>28241</v>
      </c>
      <c r="K24" s="3212">
        <v>28346</v>
      </c>
      <c r="L24" s="3212">
        <v>3430716</v>
      </c>
      <c r="M24" s="3213">
        <v>46020</v>
      </c>
      <c r="O24" s="3212">
        <v>3</v>
      </c>
      <c r="P24" s="3212" t="s">
        <v>3587</v>
      </c>
      <c r="Q24" s="3212" t="s">
        <v>3509</v>
      </c>
      <c r="R24" s="3212" t="s">
        <v>3490</v>
      </c>
      <c r="S24" s="3212">
        <v>192.18</v>
      </c>
      <c r="T24" s="3212" t="s">
        <v>3402</v>
      </c>
      <c r="U24" s="3212">
        <v>6</v>
      </c>
      <c r="V24" s="3212">
        <v>6</v>
      </c>
      <c r="W24" s="3212" t="s">
        <v>633</v>
      </c>
      <c r="X24" s="3212">
        <v>2005</v>
      </c>
      <c r="Y24" s="3212">
        <v>19596</v>
      </c>
      <c r="Z24" s="3212">
        <v>19642</v>
      </c>
      <c r="AA24" s="3212">
        <v>3774800</v>
      </c>
      <c r="AB24" s="3213">
        <v>45925</v>
      </c>
      <c r="AD24" s="3212">
        <v>5</v>
      </c>
      <c r="AE24" s="3212" t="s">
        <v>3632</v>
      </c>
      <c r="AF24" s="3212" t="s">
        <v>3633</v>
      </c>
      <c r="AG24" s="3212" t="s">
        <v>3490</v>
      </c>
      <c r="AH24" s="3212">
        <v>86.18</v>
      </c>
      <c r="AI24" s="3212" t="s">
        <v>3402</v>
      </c>
      <c r="AJ24" s="3212" t="s">
        <v>3634</v>
      </c>
      <c r="AK24" s="3212">
        <v>3</v>
      </c>
      <c r="AL24" s="3212" t="s">
        <v>633</v>
      </c>
      <c r="AM24" s="3212">
        <v>2010</v>
      </c>
      <c r="AN24" s="3212">
        <v>28545</v>
      </c>
      <c r="AO24" s="3212">
        <v>26437</v>
      </c>
      <c r="AP24" s="3212">
        <v>2278341</v>
      </c>
      <c r="AQ24" s="3213">
        <v>45940</v>
      </c>
    </row>
    <row r="25" spans="1:43" ht="60.75" thickBot="1">
      <c r="A25" s="3188">
        <v>4</v>
      </c>
      <c r="B25" s="3188" t="s">
        <v>3531</v>
      </c>
      <c r="C25" s="3188" t="s">
        <v>3511</v>
      </c>
      <c r="D25" s="3188" t="s">
        <v>3490</v>
      </c>
      <c r="E25" s="3188">
        <v>140.32</v>
      </c>
      <c r="F25" s="3188" t="s">
        <v>3402</v>
      </c>
      <c r="G25" s="3188" t="s">
        <v>3528</v>
      </c>
      <c r="H25" s="3188">
        <v>17</v>
      </c>
      <c r="I25" s="3188">
        <v>2015</v>
      </c>
      <c r="J25" s="3188">
        <v>29148</v>
      </c>
      <c r="K25" s="3188">
        <v>28550</v>
      </c>
      <c r="L25" s="3188">
        <v>4006136</v>
      </c>
      <c r="M25" s="3189">
        <v>46014</v>
      </c>
      <c r="O25" s="3188">
        <v>4</v>
      </c>
      <c r="P25" s="3188" t="s">
        <v>3588</v>
      </c>
      <c r="Q25" s="3188" t="s">
        <v>3509</v>
      </c>
      <c r="R25" s="3188" t="s">
        <v>3490</v>
      </c>
      <c r="S25" s="3188">
        <v>119.87</v>
      </c>
      <c r="T25" s="3188" t="s">
        <v>3402</v>
      </c>
      <c r="U25" s="3188" t="s">
        <v>3589</v>
      </c>
      <c r="V25" s="3188">
        <v>3</v>
      </c>
      <c r="W25" s="3188" t="s">
        <v>633</v>
      </c>
      <c r="X25" s="3188">
        <v>2005</v>
      </c>
      <c r="Y25" s="3188">
        <v>31284</v>
      </c>
      <c r="Z25" s="3188">
        <v>31361</v>
      </c>
      <c r="AA25" s="3188">
        <v>3759243</v>
      </c>
      <c r="AB25" s="3189">
        <v>45905</v>
      </c>
      <c r="AD25" s="3188">
        <v>6</v>
      </c>
      <c r="AE25" s="3188" t="s">
        <v>3635</v>
      </c>
      <c r="AF25" s="3188" t="s">
        <v>3510</v>
      </c>
      <c r="AG25" s="3188" t="s">
        <v>3490</v>
      </c>
      <c r="AH25" s="3188">
        <v>51.49</v>
      </c>
      <c r="AI25" s="3188" t="s">
        <v>3402</v>
      </c>
      <c r="AJ25" s="3188" t="s">
        <v>3636</v>
      </c>
      <c r="AK25" s="3188">
        <v>1</v>
      </c>
      <c r="AL25" s="3188" t="s">
        <v>633</v>
      </c>
      <c r="AM25" s="3188">
        <v>2010</v>
      </c>
      <c r="AN25" s="3188">
        <v>26024</v>
      </c>
      <c r="AO25" s="3188">
        <v>26128</v>
      </c>
      <c r="AP25" s="3188">
        <v>1345331</v>
      </c>
      <c r="AQ25" s="3189">
        <v>45927</v>
      </c>
    </row>
    <row r="26" spans="1:43" ht="60.75" thickBot="1">
      <c r="A26" s="3186">
        <v>5</v>
      </c>
      <c r="B26" s="3186" t="s">
        <v>3532</v>
      </c>
      <c r="C26" s="3186" t="s">
        <v>3511</v>
      </c>
      <c r="D26" s="3186" t="s">
        <v>3490</v>
      </c>
      <c r="E26" s="3186">
        <v>93.45</v>
      </c>
      <c r="F26" s="3186" t="s">
        <v>3402</v>
      </c>
      <c r="G26" s="3186" t="s">
        <v>3526</v>
      </c>
      <c r="H26" s="3186">
        <v>17</v>
      </c>
      <c r="I26" s="3186">
        <v>2015</v>
      </c>
      <c r="J26" s="3186">
        <v>29213</v>
      </c>
      <c r="K26" s="3186">
        <v>29566</v>
      </c>
      <c r="L26" s="3186">
        <v>2762943</v>
      </c>
      <c r="M26" s="3187">
        <v>46009</v>
      </c>
      <c r="O26" s="3186">
        <v>5</v>
      </c>
      <c r="P26" s="3186" t="s">
        <v>3590</v>
      </c>
      <c r="Q26" s="3186" t="s">
        <v>3509</v>
      </c>
      <c r="R26" s="3186" t="s">
        <v>3490</v>
      </c>
      <c r="S26" s="3186">
        <v>56.66</v>
      </c>
      <c r="T26" s="3186" t="s">
        <v>3402</v>
      </c>
      <c r="U26" s="3186">
        <v>14</v>
      </c>
      <c r="V26" s="3186">
        <v>9</v>
      </c>
      <c r="W26" s="3186">
        <v>2006</v>
      </c>
      <c r="X26" s="3186" t="s">
        <v>633</v>
      </c>
      <c r="Y26" s="3186">
        <v>27356</v>
      </c>
      <c r="Z26" s="3186">
        <v>27778</v>
      </c>
      <c r="AA26" s="3186">
        <v>1573901</v>
      </c>
      <c r="AB26" s="3187">
        <v>45812</v>
      </c>
      <c r="AD26" s="3188">
        <v>8</v>
      </c>
      <c r="AE26" s="3188" t="s">
        <v>3638</v>
      </c>
      <c r="AF26" s="3188" t="s">
        <v>3510</v>
      </c>
      <c r="AG26" s="3188" t="s">
        <v>3490</v>
      </c>
      <c r="AH26" s="3188">
        <v>65.92</v>
      </c>
      <c r="AI26" s="3188" t="s">
        <v>3402</v>
      </c>
      <c r="AJ26" s="3188">
        <v>6</v>
      </c>
      <c r="AK26" s="3188">
        <v>1</v>
      </c>
      <c r="AL26" s="3188" t="s">
        <v>633</v>
      </c>
      <c r="AM26" s="3188">
        <v>2010</v>
      </c>
      <c r="AN26" s="3188">
        <v>22451</v>
      </c>
      <c r="AO26" s="3188">
        <v>22601</v>
      </c>
      <c r="AP26" s="3188">
        <v>1489858</v>
      </c>
      <c r="AQ26" s="3189">
        <v>45873</v>
      </c>
    </row>
    <row r="27" spans="1:43" ht="60.75" thickBot="1">
      <c r="A27" s="3188">
        <v>6</v>
      </c>
      <c r="B27" s="3188" t="s">
        <v>3533</v>
      </c>
      <c r="C27" s="3188" t="s">
        <v>3511</v>
      </c>
      <c r="D27" s="3188" t="s">
        <v>3490</v>
      </c>
      <c r="E27" s="3188">
        <v>140.28</v>
      </c>
      <c r="F27" s="3188" t="s">
        <v>3402</v>
      </c>
      <c r="G27" s="3188" t="s">
        <v>3528</v>
      </c>
      <c r="H27" s="3188">
        <v>17</v>
      </c>
      <c r="I27" s="3188">
        <v>2015</v>
      </c>
      <c r="J27" s="3188">
        <v>0</v>
      </c>
      <c r="K27" s="3188">
        <v>27927</v>
      </c>
      <c r="L27" s="3188">
        <v>3917600</v>
      </c>
      <c r="M27" s="3189">
        <v>45969</v>
      </c>
      <c r="O27" s="3188">
        <v>6</v>
      </c>
      <c r="P27" s="3188" t="s">
        <v>3591</v>
      </c>
      <c r="Q27" s="3188" t="s">
        <v>3509</v>
      </c>
      <c r="R27" s="3188" t="s">
        <v>3490</v>
      </c>
      <c r="S27" s="3188">
        <v>168.16</v>
      </c>
      <c r="T27" s="3188" t="s">
        <v>3402</v>
      </c>
      <c r="U27" s="3188" t="s">
        <v>3589</v>
      </c>
      <c r="V27" s="3188">
        <f>-1-1</f>
        <v>-2</v>
      </c>
      <c r="W27" s="3188">
        <v>2005</v>
      </c>
      <c r="X27" s="3188" t="s">
        <v>633</v>
      </c>
      <c r="Y27" s="3188">
        <v>27950</v>
      </c>
      <c r="Z27" s="3188">
        <v>28197</v>
      </c>
      <c r="AA27" s="3188">
        <v>4741608</v>
      </c>
      <c r="AB27" s="3189">
        <v>45798</v>
      </c>
      <c r="AD27" s="3186">
        <v>9</v>
      </c>
      <c r="AE27" s="3186" t="s">
        <v>3639</v>
      </c>
      <c r="AF27" s="3186" t="s">
        <v>3510</v>
      </c>
      <c r="AG27" s="3186" t="s">
        <v>3628</v>
      </c>
      <c r="AH27" s="3186">
        <v>73.260000000000005</v>
      </c>
      <c r="AI27" s="3186" t="s">
        <v>3402</v>
      </c>
      <c r="AJ27" s="3186" t="s">
        <v>3629</v>
      </c>
      <c r="AK27" s="3186">
        <v>4</v>
      </c>
      <c r="AL27" s="3186" t="s">
        <v>633</v>
      </c>
      <c r="AM27" s="3186">
        <v>2010</v>
      </c>
      <c r="AN27" s="3186">
        <v>25253</v>
      </c>
      <c r="AO27" s="3186">
        <v>25295</v>
      </c>
      <c r="AP27" s="3186">
        <v>1853112</v>
      </c>
      <c r="AQ27" s="3187">
        <v>45838</v>
      </c>
    </row>
    <row r="28" spans="1:43" ht="60.75" thickBot="1">
      <c r="A28" s="3186">
        <v>7</v>
      </c>
      <c r="B28" s="3186" t="s">
        <v>3534</v>
      </c>
      <c r="C28" s="3186" t="s">
        <v>3511</v>
      </c>
      <c r="D28" s="3186" t="s">
        <v>3490</v>
      </c>
      <c r="E28" s="3186">
        <v>140.28</v>
      </c>
      <c r="F28" s="3186" t="s">
        <v>3402</v>
      </c>
      <c r="G28" s="3186">
        <v>24</v>
      </c>
      <c r="H28" s="3186">
        <v>20</v>
      </c>
      <c r="I28" s="3186">
        <v>2015</v>
      </c>
      <c r="J28" s="3186">
        <v>0</v>
      </c>
      <c r="K28" s="3186">
        <v>27780</v>
      </c>
      <c r="L28" s="3186">
        <v>3896978</v>
      </c>
      <c r="M28" s="3187">
        <v>45966</v>
      </c>
      <c r="O28" s="3186">
        <v>7</v>
      </c>
      <c r="P28" s="3186" t="s">
        <v>3592</v>
      </c>
      <c r="Q28" s="3186" t="s">
        <v>3509</v>
      </c>
      <c r="R28" s="3186" t="s">
        <v>3490</v>
      </c>
      <c r="S28" s="3186">
        <v>43.5</v>
      </c>
      <c r="T28" s="3186" t="s">
        <v>3402</v>
      </c>
      <c r="U28" s="3186">
        <v>6</v>
      </c>
      <c r="V28" s="3186">
        <v>4</v>
      </c>
      <c r="W28" s="3186">
        <v>2005</v>
      </c>
      <c r="X28" s="3186" t="s">
        <v>633</v>
      </c>
      <c r="Y28" s="3186">
        <v>25287</v>
      </c>
      <c r="Z28" s="3186">
        <v>25590</v>
      </c>
      <c r="AA28" s="3186">
        <v>1113165</v>
      </c>
      <c r="AB28" s="3187">
        <v>45798</v>
      </c>
      <c r="AD28" s="3188">
        <v>10</v>
      </c>
      <c r="AE28" s="3188" t="s">
        <v>3640</v>
      </c>
      <c r="AF28" s="3188" t="s">
        <v>3510</v>
      </c>
      <c r="AG28" s="3188" t="s">
        <v>3490</v>
      </c>
      <c r="AH28" s="3188">
        <v>63.29</v>
      </c>
      <c r="AI28" s="3188" t="s">
        <v>3402</v>
      </c>
      <c r="AJ28" s="3188" t="s">
        <v>3630</v>
      </c>
      <c r="AK28" s="3188">
        <v>10</v>
      </c>
      <c r="AL28" s="3188">
        <v>2012</v>
      </c>
      <c r="AM28" s="3188" t="s">
        <v>633</v>
      </c>
      <c r="AN28" s="3188">
        <v>21804</v>
      </c>
      <c r="AO28" s="3188">
        <v>21889</v>
      </c>
      <c r="AP28" s="3188">
        <v>1385355</v>
      </c>
      <c r="AQ28" s="3189">
        <v>45820</v>
      </c>
    </row>
    <row r="29" spans="1:43" ht="60.75" thickBot="1">
      <c r="A29" s="3188">
        <v>8</v>
      </c>
      <c r="B29" s="3188" t="s">
        <v>3535</v>
      </c>
      <c r="C29" s="3188" t="s">
        <v>3511</v>
      </c>
      <c r="D29" s="3188" t="s">
        <v>3490</v>
      </c>
      <c r="E29" s="3188">
        <v>121.1</v>
      </c>
      <c r="F29" s="3188" t="s">
        <v>3402</v>
      </c>
      <c r="G29" s="3188" t="s">
        <v>3528</v>
      </c>
      <c r="H29" s="3188">
        <v>7</v>
      </c>
      <c r="I29" s="3188">
        <v>2015</v>
      </c>
      <c r="J29" s="3188">
        <v>34228</v>
      </c>
      <c r="K29" s="3188">
        <v>33935</v>
      </c>
      <c r="L29" s="3188">
        <v>4109529</v>
      </c>
      <c r="M29" s="3189">
        <v>45819</v>
      </c>
      <c r="O29" s="3188">
        <v>8</v>
      </c>
      <c r="P29" s="3188" t="s">
        <v>3593</v>
      </c>
      <c r="Q29" s="3188" t="s">
        <v>3509</v>
      </c>
      <c r="R29" s="3188" t="s">
        <v>3490</v>
      </c>
      <c r="S29" s="3188">
        <v>59.06</v>
      </c>
      <c r="T29" s="3188" t="s">
        <v>3402</v>
      </c>
      <c r="U29" s="3188">
        <v>6</v>
      </c>
      <c r="V29" s="3188">
        <v>4</v>
      </c>
      <c r="W29" s="3188" t="s">
        <v>633</v>
      </c>
      <c r="X29" s="3188">
        <v>2005</v>
      </c>
      <c r="Y29" s="3188">
        <v>24043</v>
      </c>
      <c r="Z29" s="3188">
        <v>24238</v>
      </c>
      <c r="AA29" s="3188">
        <v>1431496</v>
      </c>
      <c r="AB29" s="3189">
        <v>45764</v>
      </c>
      <c r="AD29" s="3186">
        <v>11</v>
      </c>
      <c r="AE29" s="3186" t="s">
        <v>3641</v>
      </c>
      <c r="AF29" s="3186" t="s">
        <v>3510</v>
      </c>
      <c r="AG29" s="3186" t="s">
        <v>3628</v>
      </c>
      <c r="AH29" s="3186">
        <v>111.9</v>
      </c>
      <c r="AI29" s="3186" t="s">
        <v>3402</v>
      </c>
      <c r="AJ29" s="3186" t="s">
        <v>3629</v>
      </c>
      <c r="AK29" s="3186" t="s">
        <v>3642</v>
      </c>
      <c r="AL29" s="3186" t="s">
        <v>633</v>
      </c>
      <c r="AM29" s="3186">
        <v>2010</v>
      </c>
      <c r="AN29" s="3186">
        <v>32618</v>
      </c>
      <c r="AO29" s="3186">
        <v>32624</v>
      </c>
      <c r="AP29" s="3186">
        <v>3650626</v>
      </c>
      <c r="AQ29" s="3187">
        <v>45819</v>
      </c>
    </row>
    <row r="30" spans="1:43" ht="60.75" thickBot="1">
      <c r="A30" s="3186">
        <v>9</v>
      </c>
      <c r="B30" s="3186" t="s">
        <v>3536</v>
      </c>
      <c r="C30" s="3186" t="s">
        <v>3511</v>
      </c>
      <c r="D30" s="3186" t="s">
        <v>3490</v>
      </c>
      <c r="E30" s="3186">
        <v>121.02</v>
      </c>
      <c r="F30" s="3186" t="s">
        <v>3402</v>
      </c>
      <c r="G30" s="3186" t="s">
        <v>3528</v>
      </c>
      <c r="H30" s="3186">
        <v>3</v>
      </c>
      <c r="I30" s="3186">
        <v>2015</v>
      </c>
      <c r="J30" s="3186">
        <v>31565</v>
      </c>
      <c r="K30" s="3186">
        <v>31701</v>
      </c>
      <c r="L30" s="3186">
        <v>3836455</v>
      </c>
      <c r="M30" s="3187">
        <v>45800</v>
      </c>
      <c r="O30" s="3186">
        <v>9</v>
      </c>
      <c r="P30" s="3186" t="s">
        <v>3594</v>
      </c>
      <c r="Q30" s="3186" t="s">
        <v>3509</v>
      </c>
      <c r="R30" s="3186" t="s">
        <v>3490</v>
      </c>
      <c r="S30" s="3186">
        <v>107.62</v>
      </c>
      <c r="T30" s="3186" t="s">
        <v>3402</v>
      </c>
      <c r="U30" s="3186">
        <v>6</v>
      </c>
      <c r="V30" s="3186">
        <v>1</v>
      </c>
      <c r="W30" s="3186">
        <v>2005</v>
      </c>
      <c r="X30" s="3186" t="s">
        <v>633</v>
      </c>
      <c r="Y30" s="3186">
        <v>0</v>
      </c>
      <c r="Z30" s="3186">
        <v>25010</v>
      </c>
      <c r="AA30" s="3186">
        <v>2691576</v>
      </c>
      <c r="AB30" s="3187">
        <v>45741</v>
      </c>
      <c r="AD30" s="3188">
        <v>12</v>
      </c>
      <c r="AE30" s="3188" t="s">
        <v>3643</v>
      </c>
      <c r="AF30" s="3188" t="s">
        <v>3510</v>
      </c>
      <c r="AG30" s="3188" t="s">
        <v>3490</v>
      </c>
      <c r="AH30" s="3188">
        <v>74.540000000000006</v>
      </c>
      <c r="AI30" s="3188" t="s">
        <v>3402</v>
      </c>
      <c r="AJ30" s="3188" t="s">
        <v>3636</v>
      </c>
      <c r="AK30" s="3188">
        <v>1</v>
      </c>
      <c r="AL30" s="3188">
        <v>2010</v>
      </c>
      <c r="AM30" s="3188" t="s">
        <v>633</v>
      </c>
      <c r="AN30" s="3188">
        <v>24819</v>
      </c>
      <c r="AO30" s="3188">
        <v>24902</v>
      </c>
      <c r="AP30" s="3188">
        <v>1856195</v>
      </c>
      <c r="AQ30" s="3189">
        <v>45817</v>
      </c>
    </row>
    <row r="31" spans="1:43" ht="60.75" thickBot="1">
      <c r="A31" s="3188">
        <v>10</v>
      </c>
      <c r="B31" s="3188" t="s">
        <v>3537</v>
      </c>
      <c r="C31" s="3188" t="s">
        <v>3511</v>
      </c>
      <c r="D31" s="3188" t="s">
        <v>3490</v>
      </c>
      <c r="E31" s="3188">
        <v>220.32</v>
      </c>
      <c r="F31" s="3188" t="s">
        <v>3402</v>
      </c>
      <c r="G31" s="3188" t="s">
        <v>3538</v>
      </c>
      <c r="H31" s="3188">
        <v>8</v>
      </c>
      <c r="I31" s="3188">
        <v>2015</v>
      </c>
      <c r="J31" s="3188">
        <v>32680</v>
      </c>
      <c r="K31" s="3188">
        <v>32718</v>
      </c>
      <c r="L31" s="3188">
        <v>7208430</v>
      </c>
      <c r="M31" s="3189">
        <v>45798</v>
      </c>
      <c r="O31" s="3188">
        <v>10</v>
      </c>
      <c r="P31" s="3188" t="s">
        <v>3595</v>
      </c>
      <c r="Q31" s="3188" t="s">
        <v>3509</v>
      </c>
      <c r="R31" s="3188" t="s">
        <v>3490</v>
      </c>
      <c r="S31" s="3188">
        <v>52.85</v>
      </c>
      <c r="T31" s="3188" t="s">
        <v>3402</v>
      </c>
      <c r="U31" s="3188">
        <v>6</v>
      </c>
      <c r="V31" s="3188">
        <v>4</v>
      </c>
      <c r="W31" s="3188">
        <v>2005</v>
      </c>
      <c r="X31" s="3188" t="s">
        <v>633</v>
      </c>
      <c r="Y31" s="3188">
        <v>28382</v>
      </c>
      <c r="Z31" s="3188">
        <v>28697</v>
      </c>
      <c r="AA31" s="3188">
        <v>1516636</v>
      </c>
      <c r="AB31" s="3189">
        <v>45647</v>
      </c>
      <c r="AD31" s="3186">
        <v>13</v>
      </c>
      <c r="AE31" s="3186" t="s">
        <v>3644</v>
      </c>
      <c r="AF31" s="3186" t="s">
        <v>3510</v>
      </c>
      <c r="AG31" s="3186" t="s">
        <v>3490</v>
      </c>
      <c r="AH31" s="3186">
        <v>55.97</v>
      </c>
      <c r="AI31" s="3186" t="s">
        <v>3402</v>
      </c>
      <c r="AJ31" s="3186" t="s">
        <v>3637</v>
      </c>
      <c r="AK31" s="3186">
        <v>5</v>
      </c>
      <c r="AL31" s="3186" t="s">
        <v>633</v>
      </c>
      <c r="AM31" s="3186">
        <v>2010</v>
      </c>
      <c r="AN31" s="3186">
        <v>20011</v>
      </c>
      <c r="AO31" s="3186">
        <v>20262</v>
      </c>
      <c r="AP31" s="3186">
        <v>1134064</v>
      </c>
      <c r="AQ31" s="3187">
        <v>45800</v>
      </c>
    </row>
    <row r="32" spans="1:43" ht="60.75" thickBot="1">
      <c r="A32" s="3186">
        <v>11</v>
      </c>
      <c r="B32" s="3186" t="s">
        <v>3539</v>
      </c>
      <c r="C32" s="3186" t="s">
        <v>3511</v>
      </c>
      <c r="D32" s="3186" t="s">
        <v>3490</v>
      </c>
      <c r="E32" s="3186">
        <v>121.14</v>
      </c>
      <c r="F32" s="3186" t="s">
        <v>3402</v>
      </c>
      <c r="G32" s="3186" t="s">
        <v>3526</v>
      </c>
      <c r="H32" s="3186">
        <v>10</v>
      </c>
      <c r="I32" s="3186">
        <v>2015</v>
      </c>
      <c r="J32" s="3186">
        <v>34010</v>
      </c>
      <c r="K32" s="3186">
        <v>34157</v>
      </c>
      <c r="L32" s="3186">
        <v>4137779</v>
      </c>
      <c r="M32" s="3187">
        <v>45770</v>
      </c>
      <c r="O32" s="3186">
        <v>11</v>
      </c>
      <c r="P32" s="3186" t="s">
        <v>3596</v>
      </c>
      <c r="Q32" s="3186" t="s">
        <v>3509</v>
      </c>
      <c r="R32" s="3186" t="s">
        <v>3490</v>
      </c>
      <c r="S32" s="3186">
        <v>87.78</v>
      </c>
      <c r="T32" s="3186" t="s">
        <v>3402</v>
      </c>
      <c r="U32" s="3186">
        <v>16</v>
      </c>
      <c r="V32" s="3186">
        <v>6</v>
      </c>
      <c r="W32" s="3186" t="s">
        <v>633</v>
      </c>
      <c r="X32" s="3186">
        <v>2005</v>
      </c>
      <c r="Y32" s="3186">
        <v>30303</v>
      </c>
      <c r="Z32" s="3186">
        <v>30452</v>
      </c>
      <c r="AA32" s="3186">
        <v>2673077</v>
      </c>
      <c r="AB32" s="3187">
        <v>45612</v>
      </c>
      <c r="AD32" s="3188">
        <v>14</v>
      </c>
      <c r="AE32" s="3188" t="s">
        <v>3645</v>
      </c>
      <c r="AF32" s="3188" t="s">
        <v>3510</v>
      </c>
      <c r="AG32" s="3188" t="s">
        <v>3490</v>
      </c>
      <c r="AH32" s="3188">
        <v>64.23</v>
      </c>
      <c r="AI32" s="3188" t="s">
        <v>3402</v>
      </c>
      <c r="AJ32" s="3188">
        <v>21</v>
      </c>
      <c r="AK32" s="3188">
        <v>7</v>
      </c>
      <c r="AL32" s="3188">
        <v>2012</v>
      </c>
      <c r="AM32" s="3188" t="s">
        <v>633</v>
      </c>
      <c r="AN32" s="3188">
        <v>23120</v>
      </c>
      <c r="AO32" s="3188">
        <v>23538</v>
      </c>
      <c r="AP32" s="3188">
        <v>1511846</v>
      </c>
      <c r="AQ32" s="3189">
        <v>45776</v>
      </c>
    </row>
    <row r="33" spans="1:43" ht="60.75" thickBot="1">
      <c r="A33" s="3188">
        <v>12</v>
      </c>
      <c r="B33" s="3188" t="s">
        <v>3540</v>
      </c>
      <c r="C33" s="3188" t="s">
        <v>3511</v>
      </c>
      <c r="D33" s="3188" t="s">
        <v>3490</v>
      </c>
      <c r="E33" s="3188">
        <v>93.42</v>
      </c>
      <c r="F33" s="3188" t="s">
        <v>3402</v>
      </c>
      <c r="G33" s="3188" t="s">
        <v>3528</v>
      </c>
      <c r="H33" s="3188">
        <v>4</v>
      </c>
      <c r="I33" s="3188">
        <v>2015</v>
      </c>
      <c r="J33" s="3188">
        <v>28709</v>
      </c>
      <c r="K33" s="3188">
        <v>29118</v>
      </c>
      <c r="L33" s="3188">
        <v>2720204</v>
      </c>
      <c r="M33" s="3189">
        <v>45763</v>
      </c>
      <c r="O33" s="3188">
        <v>12</v>
      </c>
      <c r="P33" s="3188" t="s">
        <v>3597</v>
      </c>
      <c r="Q33" s="3188" t="s">
        <v>3509</v>
      </c>
      <c r="R33" s="3188" t="s">
        <v>3490</v>
      </c>
      <c r="S33" s="3188">
        <v>163.82</v>
      </c>
      <c r="T33" s="3188" t="s">
        <v>3402</v>
      </c>
      <c r="U33" s="3188">
        <v>6</v>
      </c>
      <c r="V33" s="3188">
        <v>6</v>
      </c>
      <c r="W33" s="3188" t="s">
        <v>633</v>
      </c>
      <c r="X33" s="3188">
        <v>2005</v>
      </c>
      <c r="Y33" s="3188">
        <v>21792</v>
      </c>
      <c r="Z33" s="3188">
        <v>22267</v>
      </c>
      <c r="AA33" s="3188">
        <v>3647780</v>
      </c>
      <c r="AB33" s="3189">
        <v>45574</v>
      </c>
      <c r="AD33" s="3186">
        <v>15</v>
      </c>
      <c r="AE33" s="3186" t="s">
        <v>3646</v>
      </c>
      <c r="AF33" s="3186" t="s">
        <v>3510</v>
      </c>
      <c r="AG33" s="3186" t="s">
        <v>3628</v>
      </c>
      <c r="AH33" s="3186">
        <v>81.59</v>
      </c>
      <c r="AI33" s="3186" t="s">
        <v>3402</v>
      </c>
      <c r="AJ33" s="3186">
        <v>6</v>
      </c>
      <c r="AK33" s="3186">
        <v>6</v>
      </c>
      <c r="AL33" s="3186" t="s">
        <v>633</v>
      </c>
      <c r="AM33" s="3186">
        <v>2010</v>
      </c>
      <c r="AN33" s="3186">
        <v>16791</v>
      </c>
      <c r="AO33" s="3186">
        <v>16793</v>
      </c>
      <c r="AP33" s="3186">
        <v>1370141</v>
      </c>
      <c r="AQ33" s="3187">
        <v>45762</v>
      </c>
    </row>
    <row r="34" spans="1:43" ht="60.75" thickBot="1">
      <c r="A34" s="3186">
        <v>13</v>
      </c>
      <c r="B34" s="3186" t="s">
        <v>3541</v>
      </c>
      <c r="C34" s="3186" t="s">
        <v>3511</v>
      </c>
      <c r="D34" s="3186" t="s">
        <v>3490</v>
      </c>
      <c r="E34" s="3186">
        <v>133.28</v>
      </c>
      <c r="F34" s="3186" t="s">
        <v>3402</v>
      </c>
      <c r="G34" s="3186" t="s">
        <v>3526</v>
      </c>
      <c r="H34" s="3186">
        <v>1</v>
      </c>
      <c r="I34" s="3186">
        <v>2015</v>
      </c>
      <c r="J34" s="3186">
        <v>28286</v>
      </c>
      <c r="K34" s="3186">
        <v>28460</v>
      </c>
      <c r="L34" s="3186">
        <v>3793149</v>
      </c>
      <c r="M34" s="3187">
        <v>45755</v>
      </c>
      <c r="O34" s="3186">
        <v>13</v>
      </c>
      <c r="P34" s="3186" t="s">
        <v>3598</v>
      </c>
      <c r="Q34" s="3186" t="s">
        <v>3509</v>
      </c>
      <c r="R34" s="3186" t="s">
        <v>3490</v>
      </c>
      <c r="S34" s="3186">
        <v>93.7</v>
      </c>
      <c r="T34" s="3186" t="s">
        <v>3402</v>
      </c>
      <c r="U34" s="3186" t="s">
        <v>3589</v>
      </c>
      <c r="V34" s="3186">
        <v>11</v>
      </c>
      <c r="W34" s="3186">
        <v>2005</v>
      </c>
      <c r="X34" s="3186" t="s">
        <v>633</v>
      </c>
      <c r="Y34" s="3186">
        <v>27748</v>
      </c>
      <c r="Z34" s="3186">
        <v>28818</v>
      </c>
      <c r="AA34" s="3186">
        <v>2700247</v>
      </c>
      <c r="AB34" s="3187">
        <v>45547</v>
      </c>
      <c r="AD34" s="3188">
        <v>16</v>
      </c>
      <c r="AE34" s="3188" t="s">
        <v>3647</v>
      </c>
      <c r="AF34" s="3188" t="s">
        <v>3510</v>
      </c>
      <c r="AG34" s="3188" t="s">
        <v>3628</v>
      </c>
      <c r="AH34" s="3188">
        <v>48.33</v>
      </c>
      <c r="AI34" s="3188" t="s">
        <v>3402</v>
      </c>
      <c r="AJ34" s="3188">
        <v>6</v>
      </c>
      <c r="AK34" s="3188">
        <v>1</v>
      </c>
      <c r="AL34" s="3188">
        <v>2010</v>
      </c>
      <c r="AM34" s="3188" t="s">
        <v>633</v>
      </c>
      <c r="AN34" s="3188">
        <v>23008</v>
      </c>
      <c r="AO34" s="3188">
        <v>23387</v>
      </c>
      <c r="AP34" s="3188">
        <v>1130294</v>
      </c>
      <c r="AQ34" s="3189">
        <v>45726</v>
      </c>
    </row>
    <row r="35" spans="1:43" ht="45.75" thickBot="1">
      <c r="A35" s="3188">
        <v>14</v>
      </c>
      <c r="B35" s="3188" t="s">
        <v>3542</v>
      </c>
      <c r="C35" s="3188" t="s">
        <v>3511</v>
      </c>
      <c r="D35" s="3188" t="s">
        <v>3490</v>
      </c>
      <c r="E35" s="3188">
        <v>92.98</v>
      </c>
      <c r="F35" s="3188" t="s">
        <v>3402</v>
      </c>
      <c r="G35" s="3188" t="s">
        <v>3526</v>
      </c>
      <c r="H35" s="3188">
        <v>2</v>
      </c>
      <c r="I35" s="3188">
        <v>2015</v>
      </c>
      <c r="J35" s="3188">
        <v>30114</v>
      </c>
      <c r="K35" s="3188">
        <v>30365</v>
      </c>
      <c r="L35" s="3188">
        <v>2823338</v>
      </c>
      <c r="M35" s="3189">
        <v>45724</v>
      </c>
      <c r="O35" s="3188">
        <v>14</v>
      </c>
      <c r="P35" s="3188" t="s">
        <v>3599</v>
      </c>
      <c r="Q35" s="3188" t="s">
        <v>3509</v>
      </c>
      <c r="R35" s="3188" t="s">
        <v>3490</v>
      </c>
      <c r="S35" s="3188">
        <v>43.22</v>
      </c>
      <c r="T35" s="3188" t="s">
        <v>3402</v>
      </c>
      <c r="U35" s="3188">
        <v>14</v>
      </c>
      <c r="V35" s="3188">
        <v>4</v>
      </c>
      <c r="W35" s="3188" t="s">
        <v>633</v>
      </c>
      <c r="X35" s="3188">
        <v>2005</v>
      </c>
      <c r="Y35" s="3188">
        <v>27534</v>
      </c>
      <c r="Z35" s="3188">
        <v>28193</v>
      </c>
      <c r="AA35" s="3188">
        <v>1218501</v>
      </c>
      <c r="AB35" s="3189">
        <v>45520</v>
      </c>
      <c r="AD35" s="3186">
        <v>17</v>
      </c>
      <c r="AE35" s="3186" t="s">
        <v>3648</v>
      </c>
      <c r="AF35" s="3186" t="s">
        <v>3510</v>
      </c>
      <c r="AG35" s="3186" t="s">
        <v>3628</v>
      </c>
      <c r="AH35" s="3186">
        <v>57.09</v>
      </c>
      <c r="AI35" s="3186" t="s">
        <v>3402</v>
      </c>
      <c r="AJ35" s="3186">
        <v>7</v>
      </c>
      <c r="AK35" s="3186">
        <v>7</v>
      </c>
      <c r="AL35" s="3186" t="s">
        <v>633</v>
      </c>
      <c r="AM35" s="3186">
        <v>2010</v>
      </c>
      <c r="AN35" s="3186">
        <v>23997</v>
      </c>
      <c r="AO35" s="3186">
        <v>24005</v>
      </c>
      <c r="AP35" s="3186">
        <v>1370445</v>
      </c>
      <c r="AQ35" s="3187">
        <v>45667</v>
      </c>
    </row>
    <row r="36" spans="1:43" ht="60.75" thickBot="1">
      <c r="A36" s="3186">
        <v>15</v>
      </c>
      <c r="B36" s="3186" t="s">
        <v>3543</v>
      </c>
      <c r="C36" s="3186" t="s">
        <v>3511</v>
      </c>
      <c r="D36" s="3186" t="s">
        <v>3490</v>
      </c>
      <c r="E36" s="3186">
        <v>121.03</v>
      </c>
      <c r="F36" s="3186" t="s">
        <v>3402</v>
      </c>
      <c r="G36" s="3186" t="s">
        <v>3530</v>
      </c>
      <c r="H36" s="3186">
        <v>21</v>
      </c>
      <c r="I36" s="3186" t="s">
        <v>633</v>
      </c>
      <c r="J36" s="3186">
        <v>30059</v>
      </c>
      <c r="K36" s="3186">
        <v>30794</v>
      </c>
      <c r="L36" s="3186">
        <v>3726998</v>
      </c>
      <c r="M36" s="3187">
        <v>45702</v>
      </c>
      <c r="O36" s="3186">
        <v>15</v>
      </c>
      <c r="P36" s="3186" t="s">
        <v>3600</v>
      </c>
      <c r="Q36" s="3186" t="s">
        <v>3509</v>
      </c>
      <c r="R36" s="3186" t="s">
        <v>3490</v>
      </c>
      <c r="S36" s="3186">
        <v>164.36</v>
      </c>
      <c r="T36" s="3186" t="s">
        <v>3402</v>
      </c>
      <c r="U36" s="3186">
        <v>6</v>
      </c>
      <c r="V36" s="3186">
        <v>6</v>
      </c>
      <c r="W36" s="3186" t="s">
        <v>633</v>
      </c>
      <c r="X36" s="3186">
        <v>2005</v>
      </c>
      <c r="Y36" s="3186">
        <v>22207</v>
      </c>
      <c r="Z36" s="3186">
        <v>22417</v>
      </c>
      <c r="AA36" s="3186">
        <v>3684458</v>
      </c>
      <c r="AB36" s="3187">
        <v>45498</v>
      </c>
      <c r="AD36" s="3188">
        <v>18</v>
      </c>
      <c r="AE36" s="3188" t="s">
        <v>3649</v>
      </c>
      <c r="AF36" s="3188" t="s">
        <v>3510</v>
      </c>
      <c r="AG36" s="3188" t="s">
        <v>3490</v>
      </c>
      <c r="AH36" s="3188">
        <v>62.83</v>
      </c>
      <c r="AI36" s="3188" t="s">
        <v>3402</v>
      </c>
      <c r="AJ36" s="3188">
        <v>23</v>
      </c>
      <c r="AK36" s="3188">
        <v>12</v>
      </c>
      <c r="AL36" s="3188">
        <v>2012</v>
      </c>
      <c r="AM36" s="3188" t="s">
        <v>633</v>
      </c>
      <c r="AN36" s="3188">
        <v>0</v>
      </c>
      <c r="AO36" s="3188">
        <v>24811</v>
      </c>
      <c r="AP36" s="3188">
        <v>1558875</v>
      </c>
      <c r="AQ36" s="3189">
        <v>45666</v>
      </c>
    </row>
    <row r="37" spans="1:43" ht="45.75" thickBot="1">
      <c r="A37" s="3188">
        <v>16</v>
      </c>
      <c r="B37" s="3188" t="s">
        <v>3544</v>
      </c>
      <c r="C37" s="3188" t="s">
        <v>3511</v>
      </c>
      <c r="D37" s="3188" t="s">
        <v>3490</v>
      </c>
      <c r="E37" s="3188">
        <v>92.45</v>
      </c>
      <c r="F37" s="3188" t="s">
        <v>3402</v>
      </c>
      <c r="G37" s="3188" t="s">
        <v>3526</v>
      </c>
      <c r="H37" s="3188">
        <v>18</v>
      </c>
      <c r="I37" s="3188">
        <v>2015</v>
      </c>
      <c r="J37" s="3188">
        <v>38399</v>
      </c>
      <c r="K37" s="3188">
        <v>36832</v>
      </c>
      <c r="L37" s="3188">
        <v>3405118</v>
      </c>
      <c r="M37" s="3189">
        <v>45701</v>
      </c>
      <c r="O37" s="3188">
        <v>16</v>
      </c>
      <c r="P37" s="3188" t="s">
        <v>3601</v>
      </c>
      <c r="Q37" s="3188" t="s">
        <v>3509</v>
      </c>
      <c r="R37" s="3188" t="s">
        <v>3490</v>
      </c>
      <c r="S37" s="3188">
        <v>46.38</v>
      </c>
      <c r="T37" s="3188" t="s">
        <v>3402</v>
      </c>
      <c r="U37" s="3188">
        <v>14</v>
      </c>
      <c r="V37" s="3188">
        <v>6</v>
      </c>
      <c r="W37" s="3188" t="s">
        <v>633</v>
      </c>
      <c r="X37" s="3188">
        <v>2005</v>
      </c>
      <c r="Y37" s="3188">
        <v>29646</v>
      </c>
      <c r="Z37" s="3188">
        <v>30523</v>
      </c>
      <c r="AA37" s="3188">
        <v>1415657</v>
      </c>
      <c r="AB37" s="3189">
        <v>45406</v>
      </c>
      <c r="AD37" s="3186">
        <v>19</v>
      </c>
      <c r="AE37" s="3186" t="s">
        <v>3650</v>
      </c>
      <c r="AF37" s="3186" t="s">
        <v>3510</v>
      </c>
      <c r="AG37" s="3186" t="s">
        <v>3490</v>
      </c>
      <c r="AH37" s="3186">
        <v>53.43</v>
      </c>
      <c r="AI37" s="3186" t="s">
        <v>3402</v>
      </c>
      <c r="AJ37" s="3186" t="s">
        <v>3629</v>
      </c>
      <c r="AK37" s="3186">
        <v>4</v>
      </c>
      <c r="AL37" s="3186" t="s">
        <v>633</v>
      </c>
      <c r="AM37" s="3186">
        <v>2010</v>
      </c>
      <c r="AN37" s="3186">
        <v>22740</v>
      </c>
      <c r="AO37" s="3186">
        <v>23461</v>
      </c>
      <c r="AP37" s="3186">
        <v>1253521</v>
      </c>
      <c r="AQ37" s="3187">
        <v>45660</v>
      </c>
    </row>
    <row r="38" spans="1:43" ht="45.75" thickBot="1">
      <c r="A38" s="3186">
        <v>17</v>
      </c>
      <c r="B38" s="3186" t="s">
        <v>3545</v>
      </c>
      <c r="C38" s="3186" t="s">
        <v>3511</v>
      </c>
      <c r="D38" s="3186" t="s">
        <v>3490</v>
      </c>
      <c r="E38" s="3186">
        <v>133.22999999999999</v>
      </c>
      <c r="F38" s="3186" t="s">
        <v>3402</v>
      </c>
      <c r="G38" s="3186" t="s">
        <v>3528</v>
      </c>
      <c r="H38" s="3186">
        <v>1</v>
      </c>
      <c r="I38" s="3186">
        <v>2015</v>
      </c>
      <c r="J38" s="3186">
        <v>29873</v>
      </c>
      <c r="K38" s="3186">
        <v>30249</v>
      </c>
      <c r="L38" s="3186">
        <v>4030074</v>
      </c>
      <c r="M38" s="3187">
        <v>45644</v>
      </c>
      <c r="O38" s="3186">
        <v>17</v>
      </c>
      <c r="P38" s="3195" t="s">
        <v>3602</v>
      </c>
      <c r="Q38" s="3195" t="s">
        <v>3509</v>
      </c>
      <c r="R38" s="3195" t="s">
        <v>3490</v>
      </c>
      <c r="S38" s="3195">
        <v>89.9</v>
      </c>
      <c r="T38" s="3195" t="s">
        <v>3402</v>
      </c>
      <c r="U38" s="3195" t="s">
        <v>3589</v>
      </c>
      <c r="V38" s="3195">
        <v>8</v>
      </c>
      <c r="W38" s="3195">
        <v>2005</v>
      </c>
      <c r="X38" s="3195" t="s">
        <v>633</v>
      </c>
      <c r="Y38" s="3195">
        <v>0</v>
      </c>
      <c r="Z38" s="3195">
        <v>36078</v>
      </c>
      <c r="AA38" s="3195">
        <v>3243412</v>
      </c>
      <c r="AB38" s="3196">
        <v>45391</v>
      </c>
      <c r="AD38" s="3188">
        <v>20</v>
      </c>
      <c r="AE38" s="3188" t="s">
        <v>3651</v>
      </c>
      <c r="AF38" s="3188" t="s">
        <v>3510</v>
      </c>
      <c r="AG38" s="3188" t="s">
        <v>3628</v>
      </c>
      <c r="AH38" s="3188">
        <v>68.27</v>
      </c>
      <c r="AI38" s="3188" t="s">
        <v>3402</v>
      </c>
      <c r="AJ38" s="3188">
        <v>6</v>
      </c>
      <c r="AK38" s="3188">
        <v>5</v>
      </c>
      <c r="AL38" s="3188" t="s">
        <v>633</v>
      </c>
      <c r="AM38" s="3188">
        <v>2010</v>
      </c>
      <c r="AN38" s="3188">
        <v>21972</v>
      </c>
      <c r="AO38" s="3188">
        <v>22015</v>
      </c>
      <c r="AP38" s="3188">
        <v>1502964</v>
      </c>
      <c r="AQ38" s="3189">
        <v>45657</v>
      </c>
    </row>
    <row r="39" spans="1:43" ht="60.75" thickBot="1">
      <c r="A39" s="3188">
        <v>18</v>
      </c>
      <c r="B39" s="3188" t="s">
        <v>3546</v>
      </c>
      <c r="C39" s="3188" t="s">
        <v>3511</v>
      </c>
      <c r="D39" s="3188" t="s">
        <v>3490</v>
      </c>
      <c r="E39" s="3188">
        <v>140.32</v>
      </c>
      <c r="F39" s="3188" t="s">
        <v>3402</v>
      </c>
      <c r="G39" s="3188" t="s">
        <v>3528</v>
      </c>
      <c r="H39" s="3188">
        <v>21</v>
      </c>
      <c r="I39" s="3188">
        <v>2015</v>
      </c>
      <c r="J39" s="3188">
        <v>28506</v>
      </c>
      <c r="K39" s="3188">
        <v>29486</v>
      </c>
      <c r="L39" s="3188">
        <v>4137476</v>
      </c>
      <c r="M39" s="3189">
        <v>45583</v>
      </c>
      <c r="O39" s="3206">
        <v>18</v>
      </c>
      <c r="P39" s="3206" t="s">
        <v>3603</v>
      </c>
      <c r="Q39" s="3206" t="s">
        <v>3509</v>
      </c>
      <c r="R39" s="3206" t="s">
        <v>3490</v>
      </c>
      <c r="S39" s="3206">
        <v>107.54</v>
      </c>
      <c r="T39" s="3206" t="s">
        <v>3402</v>
      </c>
      <c r="U39" s="3206">
        <v>6</v>
      </c>
      <c r="V39" s="3206">
        <v>4</v>
      </c>
      <c r="W39" s="3206">
        <v>2005</v>
      </c>
      <c r="X39" s="3206" t="s">
        <v>633</v>
      </c>
      <c r="Y39" s="3206">
        <v>41118</v>
      </c>
      <c r="Z39" s="3206">
        <v>39227</v>
      </c>
      <c r="AA39" s="3206">
        <v>4218472</v>
      </c>
      <c r="AB39" s="3207">
        <v>45220</v>
      </c>
      <c r="AD39" s="3186">
        <v>21</v>
      </c>
      <c r="AE39" s="3186" t="s">
        <v>3652</v>
      </c>
      <c r="AF39" s="3186" t="s">
        <v>3510</v>
      </c>
      <c r="AG39" s="3186" t="s">
        <v>3490</v>
      </c>
      <c r="AH39" s="3186">
        <v>52.95</v>
      </c>
      <c r="AI39" s="3186" t="s">
        <v>3402</v>
      </c>
      <c r="AJ39" s="3186" t="s">
        <v>3636</v>
      </c>
      <c r="AK39" s="3186">
        <v>2</v>
      </c>
      <c r="AL39" s="3186" t="s">
        <v>633</v>
      </c>
      <c r="AM39" s="3186">
        <v>2010</v>
      </c>
      <c r="AN39" s="3186">
        <v>28895</v>
      </c>
      <c r="AO39" s="3186">
        <v>29157</v>
      </c>
      <c r="AP39" s="3186">
        <v>1543863</v>
      </c>
      <c r="AQ39" s="3187">
        <v>45645</v>
      </c>
    </row>
    <row r="40" spans="1:43" ht="60.75" thickBot="1">
      <c r="A40" s="3186">
        <v>19</v>
      </c>
      <c r="B40" s="3186" t="s">
        <v>3547</v>
      </c>
      <c r="C40" s="3186" t="s">
        <v>3511</v>
      </c>
      <c r="D40" s="3186" t="s">
        <v>3490</v>
      </c>
      <c r="E40" s="3186">
        <v>134.72</v>
      </c>
      <c r="F40" s="3186" t="s">
        <v>3402</v>
      </c>
      <c r="G40" s="3186" t="s">
        <v>3548</v>
      </c>
      <c r="H40" s="3186">
        <v>13</v>
      </c>
      <c r="I40" s="3186">
        <v>2015</v>
      </c>
      <c r="J40" s="3186">
        <v>29914</v>
      </c>
      <c r="K40" s="3186">
        <v>30729</v>
      </c>
      <c r="L40" s="3186">
        <v>4139811</v>
      </c>
      <c r="M40" s="3187">
        <v>45584</v>
      </c>
      <c r="O40" s="3206">
        <v>19</v>
      </c>
      <c r="P40" s="3206" t="s">
        <v>3604</v>
      </c>
      <c r="Q40" s="3206" t="s">
        <v>3509</v>
      </c>
      <c r="R40" s="3206" t="s">
        <v>3490</v>
      </c>
      <c r="S40" s="3206">
        <v>89.73</v>
      </c>
      <c r="T40" s="3206" t="s">
        <v>3402</v>
      </c>
      <c r="U40" s="3206" t="s">
        <v>3589</v>
      </c>
      <c r="V40" s="3206">
        <v>9</v>
      </c>
      <c r="W40" s="3206" t="s">
        <v>633</v>
      </c>
      <c r="X40" s="3206">
        <v>2005</v>
      </c>
      <c r="Y40" s="3206">
        <v>36220</v>
      </c>
      <c r="Z40" s="3206">
        <v>34884</v>
      </c>
      <c r="AA40" s="3206">
        <v>3130141</v>
      </c>
      <c r="AB40" s="3207">
        <v>45120</v>
      </c>
      <c r="AD40" s="3188">
        <v>22</v>
      </c>
      <c r="AE40" s="3188" t="s">
        <v>3653</v>
      </c>
      <c r="AF40" s="3188" t="s">
        <v>3510</v>
      </c>
      <c r="AG40" s="3188" t="s">
        <v>3490</v>
      </c>
      <c r="AH40" s="3188">
        <v>60.81</v>
      </c>
      <c r="AI40" s="3188" t="s">
        <v>3402</v>
      </c>
      <c r="AJ40" s="3188" t="s">
        <v>3526</v>
      </c>
      <c r="AK40" s="3188">
        <v>12</v>
      </c>
      <c r="AL40" s="3188" t="s">
        <v>633</v>
      </c>
      <c r="AM40" s="3188">
        <v>2012</v>
      </c>
      <c r="AN40" s="3188">
        <v>25489</v>
      </c>
      <c r="AO40" s="3188">
        <v>26093</v>
      </c>
      <c r="AP40" s="3188">
        <v>1586715</v>
      </c>
      <c r="AQ40" s="3189">
        <v>45639</v>
      </c>
    </row>
    <row r="41" spans="1:43" ht="60.75" thickBot="1">
      <c r="A41" s="3188">
        <v>20</v>
      </c>
      <c r="B41" s="3188" t="s">
        <v>3549</v>
      </c>
      <c r="C41" s="3188" t="s">
        <v>3511</v>
      </c>
      <c r="D41" s="3188" t="s">
        <v>3490</v>
      </c>
      <c r="E41" s="3188">
        <v>93.42</v>
      </c>
      <c r="F41" s="3188" t="s">
        <v>3402</v>
      </c>
      <c r="G41" s="3188" t="s">
        <v>3528</v>
      </c>
      <c r="H41" s="3188">
        <v>14</v>
      </c>
      <c r="I41" s="3188">
        <v>2015</v>
      </c>
      <c r="J41" s="3188">
        <v>36395</v>
      </c>
      <c r="K41" s="3188">
        <v>36832</v>
      </c>
      <c r="L41" s="3188">
        <v>3440845</v>
      </c>
      <c r="M41" s="3189">
        <v>45581</v>
      </c>
      <c r="O41" s="3206">
        <v>20</v>
      </c>
      <c r="P41" s="3206" t="s">
        <v>3605</v>
      </c>
      <c r="Q41" s="3206" t="s">
        <v>3509</v>
      </c>
      <c r="R41" s="3206" t="s">
        <v>3490</v>
      </c>
      <c r="S41" s="3206">
        <v>112.3</v>
      </c>
      <c r="T41" s="3206" t="s">
        <v>3402</v>
      </c>
      <c r="U41" s="3206">
        <v>6</v>
      </c>
      <c r="V41" s="3206">
        <v>5</v>
      </c>
      <c r="W41" s="3206">
        <v>2005</v>
      </c>
      <c r="X41" s="3206" t="s">
        <v>633</v>
      </c>
      <c r="Y41" s="3206">
        <v>34550</v>
      </c>
      <c r="Z41" s="3206">
        <v>34305</v>
      </c>
      <c r="AA41" s="3206">
        <v>3852452</v>
      </c>
      <c r="AB41" s="3207">
        <v>45010</v>
      </c>
      <c r="AD41" s="3186">
        <v>23</v>
      </c>
      <c r="AE41" s="3186" t="s">
        <v>3654</v>
      </c>
      <c r="AF41" s="3186" t="s">
        <v>3510</v>
      </c>
      <c r="AG41" s="3186" t="s">
        <v>3490</v>
      </c>
      <c r="AH41" s="3186">
        <v>75.48</v>
      </c>
      <c r="AI41" s="3186" t="s">
        <v>3402</v>
      </c>
      <c r="AJ41" s="3186" t="s">
        <v>3636</v>
      </c>
      <c r="AK41" s="3186">
        <v>10</v>
      </c>
      <c r="AL41" s="3186" t="s">
        <v>633</v>
      </c>
      <c r="AM41" s="3186">
        <v>2010</v>
      </c>
      <c r="AN41" s="3186">
        <v>32459</v>
      </c>
      <c r="AO41" s="3186">
        <v>31911</v>
      </c>
      <c r="AP41" s="3186">
        <v>2408642</v>
      </c>
      <c r="AQ41" s="3187">
        <v>45639</v>
      </c>
    </row>
    <row r="42" spans="1:43" ht="45.75" thickBot="1">
      <c r="A42" s="3186">
        <v>21</v>
      </c>
      <c r="B42" s="3186" t="s">
        <v>3550</v>
      </c>
      <c r="C42" s="3186" t="s">
        <v>3511</v>
      </c>
      <c r="D42" s="3186" t="s">
        <v>3490</v>
      </c>
      <c r="E42" s="3186">
        <v>92.77</v>
      </c>
      <c r="F42" s="3186" t="s">
        <v>3402</v>
      </c>
      <c r="G42" s="3186" t="s">
        <v>3526</v>
      </c>
      <c r="H42" s="3186">
        <v>15</v>
      </c>
      <c r="I42" s="3186">
        <v>2015</v>
      </c>
      <c r="J42" s="3186">
        <v>32985</v>
      </c>
      <c r="K42" s="3186">
        <v>33372</v>
      </c>
      <c r="L42" s="3186">
        <v>3095920</v>
      </c>
      <c r="M42" s="3187">
        <v>45578</v>
      </c>
      <c r="O42" s="3186">
        <v>21</v>
      </c>
      <c r="P42" s="3186" t="s">
        <v>3606</v>
      </c>
      <c r="Q42" s="3186" t="s">
        <v>3509</v>
      </c>
      <c r="R42" s="3186" t="s">
        <v>3490</v>
      </c>
      <c r="S42" s="3186">
        <v>82.28</v>
      </c>
      <c r="T42" s="3186" t="s">
        <v>3402</v>
      </c>
      <c r="U42" s="3186">
        <v>14</v>
      </c>
      <c r="V42" s="3186">
        <v>4</v>
      </c>
      <c r="W42" s="3186" t="s">
        <v>633</v>
      </c>
      <c r="X42" s="3186">
        <v>2005</v>
      </c>
      <c r="Y42" s="3186">
        <v>36704</v>
      </c>
      <c r="Z42" s="3186">
        <v>34792</v>
      </c>
      <c r="AA42" s="3186">
        <v>2862686</v>
      </c>
      <c r="AB42" s="3187">
        <v>45002</v>
      </c>
      <c r="AD42" s="3188">
        <v>24</v>
      </c>
      <c r="AE42" s="3188" t="s">
        <v>3655</v>
      </c>
      <c r="AF42" s="3188" t="s">
        <v>3510</v>
      </c>
      <c r="AG42" s="3188" t="s">
        <v>3628</v>
      </c>
      <c r="AH42" s="3188">
        <v>92.43</v>
      </c>
      <c r="AI42" s="3188" t="s">
        <v>3402</v>
      </c>
      <c r="AJ42" s="3188" t="s">
        <v>3656</v>
      </c>
      <c r="AK42" s="3188">
        <v>8</v>
      </c>
      <c r="AL42" s="3188" t="s">
        <v>633</v>
      </c>
      <c r="AM42" s="3188">
        <v>2010</v>
      </c>
      <c r="AN42" s="3188">
        <v>0</v>
      </c>
      <c r="AO42" s="3188">
        <v>25130</v>
      </c>
      <c r="AP42" s="3188">
        <v>2322766</v>
      </c>
      <c r="AQ42" s="3189">
        <v>45619</v>
      </c>
    </row>
    <row r="43" spans="1:43" ht="60.75" thickBot="1">
      <c r="A43" s="3188">
        <v>22</v>
      </c>
      <c r="B43" s="3188" t="s">
        <v>3551</v>
      </c>
      <c r="C43" s="3188" t="s">
        <v>3511</v>
      </c>
      <c r="D43" s="3188" t="s">
        <v>3490</v>
      </c>
      <c r="E43" s="3188">
        <v>121.03</v>
      </c>
      <c r="F43" s="3188" t="s">
        <v>3402</v>
      </c>
      <c r="G43" s="3188" t="s">
        <v>3530</v>
      </c>
      <c r="H43" s="3188">
        <v>18</v>
      </c>
      <c r="I43" s="3188">
        <v>2015</v>
      </c>
      <c r="J43" s="3188">
        <v>30654</v>
      </c>
      <c r="K43" s="3188">
        <v>31061</v>
      </c>
      <c r="L43" s="3188">
        <v>3759313</v>
      </c>
      <c r="M43" s="3189">
        <v>45563</v>
      </c>
      <c r="O43" s="3188">
        <v>22</v>
      </c>
      <c r="P43" s="3188" t="s">
        <v>3607</v>
      </c>
      <c r="Q43" s="3188" t="s">
        <v>3509</v>
      </c>
      <c r="R43" s="3188" t="s">
        <v>3490</v>
      </c>
      <c r="S43" s="3188">
        <v>107.63</v>
      </c>
      <c r="T43" s="3188" t="s">
        <v>3402</v>
      </c>
      <c r="U43" s="3188">
        <v>6</v>
      </c>
      <c r="V43" s="3188">
        <v>2</v>
      </c>
      <c r="W43" s="3188" t="s">
        <v>633</v>
      </c>
      <c r="X43" s="3188">
        <v>2005</v>
      </c>
      <c r="Y43" s="3188">
        <v>41717</v>
      </c>
      <c r="Z43" s="3188">
        <v>37217</v>
      </c>
      <c r="AA43" s="3188">
        <v>4005666</v>
      </c>
      <c r="AB43" s="3189">
        <v>44982</v>
      </c>
      <c r="AD43" s="3186">
        <v>25</v>
      </c>
      <c r="AE43" s="3186" t="s">
        <v>3657</v>
      </c>
      <c r="AF43" s="3186" t="s">
        <v>3510</v>
      </c>
      <c r="AG43" s="3186" t="s">
        <v>3490</v>
      </c>
      <c r="AH43" s="3186">
        <v>53.51</v>
      </c>
      <c r="AI43" s="3186" t="s">
        <v>3402</v>
      </c>
      <c r="AJ43" s="3186" t="s">
        <v>3658</v>
      </c>
      <c r="AK43" s="3186">
        <v>8</v>
      </c>
      <c r="AL43" s="3186" t="s">
        <v>633</v>
      </c>
      <c r="AM43" s="3186">
        <v>2010</v>
      </c>
      <c r="AN43" s="3186">
        <v>23360</v>
      </c>
      <c r="AO43" s="3186">
        <v>23877</v>
      </c>
      <c r="AP43" s="3186">
        <v>1277658</v>
      </c>
      <c r="AQ43" s="3187">
        <v>45615</v>
      </c>
    </row>
    <row r="44" spans="1:43" ht="60.75" thickBot="1">
      <c r="A44" s="3186">
        <v>23</v>
      </c>
      <c r="B44" s="3186" t="s">
        <v>3552</v>
      </c>
      <c r="C44" s="3186" t="s">
        <v>3511</v>
      </c>
      <c r="D44" s="3186" t="s">
        <v>3490</v>
      </c>
      <c r="E44" s="3186">
        <v>140.32</v>
      </c>
      <c r="F44" s="3186" t="s">
        <v>3402</v>
      </c>
      <c r="G44" s="3186" t="s">
        <v>3528</v>
      </c>
      <c r="H44" s="3186">
        <v>21</v>
      </c>
      <c r="I44" s="3186">
        <v>2015</v>
      </c>
      <c r="J44" s="3186">
        <v>30359</v>
      </c>
      <c r="K44" s="3186">
        <v>30955</v>
      </c>
      <c r="L44" s="3186">
        <v>4343606</v>
      </c>
      <c r="M44" s="3187">
        <v>45549</v>
      </c>
      <c r="O44" s="3186">
        <v>23</v>
      </c>
      <c r="P44" s="3186" t="s">
        <v>3608</v>
      </c>
      <c r="Q44" s="3186" t="s">
        <v>3509</v>
      </c>
      <c r="R44" s="3186" t="s">
        <v>3490</v>
      </c>
      <c r="S44" s="3186">
        <v>58.26</v>
      </c>
      <c r="T44" s="3186" t="s">
        <v>3402</v>
      </c>
      <c r="U44" s="3186">
        <v>14</v>
      </c>
      <c r="V44" s="3186">
        <v>11</v>
      </c>
      <c r="W44" s="3186" t="s">
        <v>633</v>
      </c>
      <c r="X44" s="3186">
        <v>2005</v>
      </c>
      <c r="Y44" s="3186">
        <v>38792</v>
      </c>
      <c r="Z44" s="3186">
        <v>37809</v>
      </c>
      <c r="AA44" s="3186">
        <v>2202752</v>
      </c>
      <c r="AB44" s="3187">
        <v>44937</v>
      </c>
      <c r="AD44" s="3188">
        <v>26</v>
      </c>
      <c r="AE44" s="3188" t="s">
        <v>3659</v>
      </c>
      <c r="AF44" s="3188" t="s">
        <v>3510</v>
      </c>
      <c r="AG44" s="3188" t="s">
        <v>3490</v>
      </c>
      <c r="AH44" s="3188">
        <v>74.91</v>
      </c>
      <c r="AI44" s="3188" t="s">
        <v>3402</v>
      </c>
      <c r="AJ44" s="3188">
        <v>14</v>
      </c>
      <c r="AK44" s="3188">
        <v>8</v>
      </c>
      <c r="AL44" s="3188" t="s">
        <v>633</v>
      </c>
      <c r="AM44" s="3188">
        <v>2010</v>
      </c>
      <c r="AN44" s="3188">
        <v>31371</v>
      </c>
      <c r="AO44" s="3188">
        <v>31453</v>
      </c>
      <c r="AP44" s="3188">
        <v>2356144</v>
      </c>
      <c r="AQ44" s="3189">
        <v>45608</v>
      </c>
    </row>
    <row r="45" spans="1:43" ht="45.75" thickBot="1">
      <c r="A45" s="3188">
        <v>24</v>
      </c>
      <c r="B45" s="3188" t="s">
        <v>3553</v>
      </c>
      <c r="C45" s="3188" t="s">
        <v>3511</v>
      </c>
      <c r="D45" s="3188" t="s">
        <v>3490</v>
      </c>
      <c r="E45" s="3188">
        <v>133.16</v>
      </c>
      <c r="F45" s="3188" t="s">
        <v>3402</v>
      </c>
      <c r="G45" s="3188" t="s">
        <v>3530</v>
      </c>
      <c r="H45" s="3188">
        <v>1</v>
      </c>
      <c r="I45" s="3188">
        <v>2015</v>
      </c>
      <c r="J45" s="3188">
        <v>30790</v>
      </c>
      <c r="K45" s="3188">
        <v>30865</v>
      </c>
      <c r="L45" s="3188">
        <v>4109983</v>
      </c>
      <c r="M45" s="3189">
        <v>45545</v>
      </c>
      <c r="O45" s="3188">
        <v>24</v>
      </c>
      <c r="P45" s="3188" t="s">
        <v>3609</v>
      </c>
      <c r="Q45" s="3188" t="s">
        <v>3509</v>
      </c>
      <c r="R45" s="3188" t="s">
        <v>3490</v>
      </c>
      <c r="S45" s="3188">
        <v>58</v>
      </c>
      <c r="T45" s="3188" t="s">
        <v>3402</v>
      </c>
      <c r="U45" s="3188" t="s">
        <v>3610</v>
      </c>
      <c r="V45" s="3188">
        <v>9</v>
      </c>
      <c r="W45" s="3188" t="s">
        <v>633</v>
      </c>
      <c r="X45" s="3188">
        <v>2005</v>
      </c>
      <c r="Y45" s="3188">
        <v>35862</v>
      </c>
      <c r="Z45" s="3188">
        <v>33528</v>
      </c>
      <c r="AA45" s="3188">
        <v>1944624</v>
      </c>
      <c r="AB45" s="3189">
        <v>44855</v>
      </c>
      <c r="AD45" s="3186">
        <v>27</v>
      </c>
      <c r="AE45" s="3186" t="s">
        <v>3660</v>
      </c>
      <c r="AF45" s="3186" t="s">
        <v>3510</v>
      </c>
      <c r="AG45" s="3186" t="s">
        <v>3490</v>
      </c>
      <c r="AH45" s="3186">
        <v>82.64</v>
      </c>
      <c r="AI45" s="3186" t="s">
        <v>3402</v>
      </c>
      <c r="AJ45" s="3186">
        <v>6</v>
      </c>
      <c r="AK45" s="3186">
        <v>3</v>
      </c>
      <c r="AL45" s="3186">
        <v>2010</v>
      </c>
      <c r="AM45" s="3186" t="s">
        <v>633</v>
      </c>
      <c r="AN45" s="3186">
        <v>25411</v>
      </c>
      <c r="AO45" s="3186">
        <v>26308</v>
      </c>
      <c r="AP45" s="3186">
        <v>2174093</v>
      </c>
      <c r="AQ45" s="3187">
        <v>45598</v>
      </c>
    </row>
    <row r="46" spans="1:43" ht="60.75" thickBot="1">
      <c r="A46" s="3186">
        <v>25</v>
      </c>
      <c r="B46" s="3186" t="s">
        <v>3554</v>
      </c>
      <c r="C46" s="3186" t="s">
        <v>3511</v>
      </c>
      <c r="D46" s="3186" t="s">
        <v>3490</v>
      </c>
      <c r="E46" s="3186">
        <v>131.69999999999999</v>
      </c>
      <c r="F46" s="3186" t="s">
        <v>3402</v>
      </c>
      <c r="G46" s="3186" t="s">
        <v>3538</v>
      </c>
      <c r="H46" s="3186">
        <v>15</v>
      </c>
      <c r="I46" s="3186">
        <v>2015</v>
      </c>
      <c r="J46" s="3186">
        <v>34472</v>
      </c>
      <c r="K46" s="3186">
        <v>34859</v>
      </c>
      <c r="L46" s="3186">
        <v>4590930</v>
      </c>
      <c r="M46" s="3187">
        <v>45525</v>
      </c>
      <c r="O46" s="3186">
        <v>25</v>
      </c>
      <c r="P46" s="3186" t="s">
        <v>3611</v>
      </c>
      <c r="Q46" s="3186" t="s">
        <v>3509</v>
      </c>
      <c r="R46" s="3186" t="s">
        <v>3490</v>
      </c>
      <c r="S46" s="3186">
        <v>51.86</v>
      </c>
      <c r="T46" s="3186" t="s">
        <v>3402</v>
      </c>
      <c r="U46" s="3186">
        <v>14</v>
      </c>
      <c r="V46" s="3186">
        <v>9</v>
      </c>
      <c r="W46" s="3186" t="s">
        <v>633</v>
      </c>
      <c r="X46" s="3186">
        <v>2005</v>
      </c>
      <c r="Y46" s="3186">
        <v>33359</v>
      </c>
      <c r="Z46" s="3186">
        <v>32865</v>
      </c>
      <c r="AA46" s="3186">
        <v>1704379</v>
      </c>
      <c r="AB46" s="3187">
        <v>44718</v>
      </c>
      <c r="AD46" s="3188">
        <v>28</v>
      </c>
      <c r="AE46" s="3188" t="s">
        <v>3661</v>
      </c>
      <c r="AF46" s="3188" t="s">
        <v>3510</v>
      </c>
      <c r="AG46" s="3188" t="s">
        <v>3628</v>
      </c>
      <c r="AH46" s="3188">
        <v>48.19</v>
      </c>
      <c r="AI46" s="3188" t="s">
        <v>3402</v>
      </c>
      <c r="AJ46" s="3188">
        <v>6</v>
      </c>
      <c r="AK46" s="3188">
        <v>4</v>
      </c>
      <c r="AL46" s="3188">
        <v>2010</v>
      </c>
      <c r="AM46" s="3188" t="s">
        <v>633</v>
      </c>
      <c r="AN46" s="3188">
        <v>23075</v>
      </c>
      <c r="AO46" s="3188">
        <v>25183</v>
      </c>
      <c r="AP46" s="3188">
        <v>1213569</v>
      </c>
      <c r="AQ46" s="3189">
        <v>45589</v>
      </c>
    </row>
    <row r="47" spans="1:43" ht="60.75" thickBot="1">
      <c r="A47" s="3188">
        <v>26</v>
      </c>
      <c r="B47" s="3188" t="s">
        <v>3555</v>
      </c>
      <c r="C47" s="3188" t="s">
        <v>3511</v>
      </c>
      <c r="D47" s="3188" t="s">
        <v>3490</v>
      </c>
      <c r="E47" s="3188">
        <v>119.88</v>
      </c>
      <c r="F47" s="3188" t="s">
        <v>3402</v>
      </c>
      <c r="G47" s="3188" t="s">
        <v>3548</v>
      </c>
      <c r="H47" s="3188">
        <v>5</v>
      </c>
      <c r="I47" s="3188">
        <v>2015</v>
      </c>
      <c r="J47" s="3188">
        <v>34368</v>
      </c>
      <c r="K47" s="3188">
        <v>34557</v>
      </c>
      <c r="L47" s="3188">
        <v>4142693</v>
      </c>
      <c r="M47" s="3189">
        <v>45489</v>
      </c>
      <c r="O47" s="3188">
        <v>26</v>
      </c>
      <c r="P47" s="3188" t="s">
        <v>3612</v>
      </c>
      <c r="Q47" s="3188" t="s">
        <v>3509</v>
      </c>
      <c r="R47" s="3188" t="s">
        <v>3490</v>
      </c>
      <c r="S47" s="3188">
        <v>58.99</v>
      </c>
      <c r="T47" s="3188" t="s">
        <v>3402</v>
      </c>
      <c r="U47" s="3188">
        <v>6</v>
      </c>
      <c r="V47" s="3188">
        <v>3</v>
      </c>
      <c r="W47" s="3188" t="s">
        <v>633</v>
      </c>
      <c r="X47" s="3188">
        <v>2003</v>
      </c>
      <c r="Y47" s="3188">
        <v>38312</v>
      </c>
      <c r="Z47" s="3188">
        <v>37749</v>
      </c>
      <c r="AA47" s="3188">
        <v>2226814</v>
      </c>
      <c r="AB47" s="3189">
        <v>44600</v>
      </c>
      <c r="AD47" s="3186">
        <v>29</v>
      </c>
      <c r="AE47" s="3186" t="s">
        <v>3662</v>
      </c>
      <c r="AF47" s="3186" t="s">
        <v>3510</v>
      </c>
      <c r="AG47" s="3186" t="s">
        <v>3628</v>
      </c>
      <c r="AH47" s="3186">
        <v>62.47</v>
      </c>
      <c r="AI47" s="3186" t="s">
        <v>3402</v>
      </c>
      <c r="AJ47" s="3186" t="s">
        <v>3663</v>
      </c>
      <c r="AK47" s="3186">
        <v>1</v>
      </c>
      <c r="AL47" s="3186" t="s">
        <v>633</v>
      </c>
      <c r="AM47" s="3186">
        <v>2012</v>
      </c>
      <c r="AN47" s="3186">
        <v>18649</v>
      </c>
      <c r="AO47" s="3186">
        <v>21785</v>
      </c>
      <c r="AP47" s="3186">
        <v>1360909</v>
      </c>
      <c r="AQ47" s="3187">
        <v>45512</v>
      </c>
    </row>
    <row r="48" spans="1:43" ht="60.75" thickBot="1">
      <c r="A48" s="3186">
        <v>27</v>
      </c>
      <c r="B48" s="3186" t="s">
        <v>3556</v>
      </c>
      <c r="C48" s="3186" t="s">
        <v>3511</v>
      </c>
      <c r="D48" s="3186" t="s">
        <v>3490</v>
      </c>
      <c r="E48" s="3186">
        <v>134.72</v>
      </c>
      <c r="F48" s="3186" t="s">
        <v>3402</v>
      </c>
      <c r="G48" s="3186" t="s">
        <v>3548</v>
      </c>
      <c r="H48" s="3186">
        <v>20</v>
      </c>
      <c r="I48" s="3186">
        <v>2015</v>
      </c>
      <c r="J48" s="3186">
        <v>0</v>
      </c>
      <c r="K48" s="3186">
        <v>38349</v>
      </c>
      <c r="L48" s="3186">
        <v>5166377</v>
      </c>
      <c r="M48" s="3187">
        <v>45353</v>
      </c>
      <c r="O48" s="3186">
        <v>27</v>
      </c>
      <c r="P48" s="3186" t="s">
        <v>3613</v>
      </c>
      <c r="Q48" s="3186" t="s">
        <v>3509</v>
      </c>
      <c r="R48" s="3186" t="s">
        <v>3490</v>
      </c>
      <c r="S48" s="3186">
        <v>42.39</v>
      </c>
      <c r="T48" s="3186" t="s">
        <v>3402</v>
      </c>
      <c r="U48" s="3186">
        <v>14</v>
      </c>
      <c r="V48" s="3186">
        <v>3</v>
      </c>
      <c r="W48" s="3186" t="s">
        <v>633</v>
      </c>
      <c r="X48" s="3186">
        <v>2005</v>
      </c>
      <c r="Y48" s="3186">
        <v>36565</v>
      </c>
      <c r="Z48" s="3186">
        <v>35518</v>
      </c>
      <c r="AA48" s="3186">
        <v>1505608</v>
      </c>
      <c r="AB48" s="3187">
        <v>44364</v>
      </c>
      <c r="AD48" s="3188">
        <v>30</v>
      </c>
      <c r="AE48" s="3188" t="s">
        <v>3664</v>
      </c>
      <c r="AF48" s="3188" t="s">
        <v>3510</v>
      </c>
      <c r="AG48" s="3188" t="s">
        <v>3490</v>
      </c>
      <c r="AH48" s="3188">
        <v>68.31</v>
      </c>
      <c r="AI48" s="3188" t="s">
        <v>3402</v>
      </c>
      <c r="AJ48" s="3188">
        <v>6</v>
      </c>
      <c r="AK48" s="3188">
        <v>5</v>
      </c>
      <c r="AL48" s="3188">
        <v>2010</v>
      </c>
      <c r="AM48" s="3188" t="s">
        <v>633</v>
      </c>
      <c r="AN48" s="3188">
        <v>27448</v>
      </c>
      <c r="AO48" s="3188">
        <v>28362</v>
      </c>
      <c r="AP48" s="3188">
        <v>1937408</v>
      </c>
      <c r="AQ48" s="3189">
        <v>45511</v>
      </c>
    </row>
    <row r="49" spans="1:43" ht="45.75" thickBot="1">
      <c r="A49" s="3188">
        <v>28</v>
      </c>
      <c r="B49" s="3188" t="s">
        <v>3557</v>
      </c>
      <c r="C49" s="3188" t="s">
        <v>3511</v>
      </c>
      <c r="D49" s="3188" t="s">
        <v>3490</v>
      </c>
      <c r="E49" s="3188">
        <v>121.02</v>
      </c>
      <c r="F49" s="3188" t="s">
        <v>3402</v>
      </c>
      <c r="G49" s="3188" t="s">
        <v>3528</v>
      </c>
      <c r="H49" s="3188">
        <v>2</v>
      </c>
      <c r="I49" s="3188">
        <v>2015</v>
      </c>
      <c r="J49" s="3188">
        <v>38010</v>
      </c>
      <c r="K49" s="3188">
        <v>35662</v>
      </c>
      <c r="L49" s="3188">
        <v>4315815</v>
      </c>
      <c r="M49" s="3189">
        <v>45349</v>
      </c>
      <c r="O49" s="3188">
        <v>28</v>
      </c>
      <c r="P49" s="3188" t="s">
        <v>3614</v>
      </c>
      <c r="Q49" s="3188" t="s">
        <v>3509</v>
      </c>
      <c r="R49" s="3188" t="s">
        <v>3490</v>
      </c>
      <c r="S49" s="3188">
        <v>43.22</v>
      </c>
      <c r="T49" s="3188" t="s">
        <v>3402</v>
      </c>
      <c r="U49" s="3188">
        <v>14</v>
      </c>
      <c r="V49" s="3188">
        <v>3</v>
      </c>
      <c r="W49" s="3188" t="s">
        <v>633</v>
      </c>
      <c r="X49" s="3188">
        <v>2005</v>
      </c>
      <c r="Y49" s="3188">
        <v>38339</v>
      </c>
      <c r="Z49" s="3188">
        <v>36407</v>
      </c>
      <c r="AA49" s="3188">
        <v>1573511</v>
      </c>
      <c r="AB49" s="3189">
        <v>44280</v>
      </c>
      <c r="AD49" s="3186">
        <v>31</v>
      </c>
      <c r="AE49" s="3186" t="s">
        <v>3665</v>
      </c>
      <c r="AF49" s="3186" t="s">
        <v>3510</v>
      </c>
      <c r="AG49" s="3186" t="s">
        <v>3490</v>
      </c>
      <c r="AH49" s="3186">
        <v>68.3</v>
      </c>
      <c r="AI49" s="3186" t="s">
        <v>3402</v>
      </c>
      <c r="AJ49" s="3186">
        <v>6</v>
      </c>
      <c r="AK49" s="3186">
        <v>4</v>
      </c>
      <c r="AL49" s="3186">
        <v>2010</v>
      </c>
      <c r="AM49" s="3186" t="s">
        <v>633</v>
      </c>
      <c r="AN49" s="3186">
        <v>26940</v>
      </c>
      <c r="AO49" s="3186">
        <v>27141</v>
      </c>
      <c r="AP49" s="3186">
        <v>1853730</v>
      </c>
      <c r="AQ49" s="3187">
        <v>45511</v>
      </c>
    </row>
    <row r="50" spans="1:43" ht="45.75" thickBot="1">
      <c r="A50" s="3186">
        <v>29</v>
      </c>
      <c r="B50" s="3186" t="s">
        <v>3558</v>
      </c>
      <c r="C50" s="3186" t="s">
        <v>3511</v>
      </c>
      <c r="D50" s="3186" t="s">
        <v>3490</v>
      </c>
      <c r="E50" s="3186">
        <v>121.1</v>
      </c>
      <c r="F50" s="3186" t="s">
        <v>3402</v>
      </c>
      <c r="G50" s="3186" t="s">
        <v>3528</v>
      </c>
      <c r="H50" s="3186">
        <v>9</v>
      </c>
      <c r="I50" s="3186" t="s">
        <v>633</v>
      </c>
      <c r="J50" s="3186">
        <v>37572</v>
      </c>
      <c r="K50" s="3186">
        <v>35120</v>
      </c>
      <c r="L50" s="3186">
        <v>4253032</v>
      </c>
      <c r="M50" s="3187">
        <v>45342</v>
      </c>
      <c r="O50" s="3186">
        <v>29</v>
      </c>
      <c r="P50" s="3186" t="s">
        <v>3615</v>
      </c>
      <c r="Q50" s="3186" t="s">
        <v>3509</v>
      </c>
      <c r="R50" s="3186" t="s">
        <v>3490</v>
      </c>
      <c r="S50" s="3186">
        <v>58.26</v>
      </c>
      <c r="T50" s="3186" t="s">
        <v>3402</v>
      </c>
      <c r="U50" s="3186">
        <v>14</v>
      </c>
      <c r="V50" s="3186">
        <v>13</v>
      </c>
      <c r="W50" s="3186" t="s">
        <v>633</v>
      </c>
      <c r="X50" s="3186">
        <v>2005</v>
      </c>
      <c r="Y50" s="3186">
        <v>38792</v>
      </c>
      <c r="Z50" s="3186">
        <v>38166</v>
      </c>
      <c r="AA50" s="3186">
        <v>2223551</v>
      </c>
      <c r="AB50" s="3187">
        <v>44278</v>
      </c>
      <c r="AD50" s="3188">
        <v>32</v>
      </c>
      <c r="AE50" s="3188" t="s">
        <v>3666</v>
      </c>
      <c r="AF50" s="3188" t="s">
        <v>3510</v>
      </c>
      <c r="AG50" s="3188" t="s">
        <v>3490</v>
      </c>
      <c r="AH50" s="3188">
        <v>92.43</v>
      </c>
      <c r="AI50" s="3188" t="s">
        <v>3402</v>
      </c>
      <c r="AJ50" s="3188" t="s">
        <v>3658</v>
      </c>
      <c r="AK50" s="3188">
        <v>3</v>
      </c>
      <c r="AL50" s="3188">
        <v>2010</v>
      </c>
      <c r="AM50" s="3188" t="s">
        <v>633</v>
      </c>
      <c r="AN50" s="3188">
        <v>25273</v>
      </c>
      <c r="AO50" s="3188">
        <v>26188</v>
      </c>
      <c r="AP50" s="3188">
        <v>2420557</v>
      </c>
      <c r="AQ50" s="3189">
        <v>45500</v>
      </c>
    </row>
    <row r="51" spans="1:43" ht="60.75" thickBot="1">
      <c r="A51" s="3188">
        <v>30</v>
      </c>
      <c r="B51" s="3188" t="s">
        <v>3559</v>
      </c>
      <c r="C51" s="3188" t="s">
        <v>3511</v>
      </c>
      <c r="D51" s="3188" t="s">
        <v>3490</v>
      </c>
      <c r="E51" s="3188">
        <v>130.5</v>
      </c>
      <c r="F51" s="3188" t="s">
        <v>3402</v>
      </c>
      <c r="G51" s="3188">
        <v>23</v>
      </c>
      <c r="H51" s="3188">
        <v>1</v>
      </c>
      <c r="I51" s="3188">
        <v>2015</v>
      </c>
      <c r="J51" s="3188">
        <v>35862</v>
      </c>
      <c r="K51" s="3188">
        <v>33296</v>
      </c>
      <c r="L51" s="3188">
        <v>4345128</v>
      </c>
      <c r="M51" s="3189">
        <v>45317</v>
      </c>
      <c r="O51" s="3188">
        <v>30</v>
      </c>
      <c r="P51" s="3188" t="s">
        <v>3616</v>
      </c>
      <c r="Q51" s="3188" t="s">
        <v>3509</v>
      </c>
      <c r="R51" s="3188" t="s">
        <v>3490</v>
      </c>
      <c r="S51" s="3188">
        <v>66.3</v>
      </c>
      <c r="T51" s="3188" t="s">
        <v>3402</v>
      </c>
      <c r="U51" s="3188" t="s">
        <v>3589</v>
      </c>
      <c r="V51" s="3188">
        <v>16</v>
      </c>
      <c r="W51" s="3188" t="s">
        <v>633</v>
      </c>
      <c r="X51" s="3188">
        <v>2005</v>
      </c>
      <c r="Y51" s="3188">
        <v>35445</v>
      </c>
      <c r="Z51" s="3188">
        <v>37513</v>
      </c>
      <c r="AA51" s="3188">
        <v>2487112</v>
      </c>
      <c r="AB51" s="3189">
        <v>44261</v>
      </c>
      <c r="AD51" s="3186">
        <v>33</v>
      </c>
      <c r="AE51" s="3186" t="s">
        <v>3667</v>
      </c>
      <c r="AF51" s="3186" t="s">
        <v>3510</v>
      </c>
      <c r="AG51" s="3186" t="s">
        <v>3490</v>
      </c>
      <c r="AH51" s="3186">
        <v>83.2</v>
      </c>
      <c r="AI51" s="3186" t="s">
        <v>3402</v>
      </c>
      <c r="AJ51" s="3186" t="s">
        <v>3629</v>
      </c>
      <c r="AK51" s="3186">
        <v>12</v>
      </c>
      <c r="AL51" s="3186" t="s">
        <v>633</v>
      </c>
      <c r="AM51" s="3186">
        <v>2010</v>
      </c>
      <c r="AN51" s="3186">
        <v>25841</v>
      </c>
      <c r="AO51" s="3186">
        <v>26130</v>
      </c>
      <c r="AP51" s="3186">
        <v>2174016</v>
      </c>
      <c r="AQ51" s="3187">
        <v>45494</v>
      </c>
    </row>
    <row r="52" spans="1:43" ht="60.75" thickBot="1">
      <c r="A52" s="3186">
        <v>31</v>
      </c>
      <c r="B52" s="3186" t="s">
        <v>3560</v>
      </c>
      <c r="C52" s="3186" t="s">
        <v>3511</v>
      </c>
      <c r="D52" s="3186" t="s">
        <v>3490</v>
      </c>
      <c r="E52" s="3186">
        <v>131.13999999999999</v>
      </c>
      <c r="F52" s="3186" t="s">
        <v>3402</v>
      </c>
      <c r="G52" s="3186" t="s">
        <v>3526</v>
      </c>
      <c r="H52" s="3186">
        <v>8</v>
      </c>
      <c r="I52" s="3186">
        <v>2015</v>
      </c>
      <c r="J52" s="3186">
        <v>38242</v>
      </c>
      <c r="K52" s="3186">
        <v>35378</v>
      </c>
      <c r="L52" s="3186">
        <v>4639471</v>
      </c>
      <c r="M52" s="3187">
        <v>45269</v>
      </c>
      <c r="O52" s="3186">
        <v>31</v>
      </c>
      <c r="P52" s="3186" t="s">
        <v>3617</v>
      </c>
      <c r="Q52" s="3186" t="s">
        <v>3509</v>
      </c>
      <c r="R52" s="3186" t="s">
        <v>3490</v>
      </c>
      <c r="S52" s="3186">
        <v>59.84</v>
      </c>
      <c r="T52" s="3186" t="s">
        <v>3402</v>
      </c>
      <c r="U52" s="3186" t="s">
        <v>3589</v>
      </c>
      <c r="V52" s="3186">
        <v>16</v>
      </c>
      <c r="W52" s="3186">
        <v>2005</v>
      </c>
      <c r="X52" s="3186" t="s">
        <v>633</v>
      </c>
      <c r="Y52" s="3186">
        <v>41544</v>
      </c>
      <c r="Z52" s="3186">
        <v>37994</v>
      </c>
      <c r="AA52" s="3186">
        <v>2273561</v>
      </c>
      <c r="AB52" s="3187">
        <v>44525</v>
      </c>
      <c r="AD52" s="3188">
        <v>34</v>
      </c>
      <c r="AE52" s="3188" t="s">
        <v>3668</v>
      </c>
      <c r="AF52" s="3188" t="s">
        <v>3510</v>
      </c>
      <c r="AG52" s="3188" t="s">
        <v>3490</v>
      </c>
      <c r="AH52" s="3188">
        <v>53.43</v>
      </c>
      <c r="AI52" s="3188" t="s">
        <v>3402</v>
      </c>
      <c r="AJ52" s="3188" t="s">
        <v>3629</v>
      </c>
      <c r="AK52" s="3188">
        <v>6</v>
      </c>
      <c r="AL52" s="3188" t="s">
        <v>633</v>
      </c>
      <c r="AM52" s="3188">
        <v>2010</v>
      </c>
      <c r="AN52" s="3188">
        <v>0</v>
      </c>
      <c r="AO52" s="3188">
        <v>27322</v>
      </c>
      <c r="AP52" s="3188">
        <v>1459814</v>
      </c>
      <c r="AQ52" s="3189">
        <v>45482</v>
      </c>
    </row>
    <row r="53" spans="1:43" ht="60.75" thickBot="1">
      <c r="A53" s="3188">
        <v>32</v>
      </c>
      <c r="B53" s="3206" t="s">
        <v>3561</v>
      </c>
      <c r="C53" s="3206" t="s">
        <v>3511</v>
      </c>
      <c r="D53" s="3206" t="s">
        <v>3490</v>
      </c>
      <c r="E53" s="3206">
        <v>71.55</v>
      </c>
      <c r="F53" s="3206" t="s">
        <v>3402</v>
      </c>
      <c r="G53" s="3206" t="s">
        <v>3548</v>
      </c>
      <c r="H53" s="3206">
        <v>20</v>
      </c>
      <c r="I53" s="3206">
        <v>2015</v>
      </c>
      <c r="J53" s="3206">
        <v>40252</v>
      </c>
      <c r="K53" s="3206">
        <v>37365</v>
      </c>
      <c r="L53" s="3206">
        <v>2673466</v>
      </c>
      <c r="M53" s="3207">
        <v>45210</v>
      </c>
      <c r="O53" s="3188">
        <v>32</v>
      </c>
      <c r="P53" s="3188" t="s">
        <v>3618</v>
      </c>
      <c r="Q53" s="3188" t="s">
        <v>3509</v>
      </c>
      <c r="R53" s="3188" t="s">
        <v>3490</v>
      </c>
      <c r="S53" s="3188">
        <v>87.78</v>
      </c>
      <c r="T53" s="3188" t="s">
        <v>3402</v>
      </c>
      <c r="U53" s="3188" t="s">
        <v>3589</v>
      </c>
      <c r="V53" s="3188">
        <v>12</v>
      </c>
      <c r="W53" s="3188" t="s">
        <v>633</v>
      </c>
      <c r="X53" s="3188">
        <v>2005</v>
      </c>
      <c r="Y53" s="3188">
        <v>0</v>
      </c>
      <c r="Z53" s="3188">
        <v>33058</v>
      </c>
      <c r="AA53" s="3188">
        <v>2901831</v>
      </c>
      <c r="AB53" s="3189">
        <v>44248</v>
      </c>
      <c r="AD53" s="3186">
        <v>35</v>
      </c>
      <c r="AE53" s="3186" t="s">
        <v>3669</v>
      </c>
      <c r="AF53" s="3186" t="s">
        <v>3510</v>
      </c>
      <c r="AG53" s="3186" t="s">
        <v>3490</v>
      </c>
      <c r="AH53" s="3186">
        <v>88.18</v>
      </c>
      <c r="AI53" s="3186" t="s">
        <v>3402</v>
      </c>
      <c r="AJ53" s="3186" t="s">
        <v>3658</v>
      </c>
      <c r="AK53" s="3186">
        <v>10</v>
      </c>
      <c r="AL53" s="3186" t="s">
        <v>633</v>
      </c>
      <c r="AM53" s="3186">
        <v>2010</v>
      </c>
      <c r="AN53" s="3186">
        <v>28805</v>
      </c>
      <c r="AO53" s="3186">
        <v>28987</v>
      </c>
      <c r="AP53" s="3186">
        <v>2556074</v>
      </c>
      <c r="AQ53" s="3187">
        <v>45428</v>
      </c>
    </row>
    <row r="54" spans="1:43" ht="45.75" thickBot="1">
      <c r="A54" s="3186">
        <v>33</v>
      </c>
      <c r="B54" s="3206" t="s">
        <v>3562</v>
      </c>
      <c r="C54" s="3206" t="s">
        <v>3511</v>
      </c>
      <c r="D54" s="3206" t="s">
        <v>3490</v>
      </c>
      <c r="E54" s="3206">
        <v>119.88</v>
      </c>
      <c r="F54" s="3206" t="s">
        <v>3402</v>
      </c>
      <c r="G54" s="3206" t="s">
        <v>3548</v>
      </c>
      <c r="H54" s="3206">
        <v>9</v>
      </c>
      <c r="I54" s="3206">
        <v>2015</v>
      </c>
      <c r="J54" s="3206">
        <v>39790</v>
      </c>
      <c r="K54" s="3206">
        <v>37044</v>
      </c>
      <c r="L54" s="3206">
        <v>4440835</v>
      </c>
      <c r="M54" s="3207">
        <v>45135</v>
      </c>
      <c r="O54" s="3186">
        <v>33</v>
      </c>
      <c r="P54" s="3186" t="s">
        <v>3619</v>
      </c>
      <c r="Q54" s="3186" t="s">
        <v>3509</v>
      </c>
      <c r="R54" s="3186" t="s">
        <v>3490</v>
      </c>
      <c r="S54" s="3186">
        <v>111.77</v>
      </c>
      <c r="T54" s="3186" t="s">
        <v>3402</v>
      </c>
      <c r="U54" s="3186">
        <v>6</v>
      </c>
      <c r="V54" s="3186">
        <v>1</v>
      </c>
      <c r="W54" s="3186" t="s">
        <v>633</v>
      </c>
      <c r="X54" s="3186">
        <v>2003</v>
      </c>
      <c r="Y54" s="3186">
        <v>0</v>
      </c>
      <c r="Z54" s="3186">
        <v>37396</v>
      </c>
      <c r="AA54" s="3186">
        <v>4179751</v>
      </c>
      <c r="AB54" s="3187">
        <v>44282</v>
      </c>
      <c r="AD54" s="3188">
        <v>36</v>
      </c>
      <c r="AE54" s="3188" t="s">
        <v>3670</v>
      </c>
      <c r="AF54" s="3188" t="s">
        <v>3510</v>
      </c>
      <c r="AG54" s="3188" t="s">
        <v>3490</v>
      </c>
      <c r="AH54" s="3188">
        <v>63.25</v>
      </c>
      <c r="AI54" s="3188" t="s">
        <v>3402</v>
      </c>
      <c r="AJ54" s="3188" t="s">
        <v>3526</v>
      </c>
      <c r="AK54" s="3188">
        <v>8</v>
      </c>
      <c r="AL54" s="3188">
        <v>2012</v>
      </c>
      <c r="AM54" s="3188" t="s">
        <v>633</v>
      </c>
      <c r="AN54" s="3188">
        <v>24253</v>
      </c>
      <c r="AO54" s="3188">
        <v>24289</v>
      </c>
      <c r="AP54" s="3188">
        <v>1536279</v>
      </c>
      <c r="AQ54" s="3189">
        <v>45402</v>
      </c>
    </row>
    <row r="55" spans="1:43" ht="60.75" thickBot="1">
      <c r="A55" s="3188">
        <v>34</v>
      </c>
      <c r="B55" s="3210" t="s">
        <v>3563</v>
      </c>
      <c r="C55" s="3210" t="s">
        <v>3511</v>
      </c>
      <c r="D55" s="3210" t="s">
        <v>3490</v>
      </c>
      <c r="E55" s="3210">
        <v>173.27</v>
      </c>
      <c r="F55" s="3210" t="s">
        <v>3402</v>
      </c>
      <c r="G55" s="3210" t="s">
        <v>3538</v>
      </c>
      <c r="H55" s="3210">
        <v>10</v>
      </c>
      <c r="I55" s="3210">
        <v>2015</v>
      </c>
      <c r="J55" s="3210">
        <v>42419</v>
      </c>
      <c r="K55" s="3210">
        <v>42453</v>
      </c>
      <c r="L55" s="3210">
        <v>7355831</v>
      </c>
      <c r="M55" s="3211">
        <v>45122</v>
      </c>
      <c r="O55" s="3188">
        <v>34</v>
      </c>
      <c r="P55" s="3188" t="s">
        <v>3620</v>
      </c>
      <c r="Q55" s="3188" t="s">
        <v>3509</v>
      </c>
      <c r="R55" s="3188" t="s">
        <v>3490</v>
      </c>
      <c r="S55" s="3188">
        <v>164.02</v>
      </c>
      <c r="T55" s="3188" t="s">
        <v>3402</v>
      </c>
      <c r="U55" s="3188">
        <v>6</v>
      </c>
      <c r="V55" s="3188">
        <v>6</v>
      </c>
      <c r="W55" s="3188" t="s">
        <v>633</v>
      </c>
      <c r="X55" s="3188">
        <v>2005</v>
      </c>
      <c r="Y55" s="3188">
        <v>26613</v>
      </c>
      <c r="Z55" s="3188">
        <v>25754</v>
      </c>
      <c r="AA55" s="3188">
        <v>4224171</v>
      </c>
      <c r="AB55" s="3189">
        <v>44174</v>
      </c>
      <c r="AD55" s="3186">
        <v>37</v>
      </c>
      <c r="AE55" s="3186" t="s">
        <v>3671</v>
      </c>
      <c r="AF55" s="3186" t="s">
        <v>3510</v>
      </c>
      <c r="AG55" s="3186" t="s">
        <v>3628</v>
      </c>
      <c r="AH55" s="3186">
        <v>89.53</v>
      </c>
      <c r="AI55" s="3186" t="s">
        <v>3402</v>
      </c>
      <c r="AJ55" s="3186">
        <v>7</v>
      </c>
      <c r="AK55" s="3186">
        <v>6</v>
      </c>
      <c r="AL55" s="3186" t="s">
        <v>633</v>
      </c>
      <c r="AM55" s="3186">
        <v>2010</v>
      </c>
      <c r="AN55" s="3186">
        <v>33843</v>
      </c>
      <c r="AO55" s="3186">
        <v>31121</v>
      </c>
      <c r="AP55" s="3186">
        <v>2786263</v>
      </c>
      <c r="AQ55" s="3187">
        <v>45391</v>
      </c>
    </row>
    <row r="56" spans="1:43" ht="60.75" thickBot="1">
      <c r="A56" s="3186">
        <v>35</v>
      </c>
      <c r="B56" s="3186" t="s">
        <v>3564</v>
      </c>
      <c r="C56" s="3186" t="s">
        <v>3511</v>
      </c>
      <c r="D56" s="3186" t="s">
        <v>3490</v>
      </c>
      <c r="E56" s="3186">
        <v>93.45</v>
      </c>
      <c r="F56" s="3186" t="s">
        <v>3402</v>
      </c>
      <c r="G56" s="3186" t="s">
        <v>3526</v>
      </c>
      <c r="H56" s="3186">
        <v>5</v>
      </c>
      <c r="I56" s="3186" t="s">
        <v>633</v>
      </c>
      <c r="J56" s="3186">
        <v>44195</v>
      </c>
      <c r="K56" s="3186">
        <v>39201</v>
      </c>
      <c r="L56" s="3186">
        <v>3663333</v>
      </c>
      <c r="M56" s="3187">
        <v>45020</v>
      </c>
      <c r="O56" s="3186">
        <v>35</v>
      </c>
      <c r="P56" s="3195" t="s">
        <v>3621</v>
      </c>
      <c r="Q56" s="3195" t="s">
        <v>3509</v>
      </c>
      <c r="R56" s="3195" t="s">
        <v>3490</v>
      </c>
      <c r="S56" s="3195">
        <v>53.48</v>
      </c>
      <c r="T56" s="3195" t="s">
        <v>3402</v>
      </c>
      <c r="U56" s="3195" t="s">
        <v>3589</v>
      </c>
      <c r="V56" s="3195">
        <v>13</v>
      </c>
      <c r="W56" s="3195" t="s">
        <v>633</v>
      </c>
      <c r="X56" s="3195">
        <v>2005</v>
      </c>
      <c r="Y56" s="3195">
        <v>0</v>
      </c>
      <c r="Z56" s="3195">
        <v>39117</v>
      </c>
      <c r="AA56" s="3195">
        <v>2091977</v>
      </c>
      <c r="AB56" s="3196">
        <v>44104</v>
      </c>
      <c r="AD56" s="3188">
        <v>38</v>
      </c>
      <c r="AE56" s="3188" t="s">
        <v>3672</v>
      </c>
      <c r="AF56" s="3188" t="s">
        <v>3510</v>
      </c>
      <c r="AG56" s="3188" t="s">
        <v>3490</v>
      </c>
      <c r="AH56" s="3188">
        <v>70.709999999999994</v>
      </c>
      <c r="AI56" s="3188" t="s">
        <v>3402</v>
      </c>
      <c r="AJ56" s="3188">
        <v>7</v>
      </c>
      <c r="AK56" s="3188">
        <v>2</v>
      </c>
      <c r="AL56" s="3188" t="s">
        <v>633</v>
      </c>
      <c r="AM56" s="3188">
        <v>2010</v>
      </c>
      <c r="AN56" s="3188">
        <v>28285</v>
      </c>
      <c r="AO56" s="3188">
        <v>27255</v>
      </c>
      <c r="AP56" s="3188">
        <v>1927201</v>
      </c>
      <c r="AQ56" s="3189">
        <v>45377</v>
      </c>
    </row>
    <row r="57" spans="1:43" ht="60.75" thickBot="1">
      <c r="A57" s="3188">
        <v>36</v>
      </c>
      <c r="B57" s="3188" t="s">
        <v>3565</v>
      </c>
      <c r="C57" s="3188" t="s">
        <v>3511</v>
      </c>
      <c r="D57" s="3188" t="s">
        <v>3490</v>
      </c>
      <c r="E57" s="3188">
        <v>93.45</v>
      </c>
      <c r="F57" s="3188" t="s">
        <v>3402</v>
      </c>
      <c r="G57" s="3188" t="s">
        <v>3526</v>
      </c>
      <c r="H57" s="3188">
        <v>8</v>
      </c>
      <c r="I57" s="3188">
        <v>2015</v>
      </c>
      <c r="J57" s="3188">
        <v>42804</v>
      </c>
      <c r="K57" s="3188">
        <v>39015</v>
      </c>
      <c r="L57" s="3188">
        <v>3645952</v>
      </c>
      <c r="M57" s="3189">
        <v>44982</v>
      </c>
      <c r="O57" s="3188">
        <v>36</v>
      </c>
      <c r="P57" s="3188" t="s">
        <v>3622</v>
      </c>
      <c r="Q57" s="3188" t="s">
        <v>3509</v>
      </c>
      <c r="R57" s="3188" t="s">
        <v>3490</v>
      </c>
      <c r="S57" s="3188">
        <v>62.63</v>
      </c>
      <c r="T57" s="3188" t="s">
        <v>3402</v>
      </c>
      <c r="U57" s="3188">
        <v>14</v>
      </c>
      <c r="V57" s="3188">
        <v>9</v>
      </c>
      <c r="W57" s="3188" t="s">
        <v>633</v>
      </c>
      <c r="X57" s="3188">
        <v>2005</v>
      </c>
      <c r="Y57" s="3188">
        <v>39917</v>
      </c>
      <c r="Z57" s="3188">
        <v>38005</v>
      </c>
      <c r="AA57" s="3188">
        <v>2380253</v>
      </c>
      <c r="AB57" s="3189">
        <v>44089</v>
      </c>
      <c r="AD57" s="3186">
        <v>39</v>
      </c>
      <c r="AE57" s="3186" t="s">
        <v>3673</v>
      </c>
      <c r="AF57" s="3186" t="s">
        <v>3510</v>
      </c>
      <c r="AG57" s="3186" t="s">
        <v>3490</v>
      </c>
      <c r="AH57" s="3186">
        <v>75.430000000000007</v>
      </c>
      <c r="AI57" s="3186" t="s">
        <v>3402</v>
      </c>
      <c r="AJ57" s="3186" t="s">
        <v>3636</v>
      </c>
      <c r="AK57" s="3186">
        <v>10</v>
      </c>
      <c r="AL57" s="3186" t="s">
        <v>633</v>
      </c>
      <c r="AM57" s="3186">
        <v>2010</v>
      </c>
      <c r="AN57" s="3186">
        <v>34138</v>
      </c>
      <c r="AO57" s="3186">
        <v>31638</v>
      </c>
      <c r="AP57" s="3186">
        <v>2386454</v>
      </c>
      <c r="AQ57" s="3187">
        <v>45308</v>
      </c>
    </row>
    <row r="58" spans="1:43" ht="60.75" thickBot="1">
      <c r="A58" s="3186">
        <v>37</v>
      </c>
      <c r="B58" s="3186" t="s">
        <v>3566</v>
      </c>
      <c r="C58" s="3186" t="s">
        <v>3511</v>
      </c>
      <c r="D58" s="3186" t="s">
        <v>3490</v>
      </c>
      <c r="E58" s="3186">
        <v>93.45</v>
      </c>
      <c r="F58" s="3186" t="s">
        <v>3402</v>
      </c>
      <c r="G58" s="3186" t="s">
        <v>3526</v>
      </c>
      <c r="H58" s="3186">
        <v>16</v>
      </c>
      <c r="I58" s="3186">
        <v>2015</v>
      </c>
      <c r="J58" s="3186">
        <v>43125</v>
      </c>
      <c r="K58" s="3186">
        <v>39201</v>
      </c>
      <c r="L58" s="3186">
        <v>3663333</v>
      </c>
      <c r="M58" s="3187">
        <v>44945</v>
      </c>
      <c r="O58" s="3186">
        <v>37</v>
      </c>
      <c r="P58" s="3186" t="s">
        <v>3623</v>
      </c>
      <c r="Q58" s="3186" t="s">
        <v>3509</v>
      </c>
      <c r="R58" s="3186" t="s">
        <v>3490</v>
      </c>
      <c r="S58" s="3186">
        <v>89.63</v>
      </c>
      <c r="T58" s="3186" t="s">
        <v>3402</v>
      </c>
      <c r="U58" s="3186" t="s">
        <v>3589</v>
      </c>
      <c r="V58" s="3186">
        <v>7</v>
      </c>
      <c r="W58" s="3186">
        <v>2005</v>
      </c>
      <c r="X58" s="3186" t="s">
        <v>633</v>
      </c>
      <c r="Y58" s="3186">
        <v>36260</v>
      </c>
      <c r="Z58" s="3186">
        <v>34828</v>
      </c>
      <c r="AA58" s="3186">
        <v>3121634</v>
      </c>
      <c r="AB58" s="3187">
        <v>44034</v>
      </c>
      <c r="AD58" s="3206">
        <v>40</v>
      </c>
      <c r="AE58" s="3206" t="s">
        <v>3674</v>
      </c>
      <c r="AF58" s="3206" t="s">
        <v>3510</v>
      </c>
      <c r="AG58" s="3206" t="s">
        <v>3490</v>
      </c>
      <c r="AH58" s="3206">
        <v>63.6</v>
      </c>
      <c r="AI58" s="3206" t="s">
        <v>3402</v>
      </c>
      <c r="AJ58" s="3206" t="s">
        <v>3630</v>
      </c>
      <c r="AK58" s="3206">
        <v>4</v>
      </c>
      <c r="AL58" s="3206">
        <v>2012</v>
      </c>
      <c r="AM58" s="3206" t="s">
        <v>633</v>
      </c>
      <c r="AN58" s="3206">
        <v>26840</v>
      </c>
      <c r="AO58" s="3206">
        <v>26790</v>
      </c>
      <c r="AP58" s="3206">
        <v>1703844</v>
      </c>
      <c r="AQ58" s="3207">
        <v>45265</v>
      </c>
    </row>
    <row r="59" spans="1:43" ht="60.75" thickBot="1">
      <c r="A59" s="3188">
        <v>38</v>
      </c>
      <c r="B59" s="3188" t="s">
        <v>3567</v>
      </c>
      <c r="C59" s="3188" t="s">
        <v>3511</v>
      </c>
      <c r="D59" s="3188" t="s">
        <v>3490</v>
      </c>
      <c r="E59" s="3188">
        <v>92.45</v>
      </c>
      <c r="F59" s="3188" t="s">
        <v>3402</v>
      </c>
      <c r="G59" s="3188" t="s">
        <v>3526</v>
      </c>
      <c r="H59" s="3188">
        <v>9</v>
      </c>
      <c r="I59" s="3188">
        <v>2015</v>
      </c>
      <c r="J59" s="3188">
        <v>42726</v>
      </c>
      <c r="K59" s="3188">
        <v>39343</v>
      </c>
      <c r="L59" s="3188">
        <v>3637260</v>
      </c>
      <c r="M59" s="3189">
        <v>44925</v>
      </c>
      <c r="O59" s="3188">
        <v>38</v>
      </c>
      <c r="P59" s="3188" t="s">
        <v>3624</v>
      </c>
      <c r="Q59" s="3188" t="s">
        <v>3509</v>
      </c>
      <c r="R59" s="3188" t="s">
        <v>3490</v>
      </c>
      <c r="S59" s="3188">
        <v>118.87</v>
      </c>
      <c r="T59" s="3188" t="s">
        <v>3402</v>
      </c>
      <c r="U59" s="3188" t="s">
        <v>3589</v>
      </c>
      <c r="V59" s="3188">
        <v>4</v>
      </c>
      <c r="W59" s="3188">
        <v>2005</v>
      </c>
      <c r="X59" s="3188" t="s">
        <v>633</v>
      </c>
      <c r="Y59" s="3188">
        <v>38614</v>
      </c>
      <c r="Z59" s="3188">
        <v>36988</v>
      </c>
      <c r="AA59" s="3188">
        <v>4396764</v>
      </c>
      <c r="AB59" s="3189">
        <v>44000</v>
      </c>
      <c r="AD59" s="3206">
        <v>42</v>
      </c>
      <c r="AE59" s="3206" t="s">
        <v>3675</v>
      </c>
      <c r="AF59" s="3206" t="s">
        <v>3510</v>
      </c>
      <c r="AG59" s="3206" t="s">
        <v>3490</v>
      </c>
      <c r="AH59" s="3206">
        <v>63.86</v>
      </c>
      <c r="AI59" s="3206" t="s">
        <v>3402</v>
      </c>
      <c r="AJ59" s="3206" t="s">
        <v>3663</v>
      </c>
      <c r="AK59" s="3206">
        <v>13</v>
      </c>
      <c r="AL59" s="3206" t="s">
        <v>633</v>
      </c>
      <c r="AM59" s="3206">
        <v>2012</v>
      </c>
      <c r="AN59" s="3206">
        <v>27482</v>
      </c>
      <c r="AO59" s="3206">
        <v>27333</v>
      </c>
      <c r="AP59" s="3206">
        <v>1745485</v>
      </c>
      <c r="AQ59" s="3207">
        <v>45213</v>
      </c>
    </row>
    <row r="60" spans="1:43" ht="45.75" thickBot="1">
      <c r="A60" s="3186">
        <v>39</v>
      </c>
      <c r="B60" s="3186" t="s">
        <v>3568</v>
      </c>
      <c r="C60" s="3186" t="s">
        <v>3511</v>
      </c>
      <c r="D60" s="3186" t="s">
        <v>3490</v>
      </c>
      <c r="E60" s="3186">
        <v>132.5</v>
      </c>
      <c r="F60" s="3186" t="s">
        <v>3402</v>
      </c>
      <c r="G60" s="3186" t="s">
        <v>3526</v>
      </c>
      <c r="H60" s="3186">
        <v>7</v>
      </c>
      <c r="I60" s="3186">
        <v>2015</v>
      </c>
      <c r="J60" s="3186">
        <v>39094</v>
      </c>
      <c r="K60" s="3186">
        <v>35914</v>
      </c>
      <c r="L60" s="3186">
        <v>4758605</v>
      </c>
      <c r="M60" s="3187">
        <v>44925</v>
      </c>
      <c r="AD60" s="3206">
        <v>43</v>
      </c>
      <c r="AE60" s="3206" t="s">
        <v>3676</v>
      </c>
      <c r="AF60" s="3206" t="s">
        <v>3510</v>
      </c>
      <c r="AG60" s="3206" t="s">
        <v>3490</v>
      </c>
      <c r="AH60" s="3206">
        <v>75.48</v>
      </c>
      <c r="AI60" s="3206" t="s">
        <v>3402</v>
      </c>
      <c r="AJ60" s="3206" t="s">
        <v>3636</v>
      </c>
      <c r="AK60" s="3206">
        <v>8</v>
      </c>
      <c r="AL60" s="3206">
        <v>2010</v>
      </c>
      <c r="AM60" s="3206" t="s">
        <v>633</v>
      </c>
      <c r="AN60" s="3206">
        <v>35109</v>
      </c>
      <c r="AO60" s="3206">
        <v>34518</v>
      </c>
      <c r="AP60" s="3206">
        <v>2605419</v>
      </c>
      <c r="AQ60" s="3207">
        <v>45243</v>
      </c>
    </row>
    <row r="61" spans="1:43" ht="60.75" thickBot="1">
      <c r="A61" s="3188">
        <v>40</v>
      </c>
      <c r="B61" s="3188" t="s">
        <v>3569</v>
      </c>
      <c r="C61" s="3188" t="s">
        <v>3511</v>
      </c>
      <c r="D61" s="3188" t="s">
        <v>3490</v>
      </c>
      <c r="E61" s="3188">
        <v>101.93</v>
      </c>
      <c r="F61" s="3188" t="s">
        <v>3402</v>
      </c>
      <c r="G61" s="3188" t="s">
        <v>3548</v>
      </c>
      <c r="H61" s="3188">
        <v>14</v>
      </c>
      <c r="I61" s="3188">
        <v>2015</v>
      </c>
      <c r="J61" s="3188">
        <v>41205</v>
      </c>
      <c r="K61" s="3188">
        <v>39756</v>
      </c>
      <c r="L61" s="3188">
        <v>4052329</v>
      </c>
      <c r="M61" s="3189">
        <v>44581</v>
      </c>
      <c r="AD61" s="3188">
        <v>44</v>
      </c>
      <c r="AE61" s="3188" t="s">
        <v>3677</v>
      </c>
      <c r="AF61" s="3188" t="s">
        <v>3510</v>
      </c>
      <c r="AG61" s="3188" t="s">
        <v>3490</v>
      </c>
      <c r="AH61" s="3188">
        <v>48.68</v>
      </c>
      <c r="AI61" s="3188" t="s">
        <v>3402</v>
      </c>
      <c r="AJ61" s="3188">
        <v>6</v>
      </c>
      <c r="AK61" s="3188">
        <v>4</v>
      </c>
      <c r="AL61" s="3188">
        <v>2010</v>
      </c>
      <c r="AM61" s="3188" t="s">
        <v>633</v>
      </c>
      <c r="AN61" s="3188">
        <v>33895</v>
      </c>
      <c r="AO61" s="3188">
        <v>33986</v>
      </c>
      <c r="AP61" s="3188">
        <v>1654438</v>
      </c>
      <c r="AQ61" s="3189">
        <v>45177</v>
      </c>
    </row>
    <row r="62" spans="1:43" ht="60.75" thickBot="1">
      <c r="A62" s="3186">
        <v>41</v>
      </c>
      <c r="B62" s="3186" t="s">
        <v>3570</v>
      </c>
      <c r="C62" s="3186" t="s">
        <v>3511</v>
      </c>
      <c r="D62" s="3186" t="s">
        <v>3490</v>
      </c>
      <c r="E62" s="3186">
        <v>121.03</v>
      </c>
      <c r="F62" s="3186" t="s">
        <v>3402</v>
      </c>
      <c r="G62" s="3186" t="s">
        <v>3530</v>
      </c>
      <c r="H62" s="3186">
        <v>15</v>
      </c>
      <c r="I62" s="3186">
        <v>2015</v>
      </c>
      <c r="J62" s="3186">
        <v>42965</v>
      </c>
      <c r="K62" s="3186">
        <v>40925</v>
      </c>
      <c r="L62" s="3186">
        <v>4953153</v>
      </c>
      <c r="M62" s="3187">
        <v>44512</v>
      </c>
      <c r="AD62" s="3186">
        <v>45</v>
      </c>
      <c r="AE62" s="3186" t="s">
        <v>3678</v>
      </c>
      <c r="AF62" s="3186" t="s">
        <v>3510</v>
      </c>
      <c r="AG62" s="3186" t="s">
        <v>3490</v>
      </c>
      <c r="AH62" s="3186">
        <v>63.6</v>
      </c>
      <c r="AI62" s="3186" t="s">
        <v>3402</v>
      </c>
      <c r="AJ62" s="3186" t="s">
        <v>3630</v>
      </c>
      <c r="AK62" s="3186">
        <v>13</v>
      </c>
      <c r="AL62" s="3186">
        <v>2012</v>
      </c>
      <c r="AM62" s="3186" t="s">
        <v>633</v>
      </c>
      <c r="AN62" s="3186">
        <v>31761</v>
      </c>
      <c r="AO62" s="3186">
        <v>29913</v>
      </c>
      <c r="AP62" s="3186">
        <v>1902467</v>
      </c>
      <c r="AQ62" s="3187">
        <v>45071</v>
      </c>
    </row>
    <row r="63" spans="1:43" ht="60.75" thickBot="1">
      <c r="A63" s="3188">
        <v>42</v>
      </c>
      <c r="B63" s="3188" t="s">
        <v>3571</v>
      </c>
      <c r="C63" s="3188" t="s">
        <v>3511</v>
      </c>
      <c r="D63" s="3188" t="s">
        <v>3490</v>
      </c>
      <c r="E63" s="3188">
        <v>92.67</v>
      </c>
      <c r="F63" s="3188" t="s">
        <v>3402</v>
      </c>
      <c r="G63" s="3188" t="s">
        <v>3526</v>
      </c>
      <c r="H63" s="3188">
        <v>4</v>
      </c>
      <c r="I63" s="3188">
        <v>2015</v>
      </c>
      <c r="J63" s="3188">
        <v>40142</v>
      </c>
      <c r="K63" s="3188">
        <v>38172</v>
      </c>
      <c r="L63" s="3188">
        <v>3537399</v>
      </c>
      <c r="M63" s="3189">
        <v>44401</v>
      </c>
      <c r="AD63" s="3188">
        <v>46</v>
      </c>
      <c r="AE63" s="3188" t="s">
        <v>3679</v>
      </c>
      <c r="AF63" s="3188" t="s">
        <v>3510</v>
      </c>
      <c r="AG63" s="3188" t="s">
        <v>3490</v>
      </c>
      <c r="AH63" s="3188">
        <v>97.23</v>
      </c>
      <c r="AI63" s="3188" t="s">
        <v>3402</v>
      </c>
      <c r="AJ63" s="3188" t="s">
        <v>3636</v>
      </c>
      <c r="AK63" s="3197">
        <v>46338</v>
      </c>
      <c r="AL63" s="3188" t="s">
        <v>633</v>
      </c>
      <c r="AM63" s="3188">
        <v>2010</v>
      </c>
      <c r="AN63" s="3188">
        <v>0</v>
      </c>
      <c r="AO63" s="3188">
        <v>31260</v>
      </c>
      <c r="AP63" s="3188">
        <v>3039410</v>
      </c>
      <c r="AQ63" s="3189">
        <v>45041</v>
      </c>
    </row>
    <row r="64" spans="1:43" ht="60.75" thickBot="1">
      <c r="A64" s="3186">
        <v>43</v>
      </c>
      <c r="B64" s="3186" t="s">
        <v>3572</v>
      </c>
      <c r="C64" s="3186" t="s">
        <v>3511</v>
      </c>
      <c r="D64" s="3186" t="s">
        <v>3490</v>
      </c>
      <c r="E64" s="3186">
        <v>134.72</v>
      </c>
      <c r="F64" s="3186" t="s">
        <v>3402</v>
      </c>
      <c r="G64" s="3186" t="s">
        <v>3548</v>
      </c>
      <c r="H64" s="3186">
        <v>20</v>
      </c>
      <c r="I64" s="3186">
        <v>2015</v>
      </c>
      <c r="J64" s="3186">
        <v>37173</v>
      </c>
      <c r="K64" s="3186">
        <v>35574</v>
      </c>
      <c r="L64" s="3186">
        <v>4792529</v>
      </c>
      <c r="M64" s="3187">
        <v>44399</v>
      </c>
      <c r="AD64" s="3186">
        <v>47</v>
      </c>
      <c r="AE64" s="3186" t="s">
        <v>3680</v>
      </c>
      <c r="AF64" s="3186" t="s">
        <v>3510</v>
      </c>
      <c r="AG64" s="3186" t="s">
        <v>3490</v>
      </c>
      <c r="AH64" s="3186">
        <v>47.73</v>
      </c>
      <c r="AI64" s="3186" t="s">
        <v>3402</v>
      </c>
      <c r="AJ64" s="3186" t="s">
        <v>3658</v>
      </c>
      <c r="AK64" s="3186">
        <v>6</v>
      </c>
      <c r="AL64" s="3186">
        <v>2010</v>
      </c>
      <c r="AM64" s="3186" t="s">
        <v>633</v>
      </c>
      <c r="AN64" s="3186">
        <v>33522</v>
      </c>
      <c r="AO64" s="3186">
        <v>33558</v>
      </c>
      <c r="AP64" s="3186">
        <v>1601723</v>
      </c>
      <c r="AQ64" s="3187">
        <v>45040</v>
      </c>
    </row>
    <row r="65" spans="1:43" ht="45.75" thickBot="1">
      <c r="A65" s="3188">
        <v>44</v>
      </c>
      <c r="B65" s="3188" t="s">
        <v>3573</v>
      </c>
      <c r="C65" s="3188" t="s">
        <v>3511</v>
      </c>
      <c r="D65" s="3188" t="s">
        <v>3490</v>
      </c>
      <c r="E65" s="3188">
        <v>131.13999999999999</v>
      </c>
      <c r="F65" s="3188" t="s">
        <v>3402</v>
      </c>
      <c r="G65" s="3188" t="s">
        <v>3526</v>
      </c>
      <c r="H65" s="3188">
        <v>14</v>
      </c>
      <c r="I65" s="3188">
        <v>2015</v>
      </c>
      <c r="J65" s="3188">
        <v>43312</v>
      </c>
      <c r="K65" s="3188">
        <v>38409</v>
      </c>
      <c r="L65" s="3188">
        <v>5036956</v>
      </c>
      <c r="M65" s="3189">
        <v>44387</v>
      </c>
      <c r="AD65" s="3188">
        <v>48</v>
      </c>
      <c r="AE65" s="3188" t="s">
        <v>3681</v>
      </c>
      <c r="AF65" s="3188" t="s">
        <v>3510</v>
      </c>
      <c r="AG65" s="3188" t="s">
        <v>3490</v>
      </c>
      <c r="AH65" s="3188">
        <v>88.26</v>
      </c>
      <c r="AI65" s="3188" t="s">
        <v>3402</v>
      </c>
      <c r="AJ65" s="3188" t="s">
        <v>3682</v>
      </c>
      <c r="AK65" s="3188">
        <v>5</v>
      </c>
      <c r="AL65" s="3188" t="s">
        <v>633</v>
      </c>
      <c r="AM65" s="3188">
        <v>2010</v>
      </c>
      <c r="AN65" s="3188">
        <v>40222</v>
      </c>
      <c r="AO65" s="3188">
        <v>36226</v>
      </c>
      <c r="AP65" s="3188">
        <v>3197307</v>
      </c>
      <c r="AQ65" s="3189">
        <v>45035</v>
      </c>
    </row>
    <row r="66" spans="1:43" ht="45.75" thickBot="1">
      <c r="A66" s="3186">
        <v>45</v>
      </c>
      <c r="B66" s="3186" t="s">
        <v>3574</v>
      </c>
      <c r="C66" s="3186" t="s">
        <v>3511</v>
      </c>
      <c r="D66" s="3186" t="s">
        <v>3490</v>
      </c>
      <c r="E66" s="3186">
        <v>121.14</v>
      </c>
      <c r="F66" s="3186" t="s">
        <v>3402</v>
      </c>
      <c r="G66" s="3186" t="s">
        <v>3526</v>
      </c>
      <c r="H66" s="3186">
        <v>7</v>
      </c>
      <c r="I66" s="3186">
        <v>2015</v>
      </c>
      <c r="J66" s="3186">
        <v>41852</v>
      </c>
      <c r="K66" s="3186">
        <v>38295</v>
      </c>
      <c r="L66" s="3186">
        <v>4639056</v>
      </c>
      <c r="M66" s="3187">
        <v>44331</v>
      </c>
      <c r="AD66" s="3186">
        <v>49</v>
      </c>
      <c r="AE66" s="3186" t="s">
        <v>3683</v>
      </c>
      <c r="AF66" s="3186" t="s">
        <v>3510</v>
      </c>
      <c r="AG66" s="3186" t="s">
        <v>3490</v>
      </c>
      <c r="AH66" s="3186">
        <v>62.47</v>
      </c>
      <c r="AI66" s="3186" t="s">
        <v>3402</v>
      </c>
      <c r="AJ66" s="3186" t="s">
        <v>3663</v>
      </c>
      <c r="AK66" s="3186">
        <v>6</v>
      </c>
      <c r="AL66" s="3186" t="s">
        <v>633</v>
      </c>
      <c r="AM66" s="3186">
        <v>2012</v>
      </c>
      <c r="AN66" s="3186">
        <v>31535</v>
      </c>
      <c r="AO66" s="3186">
        <v>29842</v>
      </c>
      <c r="AP66" s="3186">
        <v>1864230</v>
      </c>
      <c r="AQ66" s="3187">
        <v>45015</v>
      </c>
    </row>
    <row r="67" spans="1:43" ht="45.75" thickBot="1">
      <c r="A67" s="3188">
        <v>46</v>
      </c>
      <c r="B67" s="3188" t="s">
        <v>3575</v>
      </c>
      <c r="C67" s="3188" t="s">
        <v>3511</v>
      </c>
      <c r="D67" s="3188" t="s">
        <v>3490</v>
      </c>
      <c r="E67" s="3188">
        <v>92.77</v>
      </c>
      <c r="F67" s="3188" t="s">
        <v>3402</v>
      </c>
      <c r="G67" s="3188" t="s">
        <v>3526</v>
      </c>
      <c r="H67" s="3188">
        <v>16</v>
      </c>
      <c r="I67" s="3188">
        <v>2015</v>
      </c>
      <c r="J67" s="3188">
        <v>40423</v>
      </c>
      <c r="K67" s="3188">
        <v>38086</v>
      </c>
      <c r="L67" s="3188">
        <v>3533238</v>
      </c>
      <c r="M67" s="3189">
        <v>44323</v>
      </c>
      <c r="AD67" s="3188">
        <v>50</v>
      </c>
      <c r="AE67" s="3188" t="s">
        <v>3684</v>
      </c>
      <c r="AF67" s="3188" t="s">
        <v>3510</v>
      </c>
      <c r="AG67" s="3188" t="s">
        <v>3490</v>
      </c>
      <c r="AH67" s="3188">
        <v>63.87</v>
      </c>
      <c r="AI67" s="3188" t="s">
        <v>3402</v>
      </c>
      <c r="AJ67" s="3188" t="s">
        <v>3526</v>
      </c>
      <c r="AK67" s="3188">
        <v>21</v>
      </c>
      <c r="AL67" s="3188">
        <v>2012</v>
      </c>
      <c r="AM67" s="3188" t="s">
        <v>633</v>
      </c>
      <c r="AN67" s="3188">
        <v>0</v>
      </c>
      <c r="AO67" s="3188">
        <v>35704</v>
      </c>
      <c r="AP67" s="3188">
        <v>2280414</v>
      </c>
      <c r="AQ67" s="3189">
        <v>44973</v>
      </c>
    </row>
    <row r="68" spans="1:43" ht="60.75" thickBot="1">
      <c r="A68" s="3186">
        <v>47</v>
      </c>
      <c r="B68" s="3186" t="s">
        <v>3576</v>
      </c>
      <c r="C68" s="3186" t="s">
        <v>3511</v>
      </c>
      <c r="D68" s="3186" t="s">
        <v>3490</v>
      </c>
      <c r="E68" s="3186">
        <v>131.69999999999999</v>
      </c>
      <c r="F68" s="3186" t="s">
        <v>3402</v>
      </c>
      <c r="G68" s="3186" t="s">
        <v>3538</v>
      </c>
      <c r="H68" s="3186">
        <v>14</v>
      </c>
      <c r="I68" s="3186">
        <v>2015</v>
      </c>
      <c r="J68" s="3186">
        <v>38573</v>
      </c>
      <c r="K68" s="3186">
        <v>37669</v>
      </c>
      <c r="L68" s="3186">
        <v>4961007</v>
      </c>
      <c r="M68" s="3187">
        <v>44278</v>
      </c>
      <c r="AD68" s="3186">
        <v>51</v>
      </c>
      <c r="AE68" s="3186" t="s">
        <v>3685</v>
      </c>
      <c r="AF68" s="3186" t="s">
        <v>3510</v>
      </c>
      <c r="AG68" s="3186" t="s">
        <v>3628</v>
      </c>
      <c r="AH68" s="3186">
        <v>62.83</v>
      </c>
      <c r="AI68" s="3186" t="s">
        <v>3402</v>
      </c>
      <c r="AJ68" s="3186" t="s">
        <v>3526</v>
      </c>
      <c r="AK68" s="3186">
        <v>21</v>
      </c>
      <c r="AL68" s="3186" t="s">
        <v>633</v>
      </c>
      <c r="AM68" s="3186">
        <v>2012</v>
      </c>
      <c r="AN68" s="3186">
        <v>29604</v>
      </c>
      <c r="AO68" s="3186">
        <v>29113</v>
      </c>
      <c r="AP68" s="3186">
        <v>1829170</v>
      </c>
      <c r="AQ68" s="3187">
        <v>44894</v>
      </c>
    </row>
    <row r="69" spans="1:43" ht="45.75" thickBot="1">
      <c r="A69" s="3188">
        <v>48</v>
      </c>
      <c r="B69" s="3188" t="s">
        <v>3577</v>
      </c>
      <c r="C69" s="3188" t="s">
        <v>3511</v>
      </c>
      <c r="D69" s="3188" t="s">
        <v>3490</v>
      </c>
      <c r="E69" s="3188">
        <v>121.07</v>
      </c>
      <c r="F69" s="3188" t="s">
        <v>3402</v>
      </c>
      <c r="G69" s="3188" t="s">
        <v>3578</v>
      </c>
      <c r="H69" s="3188">
        <v>2</v>
      </c>
      <c r="I69" s="3188">
        <v>2015</v>
      </c>
      <c r="J69" s="3188">
        <v>39812</v>
      </c>
      <c r="K69" s="3188">
        <v>37900</v>
      </c>
      <c r="L69" s="3188">
        <v>4588553</v>
      </c>
      <c r="M69" s="3189">
        <v>44267</v>
      </c>
      <c r="AD69" s="3188">
        <v>52</v>
      </c>
      <c r="AE69" s="3188" t="s">
        <v>3686</v>
      </c>
      <c r="AF69" s="3188" t="s">
        <v>3510</v>
      </c>
      <c r="AG69" s="3188" t="s">
        <v>3628</v>
      </c>
      <c r="AH69" s="3188">
        <v>97.01</v>
      </c>
      <c r="AI69" s="3188" t="s">
        <v>3402</v>
      </c>
      <c r="AJ69" s="3188">
        <v>6</v>
      </c>
      <c r="AK69" s="3188">
        <v>2</v>
      </c>
      <c r="AL69" s="3188" t="s">
        <v>633</v>
      </c>
      <c r="AM69" s="3188">
        <v>2010</v>
      </c>
      <c r="AN69" s="3188">
        <v>35770</v>
      </c>
      <c r="AO69" s="3188">
        <v>31635</v>
      </c>
      <c r="AP69" s="3188">
        <v>3068911</v>
      </c>
      <c r="AQ69" s="3189">
        <v>44856</v>
      </c>
    </row>
    <row r="70" spans="1:43" ht="45.75" thickBot="1">
      <c r="A70" s="3186">
        <v>49</v>
      </c>
      <c r="B70" s="3186" t="s">
        <v>3579</v>
      </c>
      <c r="C70" s="3186" t="s">
        <v>3511</v>
      </c>
      <c r="D70" s="3186" t="s">
        <v>3490</v>
      </c>
      <c r="E70" s="3186">
        <v>92.13</v>
      </c>
      <c r="F70" s="3186" t="s">
        <v>3402</v>
      </c>
      <c r="G70" s="3186" t="s">
        <v>3526</v>
      </c>
      <c r="H70" s="3186">
        <v>2</v>
      </c>
      <c r="I70" s="3186">
        <v>2015</v>
      </c>
      <c r="J70" s="3186">
        <v>40161</v>
      </c>
      <c r="K70" s="3186">
        <v>38229</v>
      </c>
      <c r="L70" s="3186">
        <v>3522038</v>
      </c>
      <c r="M70" s="3187">
        <v>44248</v>
      </c>
      <c r="AD70" s="3186">
        <v>53</v>
      </c>
      <c r="AE70" s="3186" t="s">
        <v>3687</v>
      </c>
      <c r="AF70" s="3186" t="s">
        <v>3510</v>
      </c>
      <c r="AG70" s="3186" t="s">
        <v>3628</v>
      </c>
      <c r="AH70" s="3186">
        <v>55.29</v>
      </c>
      <c r="AI70" s="3186" t="s">
        <v>3402</v>
      </c>
      <c r="AJ70" s="3186" t="s">
        <v>3688</v>
      </c>
      <c r="AK70" s="3186">
        <v>7</v>
      </c>
      <c r="AL70" s="3186" t="s">
        <v>633</v>
      </c>
      <c r="AM70" s="3186">
        <v>2010</v>
      </c>
      <c r="AN70" s="3186">
        <v>34455</v>
      </c>
      <c r="AO70" s="3186">
        <v>32403</v>
      </c>
      <c r="AP70" s="3186">
        <v>1791562</v>
      </c>
      <c r="AQ70" s="3187">
        <v>44844</v>
      </c>
    </row>
    <row r="71" spans="1:43" ht="45.75" thickBot="1">
      <c r="A71" s="3188">
        <v>50</v>
      </c>
      <c r="B71" s="3188" t="s">
        <v>3580</v>
      </c>
      <c r="C71" s="3188" t="s">
        <v>3511</v>
      </c>
      <c r="D71" s="3188" t="s">
        <v>3490</v>
      </c>
      <c r="E71" s="3188">
        <v>121.07</v>
      </c>
      <c r="F71" s="3188" t="s">
        <v>3402</v>
      </c>
      <c r="G71" s="3188" t="s">
        <v>3528</v>
      </c>
      <c r="H71" s="3188">
        <v>8</v>
      </c>
      <c r="I71" s="3188">
        <v>2015</v>
      </c>
      <c r="J71" s="3188">
        <v>36756</v>
      </c>
      <c r="K71" s="3188">
        <v>33823</v>
      </c>
      <c r="L71" s="3188">
        <v>4094951</v>
      </c>
      <c r="M71" s="3189">
        <v>44138</v>
      </c>
      <c r="AD71" s="3188">
        <v>54</v>
      </c>
      <c r="AE71" s="3188" t="s">
        <v>3689</v>
      </c>
      <c r="AF71" s="3188" t="s">
        <v>3510</v>
      </c>
      <c r="AG71" s="3188" t="s">
        <v>3490</v>
      </c>
      <c r="AH71" s="3188">
        <v>74.599999999999994</v>
      </c>
      <c r="AI71" s="3188" t="s">
        <v>3402</v>
      </c>
      <c r="AJ71" s="3188" t="s">
        <v>3636</v>
      </c>
      <c r="AK71" s="3188">
        <v>1</v>
      </c>
      <c r="AL71" s="3188" t="s">
        <v>633</v>
      </c>
      <c r="AM71" s="3188">
        <v>2010</v>
      </c>
      <c r="AN71" s="3188">
        <v>36461</v>
      </c>
      <c r="AO71" s="3188">
        <v>33637</v>
      </c>
      <c r="AP71" s="3188">
        <v>2509320</v>
      </c>
      <c r="AQ71" s="3189">
        <v>44827</v>
      </c>
    </row>
    <row r="72" spans="1:43" ht="60.75" thickBot="1">
      <c r="A72" s="3186">
        <v>51</v>
      </c>
      <c r="B72" s="3186" t="s">
        <v>3581</v>
      </c>
      <c r="C72" s="3186" t="s">
        <v>3511</v>
      </c>
      <c r="D72" s="3186" t="s">
        <v>3490</v>
      </c>
      <c r="E72" s="3186">
        <v>134.72</v>
      </c>
      <c r="F72" s="3186" t="s">
        <v>3402</v>
      </c>
      <c r="G72" s="3186" t="s">
        <v>3548</v>
      </c>
      <c r="H72" s="3186">
        <v>15</v>
      </c>
      <c r="I72" s="3186">
        <v>2015</v>
      </c>
      <c r="J72" s="3186">
        <v>37485</v>
      </c>
      <c r="K72" s="3186">
        <v>34483</v>
      </c>
      <c r="L72" s="3186">
        <v>4645550</v>
      </c>
      <c r="M72" s="3187">
        <v>44114</v>
      </c>
      <c r="AD72" s="3186">
        <v>55</v>
      </c>
      <c r="AE72" s="3186" t="s">
        <v>3690</v>
      </c>
      <c r="AF72" s="3186" t="s">
        <v>3510</v>
      </c>
      <c r="AG72" s="3186" t="s">
        <v>3490</v>
      </c>
      <c r="AH72" s="3186">
        <v>57.09</v>
      </c>
      <c r="AI72" s="3186" t="s">
        <v>3402</v>
      </c>
      <c r="AJ72" s="3186">
        <v>7</v>
      </c>
      <c r="AK72" s="3186">
        <v>2</v>
      </c>
      <c r="AL72" s="3186" t="s">
        <v>633</v>
      </c>
      <c r="AM72" s="3186">
        <v>2010</v>
      </c>
      <c r="AN72" s="3186">
        <v>35032</v>
      </c>
      <c r="AO72" s="3186">
        <v>33837</v>
      </c>
      <c r="AP72" s="3186">
        <v>1931754</v>
      </c>
      <c r="AQ72" s="3187">
        <v>44813</v>
      </c>
    </row>
    <row r="73" spans="1:43" ht="60.75" thickBot="1">
      <c r="A73" s="3188">
        <v>52</v>
      </c>
      <c r="B73" s="3188" t="s">
        <v>3582</v>
      </c>
      <c r="C73" s="3188" t="s">
        <v>3511</v>
      </c>
      <c r="D73" s="3188" t="s">
        <v>3490</v>
      </c>
      <c r="E73" s="3188">
        <v>140.37</v>
      </c>
      <c r="F73" s="3188" t="s">
        <v>3402</v>
      </c>
      <c r="G73" s="3188" t="s">
        <v>3526</v>
      </c>
      <c r="H73" s="3188">
        <v>11</v>
      </c>
      <c r="I73" s="3188">
        <v>2015</v>
      </c>
      <c r="J73" s="3188">
        <v>37259</v>
      </c>
      <c r="K73" s="3188">
        <v>32824</v>
      </c>
      <c r="L73" s="3188">
        <v>4607505</v>
      </c>
      <c r="M73" s="3189">
        <v>44061</v>
      </c>
      <c r="AD73" s="3188">
        <v>56</v>
      </c>
      <c r="AE73" s="3188" t="s">
        <v>3691</v>
      </c>
      <c r="AF73" s="3188" t="s">
        <v>3510</v>
      </c>
      <c r="AG73" s="3188" t="s">
        <v>3490</v>
      </c>
      <c r="AH73" s="3188">
        <v>91.76</v>
      </c>
      <c r="AI73" s="3188" t="s">
        <v>3402</v>
      </c>
      <c r="AJ73" s="3188" t="s">
        <v>3629</v>
      </c>
      <c r="AK73" s="3188">
        <v>3</v>
      </c>
      <c r="AL73" s="3188" t="s">
        <v>633</v>
      </c>
      <c r="AM73" s="3188">
        <v>2010</v>
      </c>
      <c r="AN73" s="3188">
        <v>30514</v>
      </c>
      <c r="AO73" s="3188">
        <v>28332</v>
      </c>
      <c r="AP73" s="3188">
        <v>2599744</v>
      </c>
      <c r="AQ73" s="3189">
        <v>44804</v>
      </c>
    </row>
    <row r="74" spans="1:43" ht="45.75" thickBot="1">
      <c r="A74" s="3186">
        <v>53</v>
      </c>
      <c r="B74" s="3186" t="s">
        <v>3583</v>
      </c>
      <c r="C74" s="3186" t="s">
        <v>3511</v>
      </c>
      <c r="D74" s="3186" t="s">
        <v>3490</v>
      </c>
      <c r="E74" s="3186">
        <v>111.28</v>
      </c>
      <c r="F74" s="3186" t="s">
        <v>3402</v>
      </c>
      <c r="G74" s="3186" t="s">
        <v>3528</v>
      </c>
      <c r="H74" s="3186">
        <v>1</v>
      </c>
      <c r="I74" s="3186">
        <v>2015</v>
      </c>
      <c r="J74" s="3186">
        <v>34597</v>
      </c>
      <c r="K74" s="3186">
        <v>33036</v>
      </c>
      <c r="L74" s="3186">
        <v>3676246</v>
      </c>
      <c r="M74" s="3187">
        <v>44056</v>
      </c>
      <c r="AD74" s="3186">
        <v>57</v>
      </c>
      <c r="AE74" s="3186" t="s">
        <v>3692</v>
      </c>
      <c r="AF74" s="3186" t="s">
        <v>3510</v>
      </c>
      <c r="AG74" s="3186" t="s">
        <v>3628</v>
      </c>
      <c r="AH74" s="3186">
        <v>64.430000000000007</v>
      </c>
      <c r="AI74" s="3186" t="s">
        <v>3402</v>
      </c>
      <c r="AJ74" s="3186" t="s">
        <v>3526</v>
      </c>
      <c r="AK74" s="3186">
        <v>8</v>
      </c>
      <c r="AL74" s="3186" t="s">
        <v>633</v>
      </c>
      <c r="AM74" s="3186">
        <v>2012</v>
      </c>
      <c r="AN74" s="3186">
        <v>36008</v>
      </c>
      <c r="AO74" s="3186">
        <v>35314</v>
      </c>
      <c r="AP74" s="3186">
        <v>2275281</v>
      </c>
      <c r="AQ74" s="3187">
        <v>44789</v>
      </c>
    </row>
    <row r="75" spans="1:43" ht="45.75" thickBot="1">
      <c r="A75" s="3188">
        <v>54</v>
      </c>
      <c r="B75" s="3188" t="s">
        <v>3584</v>
      </c>
      <c r="C75" s="3188" t="s">
        <v>3511</v>
      </c>
      <c r="D75" s="3188" t="s">
        <v>3490</v>
      </c>
      <c r="E75" s="3188">
        <v>92.77</v>
      </c>
      <c r="F75" s="3188" t="s">
        <v>3402</v>
      </c>
      <c r="G75" s="3188" t="s">
        <v>3526</v>
      </c>
      <c r="H75" s="3188">
        <v>21</v>
      </c>
      <c r="I75" s="3188">
        <v>2015</v>
      </c>
      <c r="J75" s="3188">
        <v>35572</v>
      </c>
      <c r="K75" s="3188">
        <v>33910</v>
      </c>
      <c r="L75" s="3188">
        <v>3145831</v>
      </c>
      <c r="M75" s="3189">
        <v>44055</v>
      </c>
      <c r="AD75" s="3188">
        <v>58</v>
      </c>
      <c r="AE75" s="3188" t="s">
        <v>3693</v>
      </c>
      <c r="AF75" s="3188" t="s">
        <v>3510</v>
      </c>
      <c r="AG75" s="3188" t="s">
        <v>3628</v>
      </c>
      <c r="AH75" s="3188">
        <v>63.86</v>
      </c>
      <c r="AI75" s="3188" t="s">
        <v>3402</v>
      </c>
      <c r="AJ75" s="3188" t="s">
        <v>3663</v>
      </c>
      <c r="AK75" s="3188">
        <v>7</v>
      </c>
      <c r="AL75" s="3188" t="s">
        <v>633</v>
      </c>
      <c r="AM75" s="3188">
        <v>2012</v>
      </c>
      <c r="AN75" s="3188">
        <v>31295</v>
      </c>
      <c r="AO75" s="3188">
        <v>30604</v>
      </c>
      <c r="AP75" s="3188">
        <v>1954371</v>
      </c>
      <c r="AQ75" s="3189">
        <v>44765</v>
      </c>
    </row>
    <row r="76" spans="1:43" ht="45.75" thickBot="1">
      <c r="AD76" s="3186">
        <v>59</v>
      </c>
      <c r="AE76" s="3186" t="s">
        <v>3694</v>
      </c>
      <c r="AF76" s="3186" t="s">
        <v>3510</v>
      </c>
      <c r="AG76" s="3186" t="s">
        <v>3628</v>
      </c>
      <c r="AH76" s="3186">
        <v>48.19</v>
      </c>
      <c r="AI76" s="3186" t="s">
        <v>3402</v>
      </c>
      <c r="AJ76" s="3186">
        <v>6</v>
      </c>
      <c r="AK76" s="3186">
        <v>3</v>
      </c>
      <c r="AL76" s="3186" t="s">
        <v>633</v>
      </c>
      <c r="AM76" s="3186">
        <v>2010</v>
      </c>
      <c r="AN76" s="3186">
        <v>34239</v>
      </c>
      <c r="AO76" s="3186">
        <v>32752</v>
      </c>
      <c r="AP76" s="3186">
        <v>1578319</v>
      </c>
      <c r="AQ76" s="3187">
        <v>44751</v>
      </c>
    </row>
    <row r="77" spans="1:43" ht="45.75" thickBot="1">
      <c r="AD77" s="3188">
        <v>60</v>
      </c>
      <c r="AE77" s="3188" t="s">
        <v>3695</v>
      </c>
      <c r="AF77" s="3188" t="s">
        <v>3510</v>
      </c>
      <c r="AG77" s="3188" t="s">
        <v>3490</v>
      </c>
      <c r="AH77" s="3188">
        <v>63.86</v>
      </c>
      <c r="AI77" s="3188" t="s">
        <v>3402</v>
      </c>
      <c r="AJ77" s="3188" t="s">
        <v>3663</v>
      </c>
      <c r="AK77" s="3188">
        <v>9</v>
      </c>
      <c r="AL77" s="3188" t="s">
        <v>633</v>
      </c>
      <c r="AM77" s="3188">
        <v>2012</v>
      </c>
      <c r="AN77" s="3188">
        <v>29283</v>
      </c>
      <c r="AO77" s="3188">
        <v>30371</v>
      </c>
      <c r="AP77" s="3188">
        <v>1939492</v>
      </c>
      <c r="AQ77" s="3189">
        <v>44741</v>
      </c>
    </row>
    <row r="78" spans="1:43" ht="45.75" thickBot="1">
      <c r="AD78" s="3186">
        <v>61</v>
      </c>
      <c r="AE78" s="3186" t="s">
        <v>3696</v>
      </c>
      <c r="AF78" s="3186" t="s">
        <v>3510</v>
      </c>
      <c r="AG78" s="3186" t="s">
        <v>3628</v>
      </c>
      <c r="AH78" s="3186">
        <v>47.93</v>
      </c>
      <c r="AI78" s="3186" t="s">
        <v>3402</v>
      </c>
      <c r="AJ78" s="3186">
        <v>6</v>
      </c>
      <c r="AK78" s="3186">
        <v>3</v>
      </c>
      <c r="AL78" s="3186" t="s">
        <v>633</v>
      </c>
      <c r="AM78" s="3186">
        <v>2010</v>
      </c>
      <c r="AN78" s="3186">
        <v>34427</v>
      </c>
      <c r="AO78" s="3186">
        <v>31518</v>
      </c>
      <c r="AP78" s="3186">
        <v>1510658</v>
      </c>
      <c r="AQ78" s="3187">
        <v>44740</v>
      </c>
    </row>
    <row r="79" spans="1:43" ht="45.75" thickBot="1">
      <c r="AD79" s="3188">
        <v>62</v>
      </c>
      <c r="AE79" s="3188" t="s">
        <v>3697</v>
      </c>
      <c r="AF79" s="3188" t="s">
        <v>3510</v>
      </c>
      <c r="AG79" s="3188" t="s">
        <v>3628</v>
      </c>
      <c r="AH79" s="3188">
        <v>85.96</v>
      </c>
      <c r="AI79" s="3188" t="s">
        <v>3402</v>
      </c>
      <c r="AJ79" s="3188" t="s">
        <v>3637</v>
      </c>
      <c r="AK79" s="3188">
        <v>8</v>
      </c>
      <c r="AL79" s="3188" t="s">
        <v>633</v>
      </c>
      <c r="AM79" s="3188">
        <v>2009</v>
      </c>
      <c r="AN79" s="3188">
        <v>40135</v>
      </c>
      <c r="AO79" s="3188">
        <v>38044</v>
      </c>
      <c r="AP79" s="3188">
        <v>3270262</v>
      </c>
      <c r="AQ79" s="3189">
        <v>44677</v>
      </c>
    </row>
    <row r="80" spans="1:43" ht="45.75" thickBot="1">
      <c r="AD80" s="3186">
        <v>63</v>
      </c>
      <c r="AE80" s="3186" t="s">
        <v>3698</v>
      </c>
      <c r="AF80" s="3186" t="s">
        <v>3510</v>
      </c>
      <c r="AG80" s="3186" t="s">
        <v>3628</v>
      </c>
      <c r="AH80" s="3186">
        <v>86.44</v>
      </c>
      <c r="AI80" s="3186" t="s">
        <v>3402</v>
      </c>
      <c r="AJ80" s="3186" t="s">
        <v>3688</v>
      </c>
      <c r="AK80" s="3186">
        <v>4</v>
      </c>
      <c r="AL80" s="3186" t="s">
        <v>633</v>
      </c>
      <c r="AM80" s="3186">
        <v>2009</v>
      </c>
      <c r="AN80" s="3186">
        <v>38466</v>
      </c>
      <c r="AO80" s="3186">
        <v>36569</v>
      </c>
      <c r="AP80" s="3186">
        <v>3161024</v>
      </c>
      <c r="AQ80" s="3187">
        <v>44630</v>
      </c>
    </row>
    <row r="81" spans="30:43" ht="45.75" thickBot="1">
      <c r="AD81" s="3188">
        <v>64</v>
      </c>
      <c r="AE81" s="3188" t="s">
        <v>3699</v>
      </c>
      <c r="AF81" s="3188" t="s">
        <v>3510</v>
      </c>
      <c r="AG81" s="3188" t="s">
        <v>3490</v>
      </c>
      <c r="AH81" s="3188">
        <v>63.99</v>
      </c>
      <c r="AI81" s="3188" t="s">
        <v>3402</v>
      </c>
      <c r="AJ81" s="3188" t="s">
        <v>3663</v>
      </c>
      <c r="AK81" s="3188">
        <v>8</v>
      </c>
      <c r="AL81" s="3188">
        <v>2012</v>
      </c>
      <c r="AM81" s="3188" t="s">
        <v>633</v>
      </c>
      <c r="AN81" s="3188">
        <v>33599</v>
      </c>
      <c r="AO81" s="3188">
        <v>31950</v>
      </c>
      <c r="AP81" s="3188">
        <v>2044481</v>
      </c>
      <c r="AQ81" s="3189">
        <v>44611</v>
      </c>
    </row>
    <row r="82" spans="30:43" ht="45.75" thickBot="1">
      <c r="AD82" s="3186">
        <v>65</v>
      </c>
      <c r="AE82" s="3186" t="s">
        <v>3700</v>
      </c>
      <c r="AF82" s="3186" t="s">
        <v>3510</v>
      </c>
      <c r="AG82" s="3186" t="s">
        <v>3490</v>
      </c>
      <c r="AH82" s="3186">
        <v>50.95</v>
      </c>
      <c r="AI82" s="3186" t="s">
        <v>3402</v>
      </c>
      <c r="AJ82" s="3186">
        <v>6</v>
      </c>
      <c r="AK82" s="3186">
        <v>5</v>
      </c>
      <c r="AL82" s="3186" t="s">
        <v>633</v>
      </c>
      <c r="AM82" s="3186">
        <v>2009</v>
      </c>
      <c r="AN82" s="3186">
        <v>32385</v>
      </c>
      <c r="AO82" s="3186">
        <v>32536</v>
      </c>
      <c r="AP82" s="3186">
        <v>1657709</v>
      </c>
      <c r="AQ82" s="3187">
        <v>44581</v>
      </c>
    </row>
    <row r="83" spans="30:43" ht="45.75" thickBot="1">
      <c r="AD83" s="3188">
        <v>66</v>
      </c>
      <c r="AE83" s="3188" t="s">
        <v>3701</v>
      </c>
      <c r="AF83" s="3188" t="s">
        <v>3510</v>
      </c>
      <c r="AG83" s="3188" t="s">
        <v>3490</v>
      </c>
      <c r="AH83" s="3188">
        <v>77.86</v>
      </c>
      <c r="AI83" s="3188" t="s">
        <v>3402</v>
      </c>
      <c r="AJ83" s="3188" t="s">
        <v>3629</v>
      </c>
      <c r="AK83" s="3188">
        <v>2</v>
      </c>
      <c r="AL83" s="3188" t="s">
        <v>633</v>
      </c>
      <c r="AM83" s="3188">
        <v>2010</v>
      </c>
      <c r="AN83" s="3188">
        <v>0</v>
      </c>
      <c r="AO83" s="3188">
        <v>36000</v>
      </c>
      <c r="AP83" s="3188">
        <v>2802960</v>
      </c>
      <c r="AQ83" s="3189">
        <v>44552</v>
      </c>
    </row>
    <row r="84" spans="30:43" ht="45.75" thickBot="1">
      <c r="AD84" s="3186">
        <v>67</v>
      </c>
      <c r="AE84" s="3186" t="s">
        <v>3702</v>
      </c>
      <c r="AF84" s="3186" t="s">
        <v>3510</v>
      </c>
      <c r="AG84" s="3186" t="s">
        <v>3490</v>
      </c>
      <c r="AH84" s="3186">
        <v>86.97</v>
      </c>
      <c r="AI84" s="3186" t="s">
        <v>3402</v>
      </c>
      <c r="AJ84" s="3186" t="s">
        <v>3688</v>
      </c>
      <c r="AK84" s="3186">
        <v>5</v>
      </c>
      <c r="AL84" s="3186" t="s">
        <v>633</v>
      </c>
      <c r="AM84" s="3186">
        <v>2010</v>
      </c>
      <c r="AN84" s="3186">
        <v>34495</v>
      </c>
      <c r="AO84" s="3186">
        <v>33158</v>
      </c>
      <c r="AP84" s="3186">
        <v>2883751</v>
      </c>
      <c r="AQ84" s="3187">
        <v>44467</v>
      </c>
    </row>
    <row r="85" spans="30:43" ht="45.75" thickBot="1">
      <c r="AD85" s="3188">
        <v>68</v>
      </c>
      <c r="AE85" s="3188" t="s">
        <v>3703</v>
      </c>
      <c r="AF85" s="3188" t="s">
        <v>3510</v>
      </c>
      <c r="AG85" s="3188" t="s">
        <v>3490</v>
      </c>
      <c r="AH85" s="3188">
        <v>54.75</v>
      </c>
      <c r="AI85" s="3188" t="s">
        <v>3402</v>
      </c>
      <c r="AJ85" s="3188" t="s">
        <v>3637</v>
      </c>
      <c r="AK85" s="3188">
        <v>3</v>
      </c>
      <c r="AL85" s="3188" t="s">
        <v>633</v>
      </c>
      <c r="AM85" s="3188">
        <v>2009</v>
      </c>
      <c r="AN85" s="3188">
        <v>35616</v>
      </c>
      <c r="AO85" s="3188">
        <v>33815</v>
      </c>
      <c r="AP85" s="3188">
        <v>1851371</v>
      </c>
      <c r="AQ85" s="3189">
        <v>44461</v>
      </c>
    </row>
    <row r="86" spans="30:43" ht="60.75" thickBot="1">
      <c r="AD86" s="3186">
        <v>69</v>
      </c>
      <c r="AE86" s="3186" t="s">
        <v>3704</v>
      </c>
      <c r="AF86" s="3186" t="s">
        <v>3510</v>
      </c>
      <c r="AG86" s="3186" t="s">
        <v>3490</v>
      </c>
      <c r="AH86" s="3186">
        <v>44.5</v>
      </c>
      <c r="AI86" s="3186" t="s">
        <v>3402</v>
      </c>
      <c r="AJ86" s="3186">
        <v>6</v>
      </c>
      <c r="AK86" s="3186">
        <v>6</v>
      </c>
      <c r="AL86" s="3186" t="s">
        <v>633</v>
      </c>
      <c r="AM86" s="3186">
        <v>2009</v>
      </c>
      <c r="AN86" s="3186">
        <v>40225</v>
      </c>
      <c r="AO86" s="3186">
        <v>38238</v>
      </c>
      <c r="AP86" s="3186">
        <v>1701591</v>
      </c>
      <c r="AQ86" s="3187">
        <v>44365</v>
      </c>
    </row>
    <row r="87" spans="30:43" ht="60.75" thickBot="1">
      <c r="AD87" s="3188">
        <v>70</v>
      </c>
      <c r="AE87" s="3188" t="s">
        <v>3705</v>
      </c>
      <c r="AF87" s="3188" t="s">
        <v>3510</v>
      </c>
      <c r="AG87" s="3188" t="s">
        <v>3628</v>
      </c>
      <c r="AH87" s="3188">
        <v>67.260000000000005</v>
      </c>
      <c r="AI87" s="3188" t="s">
        <v>3402</v>
      </c>
      <c r="AJ87" s="3188">
        <v>6</v>
      </c>
      <c r="AK87" s="3188">
        <v>4</v>
      </c>
      <c r="AL87" s="3188" t="s">
        <v>633</v>
      </c>
      <c r="AM87" s="3188">
        <v>2010</v>
      </c>
      <c r="AN87" s="3188">
        <v>0</v>
      </c>
      <c r="AO87" s="3188">
        <v>36500</v>
      </c>
      <c r="AP87" s="3188">
        <v>2454990</v>
      </c>
      <c r="AQ87" s="3189">
        <v>44354</v>
      </c>
    </row>
    <row r="88" spans="30:43" ht="45.75" thickBot="1">
      <c r="AD88" s="3186">
        <v>71</v>
      </c>
      <c r="AE88" s="3186" t="s">
        <v>3706</v>
      </c>
      <c r="AF88" s="3186" t="s">
        <v>3510</v>
      </c>
      <c r="AG88" s="3186" t="s">
        <v>3628</v>
      </c>
      <c r="AH88" s="3186">
        <v>60.66</v>
      </c>
      <c r="AI88" s="3186" t="s">
        <v>3402</v>
      </c>
      <c r="AJ88" s="3186" t="s">
        <v>3526</v>
      </c>
      <c r="AK88" s="3186">
        <v>8</v>
      </c>
      <c r="AL88" s="3186" t="s">
        <v>633</v>
      </c>
      <c r="AM88" s="3186">
        <v>2012</v>
      </c>
      <c r="AN88" s="3186">
        <v>33960</v>
      </c>
      <c r="AO88" s="3186">
        <v>33180</v>
      </c>
      <c r="AP88" s="3186">
        <v>2012699</v>
      </c>
      <c r="AQ88" s="3187">
        <v>44349</v>
      </c>
    </row>
    <row r="89" spans="30:43" ht="60.75" thickBot="1">
      <c r="AD89" s="3188">
        <v>72</v>
      </c>
      <c r="AE89" s="3188" t="s">
        <v>3707</v>
      </c>
      <c r="AF89" s="3188" t="s">
        <v>3510</v>
      </c>
      <c r="AG89" s="3188" t="s">
        <v>3628</v>
      </c>
      <c r="AH89" s="3188">
        <v>78.91</v>
      </c>
      <c r="AI89" s="3188" t="s">
        <v>3402</v>
      </c>
      <c r="AJ89" s="3188">
        <v>6</v>
      </c>
      <c r="AK89" s="3188">
        <v>1</v>
      </c>
      <c r="AL89" s="3188" t="s">
        <v>633</v>
      </c>
      <c r="AM89" s="3188">
        <v>2009</v>
      </c>
      <c r="AN89" s="3188">
        <v>36497</v>
      </c>
      <c r="AO89" s="3188">
        <v>33269</v>
      </c>
      <c r="AP89" s="3188">
        <v>2625257</v>
      </c>
      <c r="AQ89" s="3189">
        <v>44314</v>
      </c>
    </row>
    <row r="90" spans="30:43" ht="45.75" thickBot="1">
      <c r="AD90" s="3186">
        <v>73</v>
      </c>
      <c r="AE90" s="3186" t="s">
        <v>3708</v>
      </c>
      <c r="AF90" s="3186" t="s">
        <v>3510</v>
      </c>
      <c r="AG90" s="3186" t="s">
        <v>3490</v>
      </c>
      <c r="AH90" s="3186">
        <v>62.91</v>
      </c>
      <c r="AI90" s="3186" t="s">
        <v>3402</v>
      </c>
      <c r="AJ90" s="3186" t="s">
        <v>3526</v>
      </c>
      <c r="AK90" s="3186">
        <v>18</v>
      </c>
      <c r="AL90" s="3186" t="s">
        <v>633</v>
      </c>
      <c r="AM90" s="3186">
        <v>2012</v>
      </c>
      <c r="AN90" s="3186">
        <v>34176</v>
      </c>
      <c r="AO90" s="3186">
        <v>32317</v>
      </c>
      <c r="AP90" s="3186">
        <v>2033062</v>
      </c>
      <c r="AQ90" s="3187">
        <v>44299</v>
      </c>
    </row>
    <row r="91" spans="30:43" ht="60.75" thickBot="1">
      <c r="AD91" s="3188">
        <v>74</v>
      </c>
      <c r="AE91" s="3188" t="s">
        <v>3709</v>
      </c>
      <c r="AF91" s="3188" t="s">
        <v>3510</v>
      </c>
      <c r="AG91" s="3188" t="s">
        <v>3490</v>
      </c>
      <c r="AH91" s="3188">
        <v>49.7</v>
      </c>
      <c r="AI91" s="3188" t="s">
        <v>3402</v>
      </c>
      <c r="AJ91" s="3188">
        <v>6</v>
      </c>
      <c r="AK91" s="3188">
        <v>2</v>
      </c>
      <c r="AL91" s="3188" t="s">
        <v>633</v>
      </c>
      <c r="AM91" s="3188">
        <v>2009</v>
      </c>
      <c r="AN91" s="3188">
        <v>36922</v>
      </c>
      <c r="AO91" s="3188">
        <v>35564</v>
      </c>
      <c r="AP91" s="3188">
        <v>1767531</v>
      </c>
      <c r="AQ91" s="3189">
        <v>44278</v>
      </c>
    </row>
    <row r="92" spans="30:43" ht="60.75" thickBot="1">
      <c r="AD92" s="3186">
        <v>75</v>
      </c>
      <c r="AE92" s="3186" t="s">
        <v>3710</v>
      </c>
      <c r="AF92" s="3186" t="s">
        <v>3510</v>
      </c>
      <c r="AG92" s="3186" t="s">
        <v>3628</v>
      </c>
      <c r="AH92" s="3186">
        <v>54.87</v>
      </c>
      <c r="AI92" s="3186" t="s">
        <v>3402</v>
      </c>
      <c r="AJ92" s="3186">
        <v>6</v>
      </c>
      <c r="AK92" s="3186">
        <v>6</v>
      </c>
      <c r="AL92" s="3186" t="s">
        <v>633</v>
      </c>
      <c r="AM92" s="3186">
        <v>2010</v>
      </c>
      <c r="AN92" s="3186">
        <v>36450</v>
      </c>
      <c r="AO92" s="3186">
        <v>35865</v>
      </c>
      <c r="AP92" s="3186">
        <v>1967913</v>
      </c>
      <c r="AQ92" s="3187">
        <v>44248</v>
      </c>
    </row>
    <row r="93" spans="30:43" ht="60.75" thickBot="1">
      <c r="AD93" s="3188">
        <v>76</v>
      </c>
      <c r="AE93" s="3188" t="s">
        <v>3711</v>
      </c>
      <c r="AF93" s="3188" t="s">
        <v>3510</v>
      </c>
      <c r="AG93" s="3188" t="s">
        <v>3490</v>
      </c>
      <c r="AH93" s="3188">
        <v>48.28</v>
      </c>
      <c r="AI93" s="3188" t="s">
        <v>3402</v>
      </c>
      <c r="AJ93" s="3188">
        <v>6</v>
      </c>
      <c r="AK93" s="3188">
        <v>4</v>
      </c>
      <c r="AL93" s="3188" t="s">
        <v>633</v>
      </c>
      <c r="AM93" s="3188">
        <v>2009</v>
      </c>
      <c r="AN93" s="3188">
        <v>38525</v>
      </c>
      <c r="AO93" s="3188">
        <v>36916</v>
      </c>
      <c r="AP93" s="3188">
        <v>1782304</v>
      </c>
      <c r="AQ93" s="3189">
        <v>44215</v>
      </c>
    </row>
    <row r="94" spans="30:43" ht="45.75" thickBot="1">
      <c r="AD94" s="3186">
        <v>77</v>
      </c>
      <c r="AE94" s="3186" t="s">
        <v>3712</v>
      </c>
      <c r="AF94" s="3186" t="s">
        <v>3510</v>
      </c>
      <c r="AG94" s="3186" t="s">
        <v>3490</v>
      </c>
      <c r="AH94" s="3186">
        <v>64.599999999999994</v>
      </c>
      <c r="AI94" s="3186" t="s">
        <v>3402</v>
      </c>
      <c r="AJ94" s="3186" t="s">
        <v>3663</v>
      </c>
      <c r="AK94" s="3186">
        <v>10</v>
      </c>
      <c r="AL94" s="3186" t="s">
        <v>633</v>
      </c>
      <c r="AM94" s="3186">
        <v>2012</v>
      </c>
      <c r="AN94" s="3186">
        <v>34613</v>
      </c>
      <c r="AO94" s="3186">
        <v>31872</v>
      </c>
      <c r="AP94" s="3186">
        <v>2058931</v>
      </c>
      <c r="AQ94" s="3187">
        <v>44180</v>
      </c>
    </row>
    <row r="95" spans="30:43" ht="60.75" thickBot="1">
      <c r="AD95" s="3188">
        <v>78</v>
      </c>
      <c r="AE95" s="3188" t="s">
        <v>3713</v>
      </c>
      <c r="AF95" s="3188" t="s">
        <v>3510</v>
      </c>
      <c r="AG95" s="3188" t="s">
        <v>3628</v>
      </c>
      <c r="AH95" s="3188">
        <v>50.95</v>
      </c>
      <c r="AI95" s="3188" t="s">
        <v>3402</v>
      </c>
      <c r="AJ95" s="3188">
        <v>6</v>
      </c>
      <c r="AK95" s="3188">
        <v>4</v>
      </c>
      <c r="AL95" s="3188" t="s">
        <v>633</v>
      </c>
      <c r="AM95" s="3188">
        <v>2009</v>
      </c>
      <c r="AN95" s="3188">
        <v>37291</v>
      </c>
      <c r="AO95" s="3188">
        <v>36733</v>
      </c>
      <c r="AP95" s="3188">
        <v>1871546</v>
      </c>
      <c r="AQ95" s="3189">
        <v>44173</v>
      </c>
    </row>
    <row r="96" spans="30:43" ht="45.75" thickBot="1">
      <c r="AD96" s="3186">
        <v>79</v>
      </c>
      <c r="AE96" s="3186" t="s">
        <v>3714</v>
      </c>
      <c r="AF96" s="3186" t="s">
        <v>3510</v>
      </c>
      <c r="AG96" s="3186" t="s">
        <v>3490</v>
      </c>
      <c r="AH96" s="3186">
        <v>62.91</v>
      </c>
      <c r="AI96" s="3186" t="s">
        <v>3402</v>
      </c>
      <c r="AJ96" s="3186" t="s">
        <v>3526</v>
      </c>
      <c r="AK96" s="3186">
        <v>16</v>
      </c>
      <c r="AL96" s="3186">
        <v>2012</v>
      </c>
      <c r="AM96" s="3186" t="s">
        <v>633</v>
      </c>
      <c r="AN96" s="3186">
        <v>32586</v>
      </c>
      <c r="AO96" s="3186">
        <v>31131</v>
      </c>
      <c r="AP96" s="3186">
        <v>1958451</v>
      </c>
      <c r="AQ96" s="3187">
        <v>44135</v>
      </c>
    </row>
    <row r="97" spans="30:43" ht="60.75" thickBot="1">
      <c r="AD97" s="3188">
        <v>80</v>
      </c>
      <c r="AE97" s="3188" t="s">
        <v>3715</v>
      </c>
      <c r="AF97" s="3188" t="s">
        <v>3510</v>
      </c>
      <c r="AG97" s="3188" t="s">
        <v>3490</v>
      </c>
      <c r="AH97" s="3188">
        <v>47.73</v>
      </c>
      <c r="AI97" s="3188" t="s">
        <v>3402</v>
      </c>
      <c r="AJ97" s="3188" t="s">
        <v>3658</v>
      </c>
      <c r="AK97" s="3188">
        <v>14</v>
      </c>
      <c r="AL97" s="3188" t="s">
        <v>633</v>
      </c>
      <c r="AM97" s="3188">
        <v>2010</v>
      </c>
      <c r="AN97" s="3188">
        <v>36874</v>
      </c>
      <c r="AO97" s="3188">
        <v>35171</v>
      </c>
      <c r="AP97" s="3188">
        <v>1678712</v>
      </c>
      <c r="AQ97" s="3189">
        <v>44125</v>
      </c>
    </row>
    <row r="98" spans="30:43" ht="60.75" thickBot="1">
      <c r="AD98" s="3186">
        <v>81</v>
      </c>
      <c r="AE98" s="3186" t="s">
        <v>3716</v>
      </c>
      <c r="AF98" s="3186" t="s">
        <v>3510</v>
      </c>
      <c r="AG98" s="3186" t="s">
        <v>3628</v>
      </c>
      <c r="AH98" s="3186">
        <v>54.85</v>
      </c>
      <c r="AI98" s="3186" t="s">
        <v>3402</v>
      </c>
      <c r="AJ98" s="3186" t="s">
        <v>3637</v>
      </c>
      <c r="AK98" s="3186">
        <v>9</v>
      </c>
      <c r="AL98" s="3186" t="s">
        <v>633</v>
      </c>
      <c r="AM98" s="3186">
        <v>2009</v>
      </c>
      <c r="AN98" s="3186">
        <v>35880</v>
      </c>
      <c r="AO98" s="3186">
        <v>32427</v>
      </c>
      <c r="AP98" s="3186">
        <v>1778621</v>
      </c>
      <c r="AQ98" s="3187">
        <v>44121</v>
      </c>
    </row>
    <row r="99" spans="30:43" ht="45.75" thickBot="1">
      <c r="AD99" s="3188">
        <v>82</v>
      </c>
      <c r="AE99" s="3188" t="s">
        <v>3717</v>
      </c>
      <c r="AF99" s="3188" t="s">
        <v>3510</v>
      </c>
      <c r="AG99" s="3188" t="s">
        <v>3490</v>
      </c>
      <c r="AH99" s="3188">
        <v>63.51</v>
      </c>
      <c r="AI99" s="3188" t="s">
        <v>3402</v>
      </c>
      <c r="AJ99" s="3188" t="s">
        <v>3630</v>
      </c>
      <c r="AK99" s="3188">
        <v>14</v>
      </c>
      <c r="AL99" s="3188" t="s">
        <v>633</v>
      </c>
      <c r="AM99" s="3188">
        <v>2012</v>
      </c>
      <c r="AN99" s="3188">
        <v>36687</v>
      </c>
      <c r="AO99" s="3188">
        <v>34696</v>
      </c>
      <c r="AP99" s="3188">
        <v>2203543</v>
      </c>
      <c r="AQ99" s="3189">
        <v>44068</v>
      </c>
    </row>
    <row r="100" spans="30:43" ht="60.75" thickBot="1">
      <c r="AD100" s="3186">
        <v>83</v>
      </c>
      <c r="AE100" s="3186" t="s">
        <v>3718</v>
      </c>
      <c r="AF100" s="3186" t="s">
        <v>3510</v>
      </c>
      <c r="AG100" s="3186" t="s">
        <v>3628</v>
      </c>
      <c r="AH100" s="3186">
        <v>88.18</v>
      </c>
      <c r="AI100" s="3186" t="s">
        <v>3402</v>
      </c>
      <c r="AJ100" s="3186" t="s">
        <v>3656</v>
      </c>
      <c r="AK100" s="3186">
        <v>10</v>
      </c>
      <c r="AL100" s="3186" t="s">
        <v>633</v>
      </c>
      <c r="AM100" s="3186">
        <v>2010</v>
      </c>
      <c r="AN100" s="3186">
        <v>30619</v>
      </c>
      <c r="AO100" s="3186">
        <v>30181</v>
      </c>
      <c r="AP100" s="3186">
        <v>2661361</v>
      </c>
      <c r="AQ100" s="3187">
        <v>44044</v>
      </c>
    </row>
    <row r="101" spans="30:43" ht="60.75" thickBot="1">
      <c r="AD101" s="3188">
        <v>84</v>
      </c>
      <c r="AE101" s="3188" t="s">
        <v>3719</v>
      </c>
      <c r="AF101" s="3188" t="s">
        <v>3510</v>
      </c>
      <c r="AG101" s="3188" t="s">
        <v>3490</v>
      </c>
      <c r="AH101" s="3188">
        <v>53.51</v>
      </c>
      <c r="AI101" s="3188" t="s">
        <v>3402</v>
      </c>
      <c r="AJ101" s="3188" t="s">
        <v>3658</v>
      </c>
      <c r="AK101" s="3188">
        <v>9</v>
      </c>
      <c r="AL101" s="3188" t="s">
        <v>633</v>
      </c>
      <c r="AM101" s="3188">
        <v>2010</v>
      </c>
      <c r="AN101" s="3188">
        <v>32984</v>
      </c>
      <c r="AO101" s="3188">
        <v>28231</v>
      </c>
      <c r="AP101" s="3188">
        <v>1510641</v>
      </c>
      <c r="AQ101" s="3189">
        <v>44043</v>
      </c>
    </row>
    <row r="102" spans="30:43" ht="45.75" thickBot="1">
      <c r="AD102" s="3186">
        <v>85</v>
      </c>
      <c r="AE102" s="3186" t="s">
        <v>3720</v>
      </c>
      <c r="AF102" s="3186" t="s">
        <v>3510</v>
      </c>
      <c r="AG102" s="3186" t="s">
        <v>3490</v>
      </c>
      <c r="AH102" s="3186">
        <v>61.36</v>
      </c>
      <c r="AI102" s="3186" t="s">
        <v>3402</v>
      </c>
      <c r="AJ102" s="3186" t="s">
        <v>3663</v>
      </c>
      <c r="AK102" s="3186">
        <v>16</v>
      </c>
      <c r="AL102" s="3186" t="s">
        <v>633</v>
      </c>
      <c r="AM102" s="3186">
        <v>2012</v>
      </c>
      <c r="AN102" s="3186">
        <v>32432</v>
      </c>
      <c r="AO102" s="3186">
        <v>30871</v>
      </c>
      <c r="AP102" s="3186">
        <v>1894245</v>
      </c>
      <c r="AQ102" s="3187">
        <v>44027</v>
      </c>
    </row>
    <row r="103" spans="30:43" ht="45.75" thickBot="1">
      <c r="AD103" s="3188">
        <v>86</v>
      </c>
      <c r="AE103" s="3188" t="s">
        <v>3721</v>
      </c>
      <c r="AF103" s="3188" t="s">
        <v>3510</v>
      </c>
      <c r="AG103" s="3188" t="s">
        <v>3490</v>
      </c>
      <c r="AH103" s="3188">
        <v>62.91</v>
      </c>
      <c r="AI103" s="3188" t="s">
        <v>3402</v>
      </c>
      <c r="AJ103" s="3188" t="s">
        <v>3526</v>
      </c>
      <c r="AK103" s="3188">
        <v>1</v>
      </c>
      <c r="AL103" s="3188">
        <v>2012</v>
      </c>
      <c r="AM103" s="3188" t="s">
        <v>633</v>
      </c>
      <c r="AN103" s="3188">
        <v>28930</v>
      </c>
      <c r="AO103" s="3188">
        <v>27756</v>
      </c>
      <c r="AP103" s="3188">
        <v>1746130</v>
      </c>
      <c r="AQ103" s="3189">
        <v>43992</v>
      </c>
    </row>
    <row r="104" spans="30:43" ht="60.75" thickBot="1">
      <c r="AD104" s="3186">
        <v>87</v>
      </c>
      <c r="AE104" s="3186" t="s">
        <v>3722</v>
      </c>
      <c r="AF104" s="3186" t="s">
        <v>3510</v>
      </c>
      <c r="AG104" s="3186" t="s">
        <v>3490</v>
      </c>
      <c r="AH104" s="3186">
        <v>49.07</v>
      </c>
      <c r="AI104" s="3186" t="s">
        <v>3402</v>
      </c>
      <c r="AJ104" s="3186">
        <v>6</v>
      </c>
      <c r="AK104" s="3186">
        <v>3</v>
      </c>
      <c r="AL104" s="3186" t="s">
        <v>633</v>
      </c>
      <c r="AM104" s="3186">
        <v>2010</v>
      </c>
      <c r="AN104" s="3186">
        <v>38313</v>
      </c>
      <c r="AO104" s="3186">
        <v>36576</v>
      </c>
      <c r="AP104" s="3186">
        <v>1794784</v>
      </c>
      <c r="AQ104" s="3187">
        <v>43973</v>
      </c>
    </row>
    <row r="105" spans="30:43" ht="60.75" thickBot="1">
      <c r="AD105" s="3188">
        <v>88</v>
      </c>
      <c r="AE105" s="3188" t="s">
        <v>3723</v>
      </c>
      <c r="AF105" s="3188" t="s">
        <v>3510</v>
      </c>
      <c r="AG105" s="3188" t="s">
        <v>3490</v>
      </c>
      <c r="AH105" s="3188">
        <v>74.319999999999993</v>
      </c>
      <c r="AI105" s="3188" t="s">
        <v>3402</v>
      </c>
      <c r="AJ105" s="3188">
        <v>6</v>
      </c>
      <c r="AK105" s="3188">
        <v>4</v>
      </c>
      <c r="AL105" s="3188" t="s">
        <v>633</v>
      </c>
      <c r="AM105" s="3188">
        <v>2010</v>
      </c>
      <c r="AN105" s="3188">
        <v>35361</v>
      </c>
      <c r="AO105" s="3188">
        <v>33764</v>
      </c>
      <c r="AP105" s="3188">
        <v>2509340</v>
      </c>
      <c r="AQ105" s="3189">
        <v>43971</v>
      </c>
    </row>
  </sheetData>
  <mergeCells count="15">
    <mergeCell ref="F3:I3"/>
    <mergeCell ref="Q3:Q4"/>
    <mergeCell ref="A3:A4"/>
    <mergeCell ref="B3:B4"/>
    <mergeCell ref="C3:C4"/>
    <mergeCell ref="D3:D4"/>
    <mergeCell ref="E3:E4"/>
    <mergeCell ref="R3:R4"/>
    <mergeCell ref="S3:S4"/>
    <mergeCell ref="J3:J4"/>
    <mergeCell ref="K3:L3"/>
    <mergeCell ref="M3:M4"/>
    <mergeCell ref="N3:N4"/>
    <mergeCell ref="O3:O4"/>
    <mergeCell ref="P3:P4"/>
  </mergeCells>
  <phoneticPr fontId="134"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0</v>
      </c>
      <c r="D1" s="1217" t="s">
        <v>603</v>
      </c>
      <c r="E1" s="1212">
        <f>'数据-取费表'!B22</f>
        <v>0</v>
      </c>
      <c r="F1" s="1217" t="s">
        <v>604</v>
      </c>
      <c r="G1" s="1213">
        <f ca="1">IF(OR(C1&lt;C27,E1&lt;=1),INDIRECT("d"&amp;$K$1)/100,ROUND((D5+(E1-C5)*(D7-D5)/(C7-C5))/100,4))</f>
        <v>0</v>
      </c>
      <c r="H1" s="1217" t="s">
        <v>634</v>
      </c>
      <c r="I1" s="1213">
        <f ca="1">F4/100</f>
        <v>0</v>
      </c>
      <c r="J1" s="1218">
        <f>IF(C1&gt;C13,0,MATCH(C1,C$13:C$115,-1))+IF(SUMIF(C13:C115,C1,D13:D115)=0,13,12)</f>
        <v>73</v>
      </c>
      <c r="K1" s="1218">
        <f ca="1">MATCH(E1,C3:C7,1)+IF(SUMIF(C3:C7,E1,D3:D7)=0,2,1)</f>
        <v>3</v>
      </c>
      <c r="L1" s="1218">
        <f>IF(C1&gt;M13,0,MATCH(C1,M$13:M$100,-1))+IF(SUMIF(M13:M100,C1,N13:N100)=0,13,12)</f>
        <v>52</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0</v>
      </c>
      <c r="E3" s="1163">
        <v>0.5</v>
      </c>
      <c r="F3" s="1164">
        <f ca="1">INDIRECT("p"&amp;$L$1)</f>
        <v>0</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0</v>
      </c>
      <c r="E4" s="1169">
        <v>1</v>
      </c>
      <c r="F4" s="1170">
        <f ca="1">INDIRECT("q"&amp;$L$1)</f>
        <v>0</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0</v>
      </c>
      <c r="E5" s="1169">
        <v>2</v>
      </c>
      <c r="F5" s="1170">
        <f ca="1">INDIRECT("r"&amp;$L$1)</f>
        <v>0</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0</v>
      </c>
      <c r="E6" s="1169">
        <v>3</v>
      </c>
      <c r="F6" s="1170">
        <f ca="1">INDIRECT("s"&amp;$L$1)</f>
        <v>0</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0</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9C9A9-40A5-4F6B-9B14-E375636D8166}">
  <dimension ref="C2:AB81"/>
  <sheetViews>
    <sheetView workbookViewId="0">
      <selection activeCell="S56" sqref="S56"/>
    </sheetView>
  </sheetViews>
  <sheetFormatPr defaultRowHeight="13.5"/>
  <cols>
    <col min="4" max="4" width="11.375" bestFit="1" customWidth="1"/>
    <col min="5" max="5" width="10.25" bestFit="1" customWidth="1"/>
    <col min="6" max="6" width="10.25" style="3179" bestFit="1" customWidth="1"/>
    <col min="7" max="11" width="10.25" bestFit="1" customWidth="1"/>
    <col min="12" max="12" width="11.375" bestFit="1" customWidth="1"/>
    <col min="13" max="13" width="11.375" style="3179" bestFit="1" customWidth="1"/>
    <col min="14" max="14" width="11.375" style="3181" bestFit="1" customWidth="1"/>
    <col min="15" max="15" width="11.375" style="3179" bestFit="1" customWidth="1"/>
    <col min="16" max="24" width="10.25" bestFit="1" customWidth="1"/>
    <col min="25" max="27" width="11.375" bestFit="1" customWidth="1"/>
  </cols>
  <sheetData>
    <row r="2" spans="3:28">
      <c r="C2" s="1405"/>
      <c r="D2" s="3177"/>
      <c r="E2" s="3177"/>
      <c r="F2" s="3178"/>
      <c r="G2" s="3177"/>
      <c r="H2" s="3177"/>
      <c r="I2" s="3177"/>
      <c r="J2" s="3177"/>
      <c r="K2" s="3177"/>
      <c r="L2" s="3177"/>
      <c r="M2" s="3178"/>
      <c r="N2" s="3180"/>
      <c r="O2" s="3178"/>
      <c r="P2" s="3177"/>
      <c r="Q2" s="3177"/>
      <c r="R2" s="3177"/>
      <c r="S2" s="3177"/>
      <c r="T2" s="3177"/>
      <c r="U2" s="3177"/>
      <c r="V2" s="3177"/>
      <c r="W2" s="3177"/>
      <c r="X2" s="3177"/>
      <c r="Y2" s="3177"/>
      <c r="Z2" s="3177"/>
      <c r="AA2" s="3177"/>
    </row>
    <row r="3" spans="3:28">
      <c r="C3" s="1405"/>
      <c r="D3" s="3177"/>
      <c r="E3" s="3177"/>
      <c r="F3" s="3178"/>
      <c r="G3" s="3177"/>
      <c r="H3" s="3177"/>
      <c r="I3" s="3177"/>
      <c r="J3" s="3177"/>
      <c r="K3" s="3177"/>
      <c r="L3" s="3177"/>
      <c r="M3" s="3178"/>
      <c r="N3" s="3180"/>
      <c r="O3" s="3178"/>
      <c r="P3" s="3177"/>
      <c r="Q3" s="3177"/>
      <c r="R3" s="3177"/>
      <c r="S3" s="3177"/>
      <c r="T3" s="3177"/>
      <c r="U3" s="3177"/>
      <c r="V3" s="3177"/>
      <c r="W3" s="3177"/>
      <c r="X3" s="3177"/>
      <c r="Y3" s="3177"/>
      <c r="Z3" s="3177"/>
      <c r="AA3" s="3177"/>
    </row>
    <row r="5" spans="3:28">
      <c r="C5" s="1405" t="s">
        <v>3447</v>
      </c>
    </row>
    <row r="6" spans="3:28">
      <c r="D6" t="s">
        <v>3448</v>
      </c>
      <c r="E6" t="s">
        <v>3449</v>
      </c>
      <c r="F6" s="3179" t="s">
        <v>3450</v>
      </c>
      <c r="G6" t="s">
        <v>3451</v>
      </c>
      <c r="H6" s="3177"/>
      <c r="I6" s="3177"/>
      <c r="J6" s="3177"/>
      <c r="K6" s="3177"/>
      <c r="L6" t="s">
        <v>3448</v>
      </c>
      <c r="M6" s="3179" t="s">
        <v>3452</v>
      </c>
      <c r="N6" s="3181" t="s">
        <v>3452</v>
      </c>
      <c r="O6" s="3179" t="s">
        <v>3455</v>
      </c>
      <c r="P6" t="s">
        <v>3455</v>
      </c>
      <c r="Q6" s="3177"/>
      <c r="R6" s="3177"/>
      <c r="S6" s="3177"/>
      <c r="T6" s="3177"/>
      <c r="U6" s="3177"/>
      <c r="V6" s="3177"/>
      <c r="W6" s="3177"/>
      <c r="X6" s="3177"/>
      <c r="Y6" s="3177"/>
      <c r="Z6" s="3177"/>
      <c r="AA6" s="3177"/>
      <c r="AB6" s="3177"/>
    </row>
    <row r="7" spans="3:28">
      <c r="D7" s="3182">
        <v>43831</v>
      </c>
      <c r="E7" s="3159">
        <v>104.5</v>
      </c>
      <c r="F7" s="3183">
        <v>101.5</v>
      </c>
      <c r="G7" s="3159">
        <v>104.5</v>
      </c>
      <c r="L7" s="3177"/>
      <c r="M7" s="3179" t="s">
        <v>3453</v>
      </c>
      <c r="N7" s="3181" t="s">
        <v>3454</v>
      </c>
      <c r="O7" s="3179" t="s">
        <v>3453</v>
      </c>
      <c r="P7" s="3177" t="s">
        <v>3454</v>
      </c>
    </row>
    <row r="8" spans="3:28">
      <c r="D8" s="3182">
        <v>43862</v>
      </c>
      <c r="E8" s="3159">
        <v>104.3</v>
      </c>
      <c r="F8" s="3183">
        <v>99.8</v>
      </c>
      <c r="G8" s="3159">
        <v>104.4</v>
      </c>
      <c r="L8" s="3177">
        <v>43831</v>
      </c>
      <c r="M8" s="3179">
        <v>100</v>
      </c>
      <c r="N8" s="3181">
        <v>104.1</v>
      </c>
      <c r="O8" s="3179">
        <v>100.4</v>
      </c>
      <c r="P8">
        <v>100</v>
      </c>
    </row>
    <row r="9" spans="3:28">
      <c r="D9" s="3182">
        <v>43891</v>
      </c>
      <c r="E9" s="3159">
        <v>103.6</v>
      </c>
      <c r="F9" s="3183">
        <v>99.1</v>
      </c>
      <c r="G9" s="3159">
        <v>104.1</v>
      </c>
      <c r="H9" s="3177"/>
      <c r="I9" s="3177"/>
      <c r="J9" s="3177"/>
      <c r="K9" s="3177"/>
      <c r="L9" s="3177">
        <v>43862</v>
      </c>
      <c r="M9" s="3179">
        <v>100.1</v>
      </c>
      <c r="N9" s="3181">
        <v>104.4</v>
      </c>
      <c r="O9" s="3179">
        <v>99.8</v>
      </c>
      <c r="P9">
        <v>99.6</v>
      </c>
      <c r="Q9" s="3177"/>
      <c r="R9" s="3177"/>
    </row>
    <row r="10" spans="3:28">
      <c r="D10" s="3182">
        <v>43922</v>
      </c>
      <c r="E10" s="3159">
        <v>102.4</v>
      </c>
      <c r="F10" s="3183">
        <v>99.9</v>
      </c>
      <c r="G10" s="3159">
        <v>103.7</v>
      </c>
      <c r="L10" s="3177">
        <v>43891</v>
      </c>
      <c r="M10" s="3179">
        <v>100</v>
      </c>
      <c r="N10" s="3181">
        <v>104.1</v>
      </c>
      <c r="O10" s="3179">
        <v>100.2</v>
      </c>
      <c r="P10">
        <v>99.3</v>
      </c>
    </row>
    <row r="11" spans="3:28">
      <c r="D11" s="3182">
        <v>43952</v>
      </c>
      <c r="E11" s="3159">
        <v>101.8</v>
      </c>
      <c r="F11" s="3183">
        <v>99.9</v>
      </c>
      <c r="G11" s="3159">
        <v>103.3</v>
      </c>
      <c r="L11" s="3177">
        <v>43922</v>
      </c>
      <c r="M11" s="3179">
        <v>99.7</v>
      </c>
      <c r="N11" s="3181">
        <v>103.3</v>
      </c>
      <c r="O11" s="3179">
        <v>101.1</v>
      </c>
      <c r="P11">
        <v>99.8</v>
      </c>
    </row>
    <row r="12" spans="3:28">
      <c r="D12" s="3182">
        <v>43983</v>
      </c>
      <c r="E12" s="3159">
        <v>101.3</v>
      </c>
      <c r="F12" s="3183">
        <v>99.9</v>
      </c>
      <c r="G12" s="3159">
        <v>103</v>
      </c>
      <c r="L12" s="3177">
        <v>43952</v>
      </c>
      <c r="M12" s="3179">
        <v>100.5</v>
      </c>
      <c r="N12" s="3181">
        <v>103.1</v>
      </c>
      <c r="O12" s="3179">
        <v>101.8</v>
      </c>
      <c r="P12">
        <v>101.5</v>
      </c>
    </row>
    <row r="13" spans="3:28">
      <c r="D13" s="3182">
        <v>44013</v>
      </c>
      <c r="E13" s="3159">
        <v>100.7</v>
      </c>
      <c r="F13" s="3183">
        <v>99.9</v>
      </c>
      <c r="G13" s="3159">
        <v>102.7</v>
      </c>
      <c r="L13" s="3177">
        <v>43983</v>
      </c>
      <c r="M13" s="3179">
        <v>100.4</v>
      </c>
      <c r="N13" s="3181">
        <v>103.6</v>
      </c>
      <c r="O13" s="3179">
        <v>100.7</v>
      </c>
      <c r="P13">
        <v>102.2</v>
      </c>
    </row>
    <row r="14" spans="3:28">
      <c r="D14" s="3182">
        <v>44044</v>
      </c>
      <c r="E14" s="3159">
        <v>100.9</v>
      </c>
      <c r="F14" s="3183">
        <v>100.3</v>
      </c>
      <c r="G14" s="3159">
        <v>102.4</v>
      </c>
      <c r="L14" s="3177">
        <v>44013</v>
      </c>
      <c r="M14" s="3179">
        <v>100.3</v>
      </c>
      <c r="N14" s="3181">
        <v>103.3</v>
      </c>
      <c r="O14" s="3179">
        <v>100</v>
      </c>
      <c r="P14">
        <v>102.5</v>
      </c>
    </row>
    <row r="15" spans="3:28">
      <c r="D15" s="3182">
        <v>44075</v>
      </c>
      <c r="E15" s="3159">
        <v>101</v>
      </c>
      <c r="F15" s="3183">
        <v>100.2</v>
      </c>
      <c r="G15" s="3159">
        <v>102.2</v>
      </c>
      <c r="L15" s="3177">
        <v>44044</v>
      </c>
      <c r="M15" s="3179">
        <v>100.6</v>
      </c>
      <c r="N15" s="3181">
        <v>103.4</v>
      </c>
      <c r="O15" s="3179">
        <v>100.7</v>
      </c>
      <c r="P15">
        <v>103.6</v>
      </c>
    </row>
    <row r="16" spans="3:28">
      <c r="D16" s="3182">
        <v>44105</v>
      </c>
      <c r="E16" s="3159">
        <v>100.5</v>
      </c>
      <c r="F16" s="3183">
        <v>99.8</v>
      </c>
      <c r="G16" s="3159">
        <v>102</v>
      </c>
      <c r="L16" s="3177">
        <v>44075</v>
      </c>
      <c r="M16" s="3179">
        <v>100.3</v>
      </c>
      <c r="N16" s="3181">
        <v>103.8</v>
      </c>
      <c r="O16" s="3179">
        <v>100.4</v>
      </c>
      <c r="P16">
        <v>104.5</v>
      </c>
    </row>
    <row r="17" spans="3:18">
      <c r="D17" s="3182">
        <v>44136</v>
      </c>
      <c r="E17" s="3159">
        <v>100.2</v>
      </c>
      <c r="F17" s="3183">
        <v>99.4</v>
      </c>
      <c r="G17" s="3159">
        <v>101.9</v>
      </c>
      <c r="L17" s="3177">
        <v>44105</v>
      </c>
      <c r="M17" s="3179">
        <v>100.2</v>
      </c>
      <c r="N17" s="3181">
        <v>104.2</v>
      </c>
      <c r="O17" s="3179">
        <v>100.4</v>
      </c>
      <c r="P17">
        <v>105.4</v>
      </c>
    </row>
    <row r="18" spans="3:18">
      <c r="D18" s="3182">
        <v>44166</v>
      </c>
      <c r="E18" s="3159">
        <v>100.2</v>
      </c>
      <c r="F18" s="3183">
        <v>100.3</v>
      </c>
      <c r="G18" s="3159">
        <v>101.7</v>
      </c>
      <c r="L18" s="3177">
        <v>44136</v>
      </c>
      <c r="M18" s="3179">
        <v>99.9</v>
      </c>
      <c r="N18" s="3181">
        <v>102.4</v>
      </c>
      <c r="O18" s="3179">
        <v>100.5</v>
      </c>
      <c r="P18">
        <v>106.4</v>
      </c>
    </row>
    <row r="19" spans="3:18">
      <c r="D19" s="3182">
        <v>44197</v>
      </c>
      <c r="E19" s="3159">
        <v>100.2</v>
      </c>
      <c r="F19" s="3183">
        <v>100.7</v>
      </c>
      <c r="G19" s="3159">
        <v>100.2</v>
      </c>
      <c r="L19" s="3177">
        <v>44166</v>
      </c>
      <c r="M19" s="3179">
        <v>100.3</v>
      </c>
      <c r="N19" s="3181">
        <v>102.3</v>
      </c>
      <c r="O19" s="3179">
        <v>100.5</v>
      </c>
      <c r="P19">
        <v>106.3</v>
      </c>
    </row>
    <row r="20" spans="3:18">
      <c r="D20" s="3182">
        <v>44228</v>
      </c>
      <c r="E20" s="3159">
        <v>100.3</v>
      </c>
      <c r="F20" s="3183">
        <v>99.9</v>
      </c>
      <c r="G20" s="3159">
        <v>100.3</v>
      </c>
      <c r="L20" s="3177">
        <v>44197</v>
      </c>
      <c r="M20" s="3179">
        <v>100.5</v>
      </c>
      <c r="N20" s="3181">
        <v>102.9</v>
      </c>
      <c r="O20" s="3179">
        <v>100.9</v>
      </c>
      <c r="P20">
        <v>106.9</v>
      </c>
    </row>
    <row r="21" spans="3:18">
      <c r="D21" s="3182">
        <v>44256</v>
      </c>
      <c r="E21" s="3159">
        <v>100.5</v>
      </c>
      <c r="F21" s="3183">
        <v>100.1</v>
      </c>
      <c r="G21" s="3159">
        <v>100.3</v>
      </c>
      <c r="L21" s="3177">
        <v>44228</v>
      </c>
      <c r="M21" s="3179">
        <v>100.7</v>
      </c>
      <c r="N21" s="3181">
        <v>103.4</v>
      </c>
      <c r="O21" s="3179">
        <v>101.2</v>
      </c>
      <c r="P21">
        <v>108.5</v>
      </c>
    </row>
    <row r="22" spans="3:18">
      <c r="D22" s="3182">
        <v>44287</v>
      </c>
      <c r="E22" s="3159">
        <v>101.1</v>
      </c>
      <c r="F22" s="3183">
        <v>100</v>
      </c>
      <c r="G22" s="3159">
        <v>100.5</v>
      </c>
      <c r="L22" s="3177">
        <v>44256</v>
      </c>
      <c r="M22" s="3179">
        <v>100.2</v>
      </c>
      <c r="N22" s="3181">
        <v>103.6</v>
      </c>
      <c r="O22" s="3179">
        <v>101.4</v>
      </c>
      <c r="P22">
        <v>109.9</v>
      </c>
    </row>
    <row r="23" spans="3:18">
      <c r="C23" s="1405"/>
      <c r="D23" s="3182">
        <v>44317</v>
      </c>
      <c r="E23" s="3159">
        <v>101.2</v>
      </c>
      <c r="F23" s="3183">
        <v>99.9</v>
      </c>
      <c r="G23" s="3159">
        <v>100.7</v>
      </c>
      <c r="H23" s="3177"/>
      <c r="I23" s="3177"/>
      <c r="J23" s="3177"/>
      <c r="K23" s="3177"/>
      <c r="L23" s="3177">
        <v>44287</v>
      </c>
      <c r="M23" s="3179">
        <v>100.6</v>
      </c>
      <c r="N23" s="3181">
        <v>104.5</v>
      </c>
      <c r="O23" s="3179">
        <v>101.2</v>
      </c>
      <c r="P23">
        <v>110.1</v>
      </c>
      <c r="Q23" s="3177"/>
      <c r="R23" s="3177"/>
    </row>
    <row r="24" spans="3:18">
      <c r="D24" s="3182">
        <v>44348</v>
      </c>
      <c r="E24" s="3159">
        <v>101.1</v>
      </c>
      <c r="F24" s="3183">
        <v>100.1</v>
      </c>
      <c r="G24" s="3159">
        <v>100.7</v>
      </c>
      <c r="L24" s="3177">
        <v>44317</v>
      </c>
      <c r="M24" s="3179">
        <v>100.3</v>
      </c>
      <c r="N24" s="3181">
        <v>104.3</v>
      </c>
      <c r="O24" s="3179">
        <v>101.1</v>
      </c>
      <c r="P24">
        <v>109.3</v>
      </c>
    </row>
    <row r="25" spans="3:18">
      <c r="D25" s="3182">
        <v>44378</v>
      </c>
      <c r="E25" s="3159">
        <v>101</v>
      </c>
      <c r="F25" s="3183">
        <v>99.9</v>
      </c>
      <c r="G25" s="3159">
        <v>100.8</v>
      </c>
      <c r="L25" s="3177">
        <v>44348</v>
      </c>
      <c r="M25" s="3179">
        <v>100.9</v>
      </c>
      <c r="N25" s="3181">
        <v>104.9</v>
      </c>
      <c r="O25" s="3179">
        <v>101.3</v>
      </c>
      <c r="P25">
        <v>109.9</v>
      </c>
    </row>
    <row r="26" spans="3:18">
      <c r="D26" s="3182">
        <v>44409</v>
      </c>
      <c r="E26" s="3159">
        <v>100.8</v>
      </c>
      <c r="F26" s="3183">
        <v>99.9</v>
      </c>
      <c r="G26" s="3159">
        <v>100.8</v>
      </c>
      <c r="H26" s="3177"/>
      <c r="I26" s="3177"/>
      <c r="J26" s="3177"/>
      <c r="K26" s="3177"/>
      <c r="L26" s="3177">
        <v>44378</v>
      </c>
      <c r="M26" s="3179">
        <v>100.8</v>
      </c>
      <c r="N26" s="3181">
        <v>105.4</v>
      </c>
      <c r="O26" s="3179">
        <v>100.7</v>
      </c>
      <c r="P26">
        <v>110.7</v>
      </c>
      <c r="Q26" s="3177"/>
      <c r="R26" s="3177"/>
    </row>
    <row r="27" spans="3:18">
      <c r="D27" s="3182">
        <v>44440</v>
      </c>
      <c r="E27" s="3159">
        <v>100.7</v>
      </c>
      <c r="F27" s="3183">
        <v>100</v>
      </c>
      <c r="G27" s="3159">
        <v>100.8</v>
      </c>
      <c r="L27" s="3177">
        <v>44409</v>
      </c>
      <c r="M27" s="3179">
        <v>100.2</v>
      </c>
      <c r="N27" s="3181">
        <v>104.9</v>
      </c>
      <c r="O27" s="3179">
        <v>100.4</v>
      </c>
      <c r="P27">
        <v>110.4</v>
      </c>
    </row>
    <row r="28" spans="3:18">
      <c r="D28" s="3182">
        <v>44470</v>
      </c>
      <c r="E28" s="3159">
        <v>100.9</v>
      </c>
      <c r="F28" s="3183">
        <v>100.9</v>
      </c>
      <c r="G28" s="3159">
        <v>100.8</v>
      </c>
      <c r="L28" s="3177">
        <v>44440</v>
      </c>
      <c r="M28" s="3179">
        <v>100</v>
      </c>
      <c r="N28" s="3181">
        <v>104.5</v>
      </c>
      <c r="O28" s="3179">
        <v>99.8</v>
      </c>
      <c r="P28">
        <v>109.7</v>
      </c>
    </row>
    <row r="29" spans="3:18">
      <c r="D29" s="3182">
        <v>44501</v>
      </c>
      <c r="E29" s="3159">
        <v>102.4</v>
      </c>
      <c r="F29" s="3183">
        <v>100</v>
      </c>
      <c r="G29" s="3159">
        <v>101</v>
      </c>
      <c r="H29" s="3177"/>
      <c r="I29" s="3177"/>
      <c r="J29" s="3177"/>
      <c r="K29" s="3177"/>
      <c r="L29" s="3177">
        <v>44470</v>
      </c>
      <c r="M29" s="3179">
        <v>100.6</v>
      </c>
      <c r="N29" s="3181">
        <v>104.9</v>
      </c>
      <c r="O29" s="3179">
        <v>99.5</v>
      </c>
      <c r="P29">
        <v>108.8</v>
      </c>
      <c r="Q29" s="3177"/>
      <c r="R29" s="3177"/>
    </row>
    <row r="30" spans="3:18">
      <c r="D30" s="3182">
        <v>44531</v>
      </c>
      <c r="E30" s="3159">
        <v>101.8</v>
      </c>
      <c r="F30" s="3183">
        <v>100.1</v>
      </c>
      <c r="G30" s="3159">
        <v>101.1</v>
      </c>
      <c r="L30" s="3177">
        <v>44501</v>
      </c>
      <c r="M30" s="3179">
        <v>100.3</v>
      </c>
      <c r="N30" s="3181">
        <v>105.4</v>
      </c>
      <c r="O30" s="3179">
        <v>99.8</v>
      </c>
      <c r="P30">
        <v>108.1</v>
      </c>
    </row>
    <row r="31" spans="3:18">
      <c r="D31" s="3177">
        <v>44562</v>
      </c>
      <c r="E31">
        <v>101.3</v>
      </c>
      <c r="F31" s="3179">
        <v>100.2</v>
      </c>
      <c r="G31">
        <v>101.3</v>
      </c>
      <c r="L31" s="3177">
        <v>44531</v>
      </c>
      <c r="M31" s="3179">
        <v>100</v>
      </c>
      <c r="N31" s="3181">
        <v>105.1</v>
      </c>
      <c r="O31" s="3179">
        <v>100.8</v>
      </c>
      <c r="P31">
        <v>108.5</v>
      </c>
    </row>
    <row r="32" spans="3:18">
      <c r="D32" s="3177">
        <v>44593</v>
      </c>
      <c r="E32">
        <v>101.2</v>
      </c>
      <c r="F32" s="3179">
        <v>100.4</v>
      </c>
      <c r="G32">
        <v>101.2</v>
      </c>
      <c r="L32" s="3177">
        <v>44562</v>
      </c>
      <c r="M32" s="3179">
        <v>101</v>
      </c>
      <c r="N32" s="3181">
        <v>105.5</v>
      </c>
      <c r="O32" s="3179">
        <v>100.5</v>
      </c>
      <c r="P32">
        <v>108</v>
      </c>
    </row>
    <row r="33" spans="4:16">
      <c r="D33" s="3177">
        <v>44621</v>
      </c>
      <c r="E33">
        <v>101.8</v>
      </c>
      <c r="F33" s="3179">
        <v>100.3</v>
      </c>
      <c r="G33">
        <v>101.4</v>
      </c>
      <c r="L33" s="3177">
        <v>44593</v>
      </c>
      <c r="M33" s="3179">
        <v>100.6</v>
      </c>
      <c r="N33" s="3181">
        <v>105.5</v>
      </c>
      <c r="O33" s="3179">
        <v>100.7</v>
      </c>
      <c r="P33">
        <v>107.4</v>
      </c>
    </row>
    <row r="34" spans="4:16">
      <c r="D34" s="3177">
        <v>44652</v>
      </c>
      <c r="E34">
        <v>102</v>
      </c>
      <c r="F34" s="3179">
        <v>100.3</v>
      </c>
      <c r="G34">
        <v>101.6</v>
      </c>
      <c r="L34" s="3177">
        <v>44621</v>
      </c>
      <c r="M34" s="3179">
        <v>100.4</v>
      </c>
      <c r="N34" s="3181">
        <v>105.7</v>
      </c>
      <c r="O34" s="3179">
        <v>101.2</v>
      </c>
      <c r="P34">
        <v>107.2</v>
      </c>
    </row>
    <row r="35" spans="4:16">
      <c r="D35" s="3177">
        <v>44682</v>
      </c>
      <c r="E35">
        <v>102.2</v>
      </c>
      <c r="F35" s="3179">
        <v>100.1</v>
      </c>
      <c r="G35">
        <v>101.7</v>
      </c>
      <c r="L35" s="3177">
        <v>44652</v>
      </c>
      <c r="M35" s="3179">
        <v>100.7</v>
      </c>
      <c r="N35" s="3181">
        <v>105.8</v>
      </c>
      <c r="O35" s="3179">
        <v>100.6</v>
      </c>
      <c r="P35">
        <v>106.5</v>
      </c>
    </row>
    <row r="36" spans="4:16">
      <c r="D36" s="3177">
        <v>44713</v>
      </c>
      <c r="E36">
        <v>102.3</v>
      </c>
      <c r="F36" s="3179">
        <v>100.1</v>
      </c>
      <c r="G36">
        <v>101.7</v>
      </c>
      <c r="L36" s="3177">
        <v>44682</v>
      </c>
      <c r="M36" s="3179">
        <v>100.4</v>
      </c>
      <c r="N36" s="3181">
        <v>105.9</v>
      </c>
      <c r="O36" s="3179">
        <v>99.9</v>
      </c>
      <c r="P36">
        <v>105.3</v>
      </c>
    </row>
    <row r="37" spans="4:16">
      <c r="D37" s="3177">
        <v>44743</v>
      </c>
      <c r="E37">
        <v>102.1</v>
      </c>
      <c r="F37" s="3179">
        <v>100.3</v>
      </c>
      <c r="G37">
        <v>101.9</v>
      </c>
      <c r="L37" s="3177">
        <v>44713</v>
      </c>
      <c r="M37" s="3179">
        <v>100.8</v>
      </c>
      <c r="N37" s="3181">
        <v>105.8</v>
      </c>
      <c r="O37" s="3179">
        <v>100.5</v>
      </c>
      <c r="P37">
        <v>104.5</v>
      </c>
    </row>
    <row r="38" spans="4:16">
      <c r="D38" s="3177">
        <v>44774</v>
      </c>
      <c r="E38">
        <v>101.9</v>
      </c>
      <c r="F38" s="3179">
        <v>99.9</v>
      </c>
      <c r="G38">
        <v>101.9</v>
      </c>
      <c r="L38" s="3177">
        <v>44743</v>
      </c>
      <c r="M38" s="3179">
        <v>100.5</v>
      </c>
      <c r="N38" s="3181">
        <v>105.5</v>
      </c>
      <c r="O38" s="3179">
        <v>100.2</v>
      </c>
      <c r="P38">
        <v>104.1</v>
      </c>
    </row>
    <row r="39" spans="4:16">
      <c r="D39" s="3177">
        <v>44805</v>
      </c>
      <c r="E39">
        <v>102.1</v>
      </c>
      <c r="F39" s="3179">
        <v>100.1</v>
      </c>
      <c r="G39">
        <v>101.9</v>
      </c>
      <c r="L39" s="3177">
        <v>44774</v>
      </c>
      <c r="M39" s="3179">
        <v>100.4</v>
      </c>
      <c r="N39" s="3181">
        <v>105.8</v>
      </c>
      <c r="O39" s="3179">
        <v>100.2</v>
      </c>
      <c r="P39">
        <v>103.9</v>
      </c>
    </row>
    <row r="40" spans="4:16">
      <c r="D40" s="3177">
        <v>44835</v>
      </c>
      <c r="E40">
        <v>101.3</v>
      </c>
      <c r="F40" s="3179">
        <v>100.1</v>
      </c>
      <c r="G40">
        <v>101.8</v>
      </c>
      <c r="L40" s="3177">
        <v>44805</v>
      </c>
      <c r="M40" s="3179">
        <v>100.2</v>
      </c>
      <c r="N40" s="3181">
        <v>106.1</v>
      </c>
      <c r="O40" s="3179">
        <v>100.4</v>
      </c>
      <c r="P40">
        <v>104.6</v>
      </c>
    </row>
    <row r="41" spans="4:16">
      <c r="D41" s="3177">
        <v>44866</v>
      </c>
      <c r="E41">
        <v>101.2</v>
      </c>
      <c r="F41" s="3179">
        <v>99.9</v>
      </c>
      <c r="G41">
        <v>101.8</v>
      </c>
      <c r="L41" s="3177">
        <v>44835</v>
      </c>
      <c r="M41" s="3179">
        <v>100.4</v>
      </c>
      <c r="N41" s="3181">
        <v>105.9</v>
      </c>
      <c r="O41" s="3179">
        <v>100.1</v>
      </c>
      <c r="P41">
        <v>105.2</v>
      </c>
    </row>
    <row r="42" spans="4:16">
      <c r="D42" s="3177">
        <v>44896</v>
      </c>
      <c r="E42">
        <v>101.8</v>
      </c>
      <c r="F42" s="3179">
        <v>100.3</v>
      </c>
      <c r="G42">
        <v>101.8</v>
      </c>
      <c r="L42" s="3177">
        <v>44866</v>
      </c>
      <c r="M42" s="3179">
        <v>100.1</v>
      </c>
      <c r="N42" s="3181">
        <v>105.7</v>
      </c>
      <c r="O42" s="3179">
        <v>99.8</v>
      </c>
      <c r="P42">
        <v>105.2</v>
      </c>
    </row>
    <row r="43" spans="4:16">
      <c r="D43" s="3177">
        <v>44927</v>
      </c>
      <c r="E43">
        <v>102</v>
      </c>
      <c r="F43" s="3179">
        <v>100.4</v>
      </c>
      <c r="G43">
        <v>102</v>
      </c>
      <c r="L43" s="3177">
        <v>44896</v>
      </c>
      <c r="M43" s="3179">
        <v>100.2</v>
      </c>
      <c r="N43" s="3181">
        <v>105.8</v>
      </c>
      <c r="O43" s="3179">
        <v>99.6</v>
      </c>
      <c r="P43">
        <v>103.9</v>
      </c>
    </row>
    <row r="44" spans="4:16">
      <c r="D44" s="3177">
        <v>44958</v>
      </c>
      <c r="E44">
        <v>101.2</v>
      </c>
      <c r="F44" s="3179">
        <v>99.6</v>
      </c>
      <c r="G44">
        <v>101.6</v>
      </c>
      <c r="L44" s="3177">
        <v>44927</v>
      </c>
      <c r="M44" s="3179">
        <v>100.4</v>
      </c>
      <c r="N44" s="3181">
        <v>105.2</v>
      </c>
      <c r="O44" s="3179">
        <v>100.9</v>
      </c>
      <c r="P44">
        <v>104.3</v>
      </c>
    </row>
    <row r="45" spans="4:16">
      <c r="D45" s="3177">
        <v>44986</v>
      </c>
      <c r="E45">
        <v>100.7</v>
      </c>
      <c r="F45" s="3179">
        <v>99.8</v>
      </c>
      <c r="G45">
        <v>101.3</v>
      </c>
      <c r="L45" s="3177">
        <v>44958</v>
      </c>
      <c r="M45" s="3179">
        <v>100.2</v>
      </c>
      <c r="N45" s="3181">
        <v>104.7</v>
      </c>
      <c r="O45" s="3179">
        <v>100.8</v>
      </c>
      <c r="P45">
        <v>104.4</v>
      </c>
    </row>
    <row r="46" spans="4:16">
      <c r="D46" s="3177">
        <v>45017</v>
      </c>
      <c r="E46">
        <v>100.3</v>
      </c>
      <c r="F46" s="3179">
        <v>99.9</v>
      </c>
      <c r="G46">
        <v>101</v>
      </c>
      <c r="L46" s="3177">
        <v>44986</v>
      </c>
      <c r="M46" s="3179">
        <v>100.3</v>
      </c>
      <c r="N46" s="3181">
        <v>104.6</v>
      </c>
      <c r="O46" s="3179">
        <v>100.7</v>
      </c>
      <c r="P46">
        <v>103.8</v>
      </c>
    </row>
    <row r="47" spans="4:16">
      <c r="D47" s="3177">
        <v>45047</v>
      </c>
      <c r="E47">
        <v>102.2</v>
      </c>
      <c r="F47" s="3179">
        <v>100.1</v>
      </c>
      <c r="G47">
        <v>101.7</v>
      </c>
      <c r="L47" s="3177">
        <v>45017</v>
      </c>
      <c r="M47" s="3179">
        <v>100.6</v>
      </c>
      <c r="N47" s="3181">
        <v>104.5</v>
      </c>
      <c r="O47" s="3179">
        <v>100.1</v>
      </c>
      <c r="P47">
        <v>103.3</v>
      </c>
    </row>
    <row r="48" spans="4:16">
      <c r="D48" s="3177">
        <v>45078</v>
      </c>
      <c r="E48">
        <v>102.5</v>
      </c>
      <c r="F48" s="3179">
        <v>99.9</v>
      </c>
      <c r="G48">
        <v>101.8</v>
      </c>
      <c r="L48" s="3177">
        <v>45047</v>
      </c>
      <c r="M48" s="3179">
        <v>100.2</v>
      </c>
      <c r="N48" s="3181">
        <v>104.3</v>
      </c>
      <c r="O48" s="3179">
        <v>99.4</v>
      </c>
      <c r="P48">
        <v>102.8</v>
      </c>
    </row>
    <row r="49" spans="4:16">
      <c r="D49" s="3177">
        <v>45108</v>
      </c>
      <c r="E49">
        <v>100.1</v>
      </c>
      <c r="F49" s="3179">
        <v>100.4</v>
      </c>
      <c r="G49">
        <v>100.7</v>
      </c>
      <c r="L49" s="3177">
        <v>45078</v>
      </c>
      <c r="M49" s="3179">
        <v>100.1</v>
      </c>
      <c r="N49" s="3181">
        <v>103.5</v>
      </c>
      <c r="O49" s="3179">
        <v>99.3</v>
      </c>
      <c r="P49">
        <v>101.5</v>
      </c>
    </row>
    <row r="50" spans="4:16">
      <c r="D50" s="3177">
        <v>45139</v>
      </c>
      <c r="E50">
        <v>100.3</v>
      </c>
      <c r="F50" s="3179">
        <v>100.1</v>
      </c>
      <c r="G50">
        <v>100.6</v>
      </c>
      <c r="L50" s="3177">
        <v>45108</v>
      </c>
      <c r="M50" s="3179">
        <v>100.4</v>
      </c>
      <c r="N50" s="3181">
        <v>103.5</v>
      </c>
      <c r="O50" s="3179">
        <v>99.4</v>
      </c>
      <c r="P50">
        <v>100.6</v>
      </c>
    </row>
    <row r="51" spans="4:16">
      <c r="D51" s="3177">
        <v>45170</v>
      </c>
      <c r="E51">
        <v>100.4</v>
      </c>
      <c r="F51" s="3179">
        <v>100.2</v>
      </c>
      <c r="G51">
        <v>100.6</v>
      </c>
      <c r="L51" s="3177">
        <v>45139</v>
      </c>
      <c r="M51" s="3179">
        <v>99.8</v>
      </c>
      <c r="N51" s="3181">
        <v>102.8</v>
      </c>
      <c r="O51" s="3179">
        <v>100.4</v>
      </c>
      <c r="P51">
        <v>100.8</v>
      </c>
    </row>
    <row r="52" spans="4:16">
      <c r="D52" s="3177">
        <v>45200</v>
      </c>
      <c r="E52">
        <v>100</v>
      </c>
      <c r="F52" s="3179">
        <v>99.7</v>
      </c>
      <c r="G52">
        <v>100.5</v>
      </c>
      <c r="L52" s="3177">
        <v>45170</v>
      </c>
      <c r="M52" s="3179">
        <v>100.4</v>
      </c>
      <c r="N52" s="3181">
        <v>102.9</v>
      </c>
      <c r="O52" s="3179">
        <v>100.7</v>
      </c>
      <c r="P52">
        <v>101.14</v>
      </c>
    </row>
    <row r="53" spans="4:16">
      <c r="D53" s="3177">
        <v>45231</v>
      </c>
      <c r="E53">
        <v>99.7</v>
      </c>
      <c r="F53" s="3179">
        <v>99.6</v>
      </c>
      <c r="G53">
        <v>100.5</v>
      </c>
      <c r="L53" s="3177">
        <v>45200</v>
      </c>
      <c r="M53" s="3179">
        <v>99.6</v>
      </c>
      <c r="N53" s="3181">
        <v>102.1</v>
      </c>
      <c r="O53" s="3179">
        <v>98.9</v>
      </c>
      <c r="P53">
        <v>99.8</v>
      </c>
    </row>
    <row r="54" spans="4:16">
      <c r="D54" s="3177">
        <v>45261</v>
      </c>
      <c r="E54">
        <v>99.5</v>
      </c>
      <c r="F54" s="3179">
        <v>100.1</v>
      </c>
      <c r="G54">
        <v>100.4</v>
      </c>
      <c r="L54" s="3177">
        <v>45231</v>
      </c>
      <c r="M54" s="3179">
        <v>99.9</v>
      </c>
      <c r="N54" s="3181">
        <v>101.9</v>
      </c>
      <c r="O54" s="3179">
        <v>98.6</v>
      </c>
      <c r="P54">
        <v>98.6</v>
      </c>
    </row>
    <row r="55" spans="4:16">
      <c r="D55" s="3177">
        <v>45292</v>
      </c>
      <c r="E55">
        <v>99.6</v>
      </c>
      <c r="F55" s="3179">
        <v>100.5</v>
      </c>
      <c r="G55">
        <v>99.6</v>
      </c>
      <c r="L55" s="3177">
        <v>45261</v>
      </c>
      <c r="M55" s="3179">
        <v>100</v>
      </c>
      <c r="N55" s="3181">
        <v>101.7</v>
      </c>
      <c r="O55" s="3179">
        <v>98.8</v>
      </c>
      <c r="P55">
        <v>97.8</v>
      </c>
    </row>
    <row r="56" spans="4:16">
      <c r="D56" s="3177">
        <v>45323</v>
      </c>
      <c r="E56">
        <v>100.9</v>
      </c>
      <c r="F56" s="3179">
        <v>101</v>
      </c>
      <c r="G56">
        <v>100.3</v>
      </c>
      <c r="L56" s="3177">
        <v>45292</v>
      </c>
      <c r="M56" s="3179">
        <v>99.9</v>
      </c>
      <c r="N56" s="3181">
        <v>101.3</v>
      </c>
      <c r="O56" s="3179">
        <v>99.3</v>
      </c>
      <c r="P56">
        <v>96.3</v>
      </c>
    </row>
    <row r="57" spans="4:16">
      <c r="D57" s="3177">
        <v>45352</v>
      </c>
      <c r="E57">
        <v>100</v>
      </c>
      <c r="F57" s="3179">
        <v>98.9</v>
      </c>
      <c r="G57">
        <v>100.2</v>
      </c>
      <c r="L57" s="3177">
        <v>45323</v>
      </c>
      <c r="M57" s="3179">
        <v>99.9</v>
      </c>
      <c r="N57" s="3181">
        <v>101</v>
      </c>
      <c r="O57" s="3179">
        <v>99.1</v>
      </c>
      <c r="P57">
        <v>94.7</v>
      </c>
    </row>
    <row r="58" spans="4:16">
      <c r="D58" s="3177">
        <v>45383</v>
      </c>
      <c r="E58">
        <v>100.2</v>
      </c>
      <c r="F58" s="3179">
        <v>100.1</v>
      </c>
      <c r="G58">
        <v>100.2</v>
      </c>
      <c r="L58" s="3177">
        <v>45352</v>
      </c>
      <c r="M58" s="3179">
        <v>100</v>
      </c>
      <c r="N58" s="3181">
        <v>100.8</v>
      </c>
      <c r="O58" s="3179">
        <v>99.6</v>
      </c>
      <c r="P58">
        <v>93.6</v>
      </c>
    </row>
    <row r="59" spans="4:16">
      <c r="D59" s="3177">
        <v>45413</v>
      </c>
      <c r="E59">
        <v>99.9</v>
      </c>
      <c r="F59" s="3179">
        <v>99.6</v>
      </c>
      <c r="G59">
        <v>100.1</v>
      </c>
      <c r="L59" s="3177">
        <v>45383</v>
      </c>
      <c r="M59" s="3179">
        <v>99.3</v>
      </c>
      <c r="N59" s="3181">
        <v>99.5</v>
      </c>
      <c r="O59" s="3179">
        <v>98.4</v>
      </c>
      <c r="P59">
        <v>92</v>
      </c>
    </row>
    <row r="60" spans="4:16">
      <c r="D60" s="3177">
        <v>45444</v>
      </c>
      <c r="E60">
        <v>99.7</v>
      </c>
      <c r="F60" s="3179">
        <v>99.5</v>
      </c>
      <c r="G60">
        <v>100.1</v>
      </c>
      <c r="L60" s="3177">
        <v>45413</v>
      </c>
      <c r="M60" s="3179">
        <v>98.9</v>
      </c>
      <c r="N60" s="3181">
        <v>98.2</v>
      </c>
      <c r="O60" s="3179">
        <v>98.8</v>
      </c>
      <c r="P60">
        <v>91.4</v>
      </c>
    </row>
    <row r="61" spans="4:16">
      <c r="D61" s="3177">
        <v>45474</v>
      </c>
      <c r="E61">
        <v>100.1</v>
      </c>
      <c r="F61" s="3179">
        <v>100.8</v>
      </c>
      <c r="G61">
        <v>100.1</v>
      </c>
      <c r="L61" s="3177">
        <v>45444</v>
      </c>
      <c r="M61" s="3179">
        <v>99.4</v>
      </c>
      <c r="N61" s="3181">
        <v>97.6</v>
      </c>
      <c r="O61" s="3179">
        <v>100.2</v>
      </c>
      <c r="P61">
        <v>92.2</v>
      </c>
    </row>
    <row r="62" spans="4:16">
      <c r="D62" s="3177">
        <v>45505</v>
      </c>
      <c r="E62">
        <v>100.5</v>
      </c>
      <c r="F62" s="3179">
        <v>100.5</v>
      </c>
      <c r="G62">
        <v>100.1</v>
      </c>
      <c r="L62" s="3177">
        <v>45474</v>
      </c>
      <c r="M62" s="3179">
        <v>99.5</v>
      </c>
      <c r="N62" s="3181">
        <v>96.7</v>
      </c>
      <c r="O62" s="3179">
        <v>100</v>
      </c>
      <c r="P62">
        <v>92.8</v>
      </c>
    </row>
    <row r="63" spans="4:16">
      <c r="D63" s="3177">
        <v>45536</v>
      </c>
      <c r="E63">
        <v>100.2</v>
      </c>
      <c r="F63" s="3179">
        <v>99.9</v>
      </c>
      <c r="G63">
        <v>100.1</v>
      </c>
      <c r="L63" s="3177">
        <v>45505</v>
      </c>
      <c r="M63" s="3179">
        <v>99.5</v>
      </c>
      <c r="N63" s="3181">
        <v>96.4</v>
      </c>
      <c r="O63" s="3179">
        <v>99</v>
      </c>
      <c r="P63">
        <v>91.5</v>
      </c>
    </row>
    <row r="64" spans="4:16">
      <c r="D64" s="3177">
        <v>45566</v>
      </c>
      <c r="E64">
        <v>100.2</v>
      </c>
      <c r="F64" s="3179">
        <v>99.7</v>
      </c>
      <c r="G64">
        <v>100.1</v>
      </c>
      <c r="L64" s="3177">
        <v>45536</v>
      </c>
      <c r="M64" s="3179">
        <v>99.3</v>
      </c>
      <c r="N64" s="3181">
        <v>95.4</v>
      </c>
      <c r="O64" s="3179">
        <v>98.7</v>
      </c>
      <c r="P64">
        <v>89.7</v>
      </c>
    </row>
    <row r="65" spans="4:16">
      <c r="D65" s="3177">
        <v>45597</v>
      </c>
      <c r="E65">
        <v>99.8</v>
      </c>
      <c r="F65" s="3179">
        <v>99.2</v>
      </c>
      <c r="G65">
        <v>100.1</v>
      </c>
      <c r="L65" s="3177">
        <v>45566</v>
      </c>
      <c r="M65" s="3179">
        <v>99.3</v>
      </c>
      <c r="N65" s="3181">
        <v>95.1</v>
      </c>
      <c r="O65" s="3179">
        <v>101</v>
      </c>
      <c r="P65">
        <v>91.6</v>
      </c>
    </row>
    <row r="66" spans="4:16">
      <c r="D66" s="3177">
        <v>45627</v>
      </c>
      <c r="E66">
        <v>99.6</v>
      </c>
      <c r="F66" s="3179">
        <v>99.9</v>
      </c>
      <c r="G66">
        <v>100.1</v>
      </c>
      <c r="L66" s="3177">
        <v>45597</v>
      </c>
      <c r="M66" s="3179">
        <v>99.5</v>
      </c>
      <c r="N66" s="3181">
        <v>94.7</v>
      </c>
      <c r="O66" s="3179">
        <v>100.9</v>
      </c>
      <c r="P66">
        <v>93.8</v>
      </c>
    </row>
    <row r="67" spans="4:16">
      <c r="D67" s="3177">
        <v>45658</v>
      </c>
      <c r="E67">
        <v>100.3</v>
      </c>
      <c r="F67" s="3179">
        <v>101.2</v>
      </c>
      <c r="G67">
        <v>100.3</v>
      </c>
      <c r="L67" s="3177">
        <v>45627</v>
      </c>
      <c r="M67" s="3179">
        <v>99.9</v>
      </c>
      <c r="N67" s="3181">
        <v>94.6</v>
      </c>
      <c r="O67" s="3179">
        <v>100.5</v>
      </c>
      <c r="P67">
        <v>95.5</v>
      </c>
    </row>
    <row r="68" spans="4:16">
      <c r="D68" s="3177">
        <v>45689</v>
      </c>
      <c r="E68">
        <v>98.7</v>
      </c>
      <c r="F68" s="3179">
        <v>99.4</v>
      </c>
      <c r="G68">
        <v>99.5</v>
      </c>
      <c r="L68" s="3177">
        <v>45658</v>
      </c>
      <c r="M68" s="3179">
        <v>99.6</v>
      </c>
      <c r="N68" s="3181">
        <v>94.3</v>
      </c>
      <c r="O68" s="3179">
        <v>100.1</v>
      </c>
      <c r="P68">
        <v>96.2</v>
      </c>
    </row>
    <row r="69" spans="4:16">
      <c r="D69" s="3177">
        <v>45717</v>
      </c>
      <c r="E69">
        <v>99.6</v>
      </c>
      <c r="F69" s="3179">
        <v>99.8</v>
      </c>
      <c r="G69">
        <v>99.5</v>
      </c>
      <c r="L69" s="3177">
        <v>45689</v>
      </c>
      <c r="M69" s="3179">
        <v>100.1</v>
      </c>
      <c r="N69" s="3181">
        <v>94.5</v>
      </c>
      <c r="O69" s="3179">
        <v>100</v>
      </c>
      <c r="P69">
        <v>97.1</v>
      </c>
    </row>
    <row r="70" spans="4:16">
      <c r="D70" s="3177">
        <v>45748</v>
      </c>
      <c r="E70">
        <v>99.7</v>
      </c>
      <c r="F70" s="3179">
        <v>100.3</v>
      </c>
      <c r="G70">
        <v>99.6</v>
      </c>
      <c r="L70" s="3177">
        <v>45717</v>
      </c>
      <c r="M70" s="3179">
        <v>99.8</v>
      </c>
      <c r="N70" s="3181">
        <v>94.3</v>
      </c>
      <c r="O70" s="3179">
        <v>100.5</v>
      </c>
      <c r="P70">
        <v>97.9</v>
      </c>
    </row>
    <row r="71" spans="4:16">
      <c r="D71" s="3177">
        <v>45778</v>
      </c>
      <c r="E71">
        <v>99.9</v>
      </c>
      <c r="F71" s="3179">
        <v>99.8</v>
      </c>
      <c r="G71">
        <v>99.6</v>
      </c>
      <c r="L71" s="3177">
        <v>45748</v>
      </c>
      <c r="M71" s="3179">
        <v>100.1</v>
      </c>
      <c r="N71" s="3181">
        <v>95</v>
      </c>
      <c r="O71" s="3179">
        <v>99.4</v>
      </c>
      <c r="P71">
        <v>99</v>
      </c>
    </row>
    <row r="72" spans="4:16">
      <c r="D72" s="3177">
        <v>45809</v>
      </c>
      <c r="E72">
        <v>99.9</v>
      </c>
      <c r="F72" s="3179">
        <v>99.6</v>
      </c>
      <c r="G72">
        <v>99.7</v>
      </c>
      <c r="L72" s="3177">
        <v>45778</v>
      </c>
      <c r="M72" s="3179">
        <v>99.6</v>
      </c>
      <c r="N72" s="3181">
        <v>95.7</v>
      </c>
      <c r="O72" s="3179">
        <v>99.2</v>
      </c>
      <c r="P72">
        <v>99.3</v>
      </c>
    </row>
    <row r="73" spans="4:16">
      <c r="D73" s="3177">
        <v>45839</v>
      </c>
      <c r="E73">
        <v>99.8</v>
      </c>
      <c r="F73" s="3179">
        <v>100.7</v>
      </c>
      <c r="G73">
        <v>99.7</v>
      </c>
      <c r="L73" s="3177">
        <v>45809</v>
      </c>
      <c r="M73" s="3179">
        <v>99.7</v>
      </c>
      <c r="N73" s="3181">
        <v>95.9</v>
      </c>
      <c r="O73" s="3179">
        <v>99</v>
      </c>
      <c r="P73">
        <v>98.2</v>
      </c>
    </row>
    <row r="74" spans="4:16">
      <c r="D74" s="3177">
        <v>45870</v>
      </c>
      <c r="E74">
        <v>99.2</v>
      </c>
      <c r="F74" s="3179">
        <v>99.9</v>
      </c>
      <c r="G74">
        <v>99.6</v>
      </c>
      <c r="L74" s="3177">
        <v>45839</v>
      </c>
      <c r="M74" s="3179">
        <v>100</v>
      </c>
      <c r="N74" s="3181">
        <v>96.4</v>
      </c>
      <c r="O74" s="3179">
        <v>98.9</v>
      </c>
      <c r="P74">
        <v>97.1</v>
      </c>
    </row>
    <row r="75" spans="4:16">
      <c r="D75" s="3177">
        <v>45901</v>
      </c>
      <c r="E75">
        <v>99.4</v>
      </c>
      <c r="F75" s="3179">
        <v>100.1</v>
      </c>
      <c r="G75">
        <v>99.6</v>
      </c>
      <c r="L75" s="3177">
        <v>45870</v>
      </c>
      <c r="M75" s="3179">
        <v>99.6</v>
      </c>
      <c r="N75" s="3181">
        <v>96.5</v>
      </c>
      <c r="O75" s="3179">
        <v>98.8</v>
      </c>
      <c r="P75">
        <v>96.9</v>
      </c>
    </row>
    <row r="76" spans="4:16">
      <c r="D76" s="3177">
        <v>45931</v>
      </c>
      <c r="E76">
        <v>100.1</v>
      </c>
      <c r="F76" s="3179">
        <v>100.4</v>
      </c>
      <c r="G76">
        <v>99.7</v>
      </c>
      <c r="L76" s="3177">
        <v>45901</v>
      </c>
      <c r="M76" s="3179">
        <v>100.2</v>
      </c>
      <c r="N76" s="3181">
        <v>97.4</v>
      </c>
      <c r="O76" s="3179">
        <v>99.1</v>
      </c>
      <c r="P76">
        <v>97.4</v>
      </c>
    </row>
    <row r="77" spans="4:16">
      <c r="D77" s="3177">
        <v>45962</v>
      </c>
      <c r="E77">
        <v>100.6</v>
      </c>
      <c r="F77" s="3179">
        <v>99.8</v>
      </c>
      <c r="G77">
        <v>99.7</v>
      </c>
      <c r="L77" s="3177">
        <v>45931</v>
      </c>
      <c r="M77" s="3179">
        <v>99.9</v>
      </c>
      <c r="N77" s="3181">
        <v>98</v>
      </c>
      <c r="O77" s="3179">
        <v>98.9</v>
      </c>
      <c r="P77">
        <v>95.3</v>
      </c>
    </row>
    <row r="78" spans="4:16">
      <c r="D78" s="3177">
        <v>45992</v>
      </c>
      <c r="E78">
        <v>101</v>
      </c>
      <c r="F78" s="3179">
        <v>100.3</v>
      </c>
      <c r="G78">
        <v>99.9</v>
      </c>
      <c r="L78" s="3177">
        <v>45962</v>
      </c>
      <c r="M78" s="3179">
        <v>99.5</v>
      </c>
      <c r="N78" s="3181">
        <v>97.9</v>
      </c>
      <c r="O78" s="3179">
        <v>98.7</v>
      </c>
      <c r="P78">
        <v>93.2</v>
      </c>
    </row>
    <row r="79" spans="4:16">
      <c r="D79" s="3177">
        <v>46023</v>
      </c>
      <c r="E79">
        <v>100.1</v>
      </c>
      <c r="F79" s="3179">
        <v>100.3</v>
      </c>
      <c r="G79">
        <v>100.1</v>
      </c>
      <c r="L79" s="3177">
        <v>45992</v>
      </c>
      <c r="M79" s="3179">
        <v>99.6</v>
      </c>
      <c r="N79" s="3181">
        <v>97.6</v>
      </c>
      <c r="O79" s="3179">
        <v>98.7</v>
      </c>
      <c r="P79">
        <v>91.5</v>
      </c>
    </row>
    <row r="80" spans="4:16">
      <c r="D80" s="3177">
        <v>46054</v>
      </c>
      <c r="E80">
        <v>101.4</v>
      </c>
      <c r="F80" s="3179">
        <v>100.9</v>
      </c>
      <c r="G80">
        <v>100.7</v>
      </c>
      <c r="L80" s="3177">
        <v>46023</v>
      </c>
      <c r="M80" s="3179">
        <v>99.7</v>
      </c>
      <c r="N80" s="3181">
        <v>97.6</v>
      </c>
      <c r="O80" s="3179">
        <v>99.8</v>
      </c>
      <c r="P80">
        <v>91.3</v>
      </c>
    </row>
    <row r="81" spans="12:16">
      <c r="L81" s="3177">
        <v>46054</v>
      </c>
      <c r="M81" s="3179">
        <v>100.2</v>
      </c>
      <c r="N81" s="3181">
        <v>97.7</v>
      </c>
      <c r="O81" s="3179">
        <v>100.3</v>
      </c>
      <c r="P81">
        <v>91.6</v>
      </c>
    </row>
  </sheetData>
  <phoneticPr fontId="134" type="noConversion"/>
  <dataValidations count="5">
    <dataValidation type="list" allowBlank="1" showInputMessage="1" showErrorMessage="1" sqref="AE13:AE29" xr:uid="{03141C01-BB0D-4E42-B32C-9C5B34584123}">
      <formula1>所在楼层</formula1>
    </dataValidation>
    <dataValidation type="list" allowBlank="1" showInputMessage="1" sqref="AK13:AK29" xr:uid="{7F42765A-FA8C-4EC0-8B56-E37A688BE486}">
      <formula1>房屋产权性质</formula1>
    </dataValidation>
    <dataValidation type="list" allowBlank="1" showInputMessage="1" showErrorMessage="1" sqref="X13:X29" xr:uid="{9D1F8BE2-7C6C-4882-ACE6-1EEC56E21DCD}">
      <formula1>房屋装修</formula1>
    </dataValidation>
    <dataValidation type="list" allowBlank="1" showInputMessage="1" showErrorMessage="1" sqref="Y13:Y29" xr:uid="{E8E322E3-CDCF-4F34-8D91-D7C393DB3237}">
      <formula1>房屋朝向</formula1>
    </dataValidation>
    <dataValidation type="list" allowBlank="1" showInputMessage="1" showErrorMessage="1" sqref="AG13:AG29" xr:uid="{8FC8536D-E51F-4CD5-B22B-093C9F3E4C20}">
      <formula1>配备电梯</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43" t="s">
        <v>949</v>
      </c>
      <c r="B1" s="3243"/>
      <c r="C1" s="3243"/>
      <c r="D1" s="3243"/>
    </row>
    <row r="2" spans="1:4" ht="18">
      <c r="A2" s="3244" t="s">
        <v>933</v>
      </c>
      <c r="B2" s="3244"/>
      <c r="C2" s="3244"/>
      <c r="D2" s="3244"/>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44" t="s">
        <v>939</v>
      </c>
      <c r="B6" s="3244"/>
      <c r="C6" s="3244"/>
      <c r="D6" s="3244"/>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45" t="s">
        <v>942</v>
      </c>
      <c r="B11" s="3237"/>
      <c r="C11" s="3237"/>
      <c r="D11" s="3237"/>
    </row>
    <row r="12" spans="1:4" ht="15.75">
      <c r="A12" s="32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42"/>
      <c r="C12" s="3242"/>
      <c r="D12" s="3242"/>
    </row>
    <row r="13" spans="1:4" ht="30" customHeight="1">
      <c r="A13" s="3237" t="str">
        <f>IF(项目基本情况!B8="抵押","3.抵押双方在办理抵押登记手续时，应使用本公司出具的正式《房地产评估报告》，特提醒报告使用者注意。","——")</f>
        <v>——</v>
      </c>
      <c r="B13" s="3242"/>
      <c r="C13" s="3242"/>
      <c r="D13" s="3242"/>
    </row>
    <row r="14" spans="1:4" ht="15.75" customHeight="1">
      <c r="A14" s="3237" t="str">
        <f>IF(项目基本情况!B8="抵押","4.本次评估估价师所知悉的法定优先受偿款情况说明如下：","——")</f>
        <v>——</v>
      </c>
      <c r="B14" s="3242"/>
      <c r="C14" s="3242"/>
      <c r="D14" s="3242"/>
    </row>
    <row r="15" spans="1:4" ht="42" customHeight="1">
      <c r="A15" s="3237" t="str">
        <f>IF(项目基本情况!B8="抵押","（1）"&amp;CONCATENATE(项目基本情况!L20,项目基本情况!L21,项目基本情况!L22),"——")</f>
        <v>——</v>
      </c>
      <c r="B15" s="3237"/>
      <c r="C15" s="3237"/>
      <c r="D15" s="3237"/>
    </row>
    <row r="16" spans="1:4" ht="30" customHeight="1">
      <c r="A16" s="3239" t="s">
        <v>943</v>
      </c>
      <c r="B16" s="3239"/>
      <c r="C16" s="3239"/>
      <c r="D16" s="3239"/>
    </row>
    <row r="17" spans="1:4" ht="144" customHeight="1">
      <c r="A17" s="3239" t="s">
        <v>944</v>
      </c>
      <c r="B17" s="3239"/>
      <c r="C17" s="3239"/>
      <c r="D17" s="3239"/>
    </row>
    <row r="18" spans="1:4" ht="15.75" customHeight="1">
      <c r="A18" s="3237" t="str">
        <f>IF(项目基本情况!B8="抵押",结果表!K120,"——")</f>
        <v>——</v>
      </c>
      <c r="B18" s="3237"/>
      <c r="C18" s="3237"/>
      <c r="D18" s="3237"/>
    </row>
    <row r="19" spans="1:4" ht="46.5" customHeight="1">
      <c r="A19" s="32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37"/>
      <c r="C19" s="3237"/>
      <c r="D19" s="3237"/>
    </row>
    <row r="20" spans="1:4" ht="57.75" customHeight="1">
      <c r="A20" s="32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7"/>
      <c r="C20" s="3237"/>
      <c r="D20" s="3237"/>
    </row>
    <row r="21" spans="1:4" ht="57.75" customHeight="1">
      <c r="A21" s="32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0"/>
      <c r="C21" s="3240"/>
      <c r="D21" s="3240"/>
    </row>
    <row r="22" spans="1:4" ht="18.75" customHeight="1">
      <c r="A22" s="3241" t="s">
        <v>945</v>
      </c>
      <c r="B22" s="3241"/>
      <c r="C22" s="3241"/>
      <c r="D22" s="3241"/>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38">
        <v>42551</v>
      </c>
      <c r="D31" s="323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51" t="s">
        <v>956</v>
      </c>
      <c r="B15" s="3246" t="s">
        <v>109</v>
      </c>
      <c r="C15" s="3247"/>
    </row>
    <row r="16" spans="1:7" ht="13.5">
      <c r="A16" s="3252"/>
      <c r="B16" s="3246" t="s">
        <v>42</v>
      </c>
      <c r="C16" s="3247"/>
    </row>
    <row r="17" spans="1:3" ht="13.5">
      <c r="A17" s="3252"/>
      <c r="B17" s="3249" t="s">
        <v>957</v>
      </c>
      <c r="C17" s="1429" t="s">
        <v>956</v>
      </c>
    </row>
    <row r="18" spans="1:3" ht="13.5">
      <c r="A18" s="3252"/>
      <c r="B18" s="3249"/>
      <c r="C18" s="1429" t="s">
        <v>958</v>
      </c>
    </row>
    <row r="19" spans="1:3" ht="13.5">
      <c r="A19" s="3252"/>
      <c r="B19" s="3249"/>
      <c r="C19" s="1429" t="s">
        <v>959</v>
      </c>
    </row>
    <row r="20" spans="1:3" ht="13.5">
      <c r="A20" s="3253"/>
      <c r="B20" s="3248" t="s">
        <v>960</v>
      </c>
      <c r="C20" s="3247"/>
    </row>
    <row r="21" spans="1:3" ht="13.5">
      <c r="A21" s="1430" t="s">
        <v>961</v>
      </c>
      <c r="B21" s="1431"/>
      <c r="C21" s="1432"/>
    </row>
    <row r="22" spans="1:3" ht="13.5">
      <c r="A22" s="3250" t="s">
        <v>962</v>
      </c>
      <c r="B22" s="3248" t="s">
        <v>963</v>
      </c>
      <c r="C22" s="3247"/>
    </row>
    <row r="23" spans="1:3" ht="13.5">
      <c r="A23" s="3250"/>
      <c r="B23" s="3248" t="s">
        <v>964</v>
      </c>
      <c r="C23" s="3247"/>
    </row>
    <row r="24" spans="1:3" ht="13.5">
      <c r="A24" s="3250"/>
      <c r="B24" s="3248" t="s">
        <v>965</v>
      </c>
      <c r="C24" s="3247"/>
    </row>
    <row r="25" spans="1:3" ht="13.5">
      <c r="A25" s="3250"/>
      <c r="B25" s="3249" t="s">
        <v>966</v>
      </c>
      <c r="C25" s="1429" t="s">
        <v>967</v>
      </c>
    </row>
    <row r="26" spans="1:3" ht="13.5">
      <c r="A26" s="3250"/>
      <c r="B26" s="3249"/>
      <c r="C26" s="1429" t="s">
        <v>968</v>
      </c>
    </row>
    <row r="27" spans="1:3" ht="13.5">
      <c r="A27" s="3250"/>
      <c r="B27" s="3249"/>
      <c r="C27" s="1429" t="s">
        <v>969</v>
      </c>
    </row>
    <row r="28" spans="1:3" ht="13.5">
      <c r="A28" s="3250"/>
      <c r="B28" s="3249"/>
      <c r="C28" s="1429" t="s">
        <v>970</v>
      </c>
    </row>
    <row r="29" spans="1:3" ht="13.5">
      <c r="A29" s="3250"/>
      <c r="B29" s="3249"/>
      <c r="C29" s="1429" t="s">
        <v>971</v>
      </c>
    </row>
    <row r="30" spans="1:3" ht="13.5">
      <c r="A30" s="3250"/>
      <c r="B30" s="3249"/>
      <c r="C30" s="1429" t="s">
        <v>972</v>
      </c>
    </row>
    <row r="31" spans="1:3" ht="13.5">
      <c r="A31" s="3250"/>
      <c r="B31" s="3249"/>
      <c r="C31" s="1429" t="s">
        <v>973</v>
      </c>
    </row>
    <row r="32" spans="1:3" ht="13.5">
      <c r="A32" s="3250"/>
      <c r="B32" s="3249"/>
      <c r="C32" s="1429" t="s">
        <v>974</v>
      </c>
    </row>
    <row r="33" spans="1:3" ht="13.5">
      <c r="A33" s="3250"/>
      <c r="B33" s="3249"/>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46121</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54" t="s">
        <v>2160</v>
      </c>
      <c r="B17" s="3254"/>
      <c r="C17" s="3254"/>
      <c r="D17" s="3254"/>
      <c r="E17" s="3254"/>
      <c r="F17" s="3254"/>
      <c r="G17" s="3254"/>
      <c r="H17" s="3254"/>
    </row>
    <row r="18" spans="1:8" ht="24" customHeight="1">
      <c r="A18" s="3255" t="s">
        <v>2161</v>
      </c>
      <c r="B18" s="3255"/>
      <c r="C18" s="3255"/>
      <c r="D18" s="2160"/>
      <c r="E18" s="3256" t="s">
        <v>2162</v>
      </c>
      <c r="F18" s="3255"/>
      <c r="G18" s="3255"/>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206" priority="32" stopIfTrue="1" operator="equal">
      <formula>"已过期"</formula>
    </cfRule>
  </conditionalFormatting>
  <conditionalFormatting sqref="B4:B15">
    <cfRule type="cellIs" dxfId="205" priority="4" stopIfTrue="1" operator="equal">
      <formula>"已过期"</formula>
    </cfRule>
  </conditionalFormatting>
  <conditionalFormatting sqref="C7:C12">
    <cfRule type="expression" dxfId="204" priority="22">
      <formula>AND($C7-TODAY()&lt;30,TODAY()&lt;$C7)</formula>
    </cfRule>
    <cfRule type="cellIs" dxfId="203" priority="23" stopIfTrue="1" operator="lessThan">
      <formula>$B$2</formula>
    </cfRule>
  </conditionalFormatting>
  <conditionalFormatting sqref="C14:C15">
    <cfRule type="expression" dxfId="202" priority="7">
      <formula>AND($C14-TODAY()&lt;30,TODAY()&lt;$C14)</formula>
    </cfRule>
    <cfRule type="cellIs" dxfId="201" priority="8" stopIfTrue="1" operator="lessThan">
      <formula>$B$2</formula>
    </cfRule>
  </conditionalFormatting>
  <conditionalFormatting sqref="C4:D6 D14">
    <cfRule type="cellIs" dxfId="200" priority="50" stopIfTrue="1" operator="lessThan">
      <formula>$B$2</formula>
    </cfRule>
  </conditionalFormatting>
  <conditionalFormatting sqref="C12:D13">
    <cfRule type="expression" dxfId="199" priority="47">
      <formula>AND($C12-TODAY()&lt;30,TODAY()&lt;$C12)</formula>
    </cfRule>
  </conditionalFormatting>
  <conditionalFormatting sqref="C13:D14">
    <cfRule type="expression" dxfId="198" priority="18">
      <formula>AND($C13-TODAY()&lt;30,TODAY()&lt;$C13)</formula>
    </cfRule>
    <cfRule type="cellIs" dxfId="197" priority="19" stopIfTrue="1" operator="lessThan">
      <formula>$B$2</formula>
    </cfRule>
  </conditionalFormatting>
  <conditionalFormatting sqref="C15:D15">
    <cfRule type="expression" dxfId="196" priority="5">
      <formula>AND($C15-TODAY()&lt;30,TODAY()&lt;$C15)</formula>
    </cfRule>
    <cfRule type="cellIs" dxfId="195" priority="6" stopIfTrue="1" operator="lessThan">
      <formula>$B$2</formula>
    </cfRule>
  </conditionalFormatting>
  <conditionalFormatting sqref="C20:D20 C13:D13">
    <cfRule type="cellIs" dxfId="194" priority="54" stopIfTrue="1" operator="lessThan">
      <formula>$B$2</formula>
    </cfRule>
  </conditionalFormatting>
  <conditionalFormatting sqref="C20:D20">
    <cfRule type="expression" dxfId="193" priority="52">
      <formula>AND($C20-TODAY()&lt;30,TODAY()&lt;$C20)</formula>
    </cfRule>
  </conditionalFormatting>
  <conditionalFormatting sqref="D7:D12 D16">
    <cfRule type="expression" dxfId="192" priority="53">
      <formula>AND($C7-TODAY()&lt;30,TODAY()&lt;$C7)</formula>
    </cfRule>
  </conditionalFormatting>
  <conditionalFormatting sqref="D7:D12">
    <cfRule type="cellIs" dxfId="191" priority="48" stopIfTrue="1" operator="lessThan">
      <formula>$B$2</formula>
    </cfRule>
  </conditionalFormatting>
  <conditionalFormatting sqref="D14 C4:D6">
    <cfRule type="expression" dxfId="190" priority="49">
      <formula>AND($C4-TODAY()&lt;30,TODAY()&lt;$C4)</formula>
    </cfRule>
  </conditionalFormatting>
  <conditionalFormatting sqref="D15:D16">
    <cfRule type="expression" dxfId="189" priority="12">
      <formula>AND($C15-TODAY()&lt;30,TODAY()&lt;$C15)</formula>
    </cfRule>
    <cfRule type="cellIs" dxfId="188" priority="13" stopIfTrue="1" operator="lessThan">
      <formula>$B$2</formula>
    </cfRule>
  </conditionalFormatting>
  <conditionalFormatting sqref="E16:G16">
    <cfRule type="cellIs" dxfId="187" priority="31" stopIfTrue="1" operator="equal">
      <formula>"已过期"</formula>
    </cfRule>
  </conditionalFormatting>
  <conditionalFormatting sqref="F4:F15">
    <cfRule type="cellIs" dxfId="186" priority="9" stopIfTrue="1" operator="equal">
      <formula>"已过期"</formula>
    </cfRule>
  </conditionalFormatting>
  <conditionalFormatting sqref="G4:G15">
    <cfRule type="cellIs" dxfId="185" priority="3" stopIfTrue="1" operator="lessThan">
      <formula>$B$2</formula>
    </cfRule>
  </conditionalFormatting>
  <conditionalFormatting sqref="G20:G21">
    <cfRule type="expression" dxfId="184" priority="1" stopIfTrue="1">
      <formula>AND(#REF!-TODAY()&lt;30,TODAY()&lt;#REF!)</formula>
    </cfRule>
    <cfRule type="cellIs" dxfId="183"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199</vt:i4>
      </vt:variant>
    </vt:vector>
  </HeadingPairs>
  <TitlesOfParts>
    <vt:vector size="2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测算结果</vt:lpstr>
      <vt:lpstr>比较法-诺德彩园2020.12.27</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比较法-诺德彩园2026.4.10</vt:lpstr>
      <vt:lpstr>诺德彩园案例</vt:lpstr>
      <vt:lpstr>比较法-西山印2023.11.29</vt:lpstr>
      <vt:lpstr>比较法-西山印2026.4.10</vt:lpstr>
      <vt:lpstr>西山印案例</vt:lpstr>
      <vt:lpstr>存贷款利率</vt:lpstr>
      <vt:lpstr>统计局数据</vt:lpstr>
      <vt:lpstr>'比较法-办公'!Print_Area</vt:lpstr>
      <vt:lpstr>'比较法-仓储'!Print_Area</vt:lpstr>
      <vt:lpstr>'比较法-车位'!Print_Area</vt:lpstr>
      <vt:lpstr>'比较法-工业'!Print_Area</vt:lpstr>
      <vt:lpstr>'比较法-诺德彩园2020.12.27'!Print_Area</vt:lpstr>
      <vt:lpstr>'比较法-诺德彩园2026.4.10'!Print_Area</vt:lpstr>
      <vt:lpstr>'比较法-商业'!Print_Area</vt:lpstr>
      <vt:lpstr>'比较法-西山印2023.11.29'!Print_Area</vt:lpstr>
      <vt:lpstr>'比较法-西山印2026.4.10'!Print_Area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'比较法-诺德彩园2026.4.10'!住宅朝向</vt:lpstr>
      <vt:lpstr>'比较法-西山印2023.11.29'!住宅朝向</vt:lpstr>
      <vt:lpstr>'比较法-西山印2026.4.10'!住宅朝向</vt:lpstr>
      <vt:lpstr>住宅朝向</vt:lpstr>
      <vt:lpstr>'比较法-诺德彩园2026.4.10'!住宅房型</vt:lpstr>
      <vt:lpstr>'比较法-西山印2023.11.29'!住宅房型</vt:lpstr>
      <vt:lpstr>'比较法-西山印2026.4.10'!住宅房型</vt:lpstr>
      <vt:lpstr>住宅房型</vt:lpstr>
      <vt:lpstr>'比较法-诺德彩园2026.4.10'!住宅公共部分装修</vt:lpstr>
      <vt:lpstr>'比较法-西山印2023.11.29'!住宅公共部分装修</vt:lpstr>
      <vt:lpstr>'比较法-西山印2026.4.10'!住宅公共部分装修</vt:lpstr>
      <vt:lpstr>住宅公共部分装修</vt:lpstr>
      <vt:lpstr>'比较法-诺德彩园2026.4.10'!住宅基础设施水平</vt:lpstr>
      <vt:lpstr>'比较法-西山印2023.11.29'!住宅基础设施水平</vt:lpstr>
      <vt:lpstr>'比较法-西山印2026.4.10'!住宅基础设施水平</vt:lpstr>
      <vt:lpstr>住宅基础设施水平</vt:lpstr>
      <vt:lpstr>'比较法-诺德彩园2026.4.10'!住宅建筑结构</vt:lpstr>
      <vt:lpstr>'比较法-西山印2023.11.29'!住宅建筑结构</vt:lpstr>
      <vt:lpstr>'比较法-西山印2026.4.10'!住宅建筑结构</vt:lpstr>
      <vt:lpstr>住宅建筑结构</vt:lpstr>
      <vt:lpstr>'比较法-诺德彩园2026.4.10'!住宅建筑类型</vt:lpstr>
      <vt:lpstr>'比较法-西山印2023.11.29'!住宅建筑类型</vt:lpstr>
      <vt:lpstr>'比较法-西山印2026.4.10'!住宅建筑类型</vt:lpstr>
      <vt:lpstr>住宅建筑类型</vt:lpstr>
      <vt:lpstr>'比较法-诺德彩园2026.4.10'!住宅建筑品质</vt:lpstr>
      <vt:lpstr>'比较法-西山印2023.11.29'!住宅建筑品质</vt:lpstr>
      <vt:lpstr>'比较法-西山印2026.4.10'!住宅建筑品质</vt:lpstr>
      <vt:lpstr>住宅建筑品质</vt:lpstr>
      <vt:lpstr>'比较法-诺德彩园2026.4.10'!住宅交易情况</vt:lpstr>
      <vt:lpstr>'比较法-西山印2023.11.29'!住宅交易情况</vt:lpstr>
      <vt:lpstr>'比较法-西山印2026.4.10'!住宅交易情况</vt:lpstr>
      <vt:lpstr>住宅交易情况</vt:lpstr>
      <vt:lpstr>'比较法-诺德彩园2026.4.10'!住宅楼层</vt:lpstr>
      <vt:lpstr>'比较法-西山印2023.11.29'!住宅楼层</vt:lpstr>
      <vt:lpstr>'比较法-西山印2026.4.10'!住宅楼层</vt:lpstr>
      <vt:lpstr>住宅楼层</vt:lpstr>
      <vt:lpstr>'比较法-诺德彩园2026.4.10'!住宅内部装修</vt:lpstr>
      <vt:lpstr>'比较法-西山印2023.11.29'!住宅内部装修</vt:lpstr>
      <vt:lpstr>'比较法-西山印2026.4.10'!住宅内部装修</vt:lpstr>
      <vt:lpstr>住宅内部装修</vt:lpstr>
      <vt:lpstr>'比较法-诺德彩园2026.4.10'!住宅物业管理</vt:lpstr>
      <vt:lpstr>'比较法-西山印2023.11.29'!住宅物业管理</vt:lpstr>
      <vt:lpstr>'比较法-西山印2026.4.10'!住宅物业管理</vt:lpstr>
      <vt:lpstr>住宅物业管理</vt:lpstr>
      <vt:lpstr>'比较法-诺德彩园2026.4.10'!住宅用途</vt:lpstr>
      <vt:lpstr>'比较法-西山印2023.11.29'!住宅用途</vt:lpstr>
      <vt:lpstr>'比较法-西山印2026.4.10'!住宅用途</vt:lpstr>
      <vt:lpstr>住宅用途</vt:lpstr>
      <vt:lpstr>'比较法-诺德彩园2026.4.10'!住宅主力户型面积</vt:lpstr>
      <vt:lpstr>'比较法-西山印2023.11.29'!住宅主力户型面积</vt:lpstr>
      <vt:lpstr>'比较法-西山印2026.4.10'!住宅主力户型面积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2026-04-09T06:55:48Z</dcterms:modified>
</cp:coreProperties>
</file>