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394-F04-66-1-102\"/>
    </mc:Choice>
  </mc:AlternateContent>
  <xr:revisionPtr revIDLastSave="0" documentId="13_ncr:1_{2F966B34-C2AA-46B8-B8F8-873716A310FD}" xr6:coauthVersionLast="47" xr6:coauthVersionMax="47" xr10:uidLastSave="{00000000-0000-0000-0000-000000000000}"/>
  <bookViews>
    <workbookView xWindow="-108" yWindow="-108" windowWidth="20376" windowHeight="12216"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中指成交案例+三套价值汇总" sheetId="80" r:id="rId42"/>
    <sheet name="租赁合同" sheetId="81" r:id="rId43"/>
    <sheet name="信息" sheetId="82" r:id="rId44"/>
    <sheet name="地价-分区" sheetId="79" r:id="rId45"/>
    <sheet name="地价" sheetId="71" r:id="rId46"/>
    <sheet name="区片价" sheetId="44"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21" i="80" l="1"/>
  <c r="P21" i="80"/>
  <c r="B14" i="74" l="1"/>
  <c r="I7" i="33"/>
  <c r="G7" i="33"/>
  <c r="E7" i="33"/>
  <c r="I47" i="33"/>
  <c r="G47" i="33"/>
  <c r="E47" i="33"/>
  <c r="C36" i="33"/>
  <c r="I33" i="33"/>
  <c r="G33" i="33"/>
  <c r="E33" i="33"/>
  <c r="C33" i="33"/>
  <c r="E127" i="33" l="1"/>
  <c r="D127" i="33" s="1"/>
  <c r="C127" i="33" s="1"/>
  <c r="D104" i="33"/>
  <c r="E104" i="33" s="1"/>
  <c r="F104" i="33" s="1"/>
  <c r="G104" i="33" s="1"/>
  <c r="H104" i="33" s="1"/>
  <c r="I104" i="33" s="1"/>
  <c r="D89" i="33"/>
  <c r="E89" i="33" s="1"/>
  <c r="F89" i="33" s="1"/>
  <c r="G89" i="33" s="1"/>
  <c r="E66" i="33"/>
  <c r="D66" i="33" s="1"/>
  <c r="C66" i="33" s="1"/>
  <c r="P20" i="82"/>
  <c r="O19" i="82"/>
  <c r="B9" i="82"/>
  <c r="C9" i="82" s="1"/>
  <c r="D13" i="82" s="1"/>
  <c r="D15" i="82" s="1"/>
  <c r="D9" i="82"/>
  <c r="E9" i="82"/>
  <c r="I13" i="82" s="1"/>
  <c r="I15" i="82" s="1"/>
  <c r="G9" i="82"/>
  <c r="H9" i="82" s="1"/>
  <c r="J9" i="82"/>
  <c r="K9" i="82"/>
  <c r="C10" i="82"/>
  <c r="E10" i="82"/>
  <c r="I14" i="82" s="1"/>
  <c r="O13" i="82"/>
  <c r="P13" i="82"/>
  <c r="B14" i="82"/>
  <c r="D14" i="82"/>
  <c r="G14" i="82"/>
  <c r="G15" i="82" s="1"/>
  <c r="M14" i="82"/>
  <c r="B15" i="82"/>
  <c r="C15" i="82"/>
  <c r="H15" i="82"/>
  <c r="N15" i="82"/>
  <c r="J18" i="82"/>
  <c r="K19" i="82"/>
  <c r="E164" i="81"/>
  <c r="E165" i="81" s="1"/>
  <c r="F163" i="81"/>
  <c r="F161" i="81"/>
  <c r="M156" i="81"/>
  <c r="E150" i="81"/>
  <c r="I149" i="81"/>
  <c r="I148" i="81"/>
  <c r="I147" i="81"/>
  <c r="I146" i="81"/>
  <c r="F146" i="81"/>
  <c r="I145" i="81"/>
  <c r="I144" i="81"/>
  <c r="I143" i="81"/>
  <c r="I142" i="81"/>
  <c r="I141" i="81"/>
  <c r="I140" i="81"/>
  <c r="I139" i="81"/>
  <c r="I138" i="81"/>
  <c r="F138" i="81"/>
  <c r="I137" i="81"/>
  <c r="I136" i="81"/>
  <c r="I135" i="81"/>
  <c r="I134" i="81"/>
  <c r="I133" i="81"/>
  <c r="I132" i="81"/>
  <c r="I131" i="81"/>
  <c r="I150" i="81" s="1"/>
  <c r="E151" i="81" s="1"/>
  <c r="M128" i="81"/>
  <c r="E123" i="81"/>
  <c r="E124" i="81" s="1"/>
  <c r="I122" i="81"/>
  <c r="I121" i="81"/>
  <c r="I120" i="81"/>
  <c r="I119" i="81"/>
  <c r="I118" i="81"/>
  <c r="I117" i="81"/>
  <c r="I116" i="81"/>
  <c r="I115" i="81"/>
  <c r="F115" i="81"/>
  <c r="I114" i="81"/>
  <c r="I113" i="81"/>
  <c r="I112" i="81"/>
  <c r="I111" i="81"/>
  <c r="I110" i="81"/>
  <c r="I109" i="81"/>
  <c r="I108" i="81"/>
  <c r="I107" i="81"/>
  <c r="I106" i="81"/>
  <c r="I105" i="81"/>
  <c r="I104" i="81"/>
  <c r="I103" i="81"/>
  <c r="I123" i="81" s="1"/>
  <c r="M100" i="81"/>
  <c r="E94" i="81"/>
  <c r="I93" i="81"/>
  <c r="I92" i="81"/>
  <c r="I91" i="81"/>
  <c r="I90" i="81"/>
  <c r="F90" i="81"/>
  <c r="I89" i="81"/>
  <c r="I88" i="81"/>
  <c r="I87" i="81"/>
  <c r="I86" i="81"/>
  <c r="I85" i="81"/>
  <c r="I84" i="81"/>
  <c r="I83" i="81"/>
  <c r="I82" i="81"/>
  <c r="F82" i="81"/>
  <c r="I81" i="81"/>
  <c r="I80" i="81"/>
  <c r="I79" i="81"/>
  <c r="I78" i="81"/>
  <c r="I77" i="81"/>
  <c r="I76" i="81"/>
  <c r="I75" i="81"/>
  <c r="I74" i="81"/>
  <c r="I94" i="81" s="1"/>
  <c r="E95" i="81" s="1"/>
  <c r="M71" i="81"/>
  <c r="D66" i="81"/>
  <c r="I65" i="81"/>
  <c r="E65" i="81"/>
  <c r="F65" i="81" s="1"/>
  <c r="I64" i="81"/>
  <c r="E64" i="81"/>
  <c r="F64" i="81" s="1"/>
  <c r="I63" i="81"/>
  <c r="F63" i="81"/>
  <c r="E63" i="81"/>
  <c r="I62" i="81"/>
  <c r="G62" i="81"/>
  <c r="F62" i="81"/>
  <c r="E62" i="81"/>
  <c r="I61" i="81"/>
  <c r="F61" i="81"/>
  <c r="E61" i="81"/>
  <c r="I60" i="81"/>
  <c r="E60" i="81"/>
  <c r="F60" i="81" s="1"/>
  <c r="I59" i="81"/>
  <c r="E59" i="81"/>
  <c r="F59" i="81" s="1"/>
  <c r="I58" i="81"/>
  <c r="F58" i="81"/>
  <c r="E58" i="81"/>
  <c r="I57" i="81"/>
  <c r="F57" i="81"/>
  <c r="E57" i="81"/>
  <c r="I56" i="81"/>
  <c r="E56" i="81"/>
  <c r="F56" i="81" s="1"/>
  <c r="I55" i="81"/>
  <c r="E55" i="81"/>
  <c r="F55" i="81" s="1"/>
  <c r="I54" i="81"/>
  <c r="G54" i="81"/>
  <c r="E54" i="81"/>
  <c r="F54" i="81" s="1"/>
  <c r="I53" i="81"/>
  <c r="F53" i="81"/>
  <c r="E53" i="81"/>
  <c r="I52" i="81"/>
  <c r="F52" i="81"/>
  <c r="E52" i="81"/>
  <c r="I51" i="81"/>
  <c r="E51" i="81"/>
  <c r="F51" i="81" s="1"/>
  <c r="I50" i="81"/>
  <c r="E50" i="81"/>
  <c r="F50" i="81" s="1"/>
  <c r="I49" i="81"/>
  <c r="I66" i="81" s="1"/>
  <c r="F49" i="81"/>
  <c r="E49" i="81"/>
  <c r="I48" i="81"/>
  <c r="F48" i="81"/>
  <c r="E48" i="81"/>
  <c r="I47" i="81"/>
  <c r="E47" i="81"/>
  <c r="F47" i="81" s="1"/>
  <c r="I46" i="81"/>
  <c r="E46" i="81"/>
  <c r="F46" i="81" s="1"/>
  <c r="M43" i="81"/>
  <c r="E39" i="81"/>
  <c r="E40" i="81" s="1"/>
  <c r="H38" i="81"/>
  <c r="H37" i="81"/>
  <c r="H36" i="81"/>
  <c r="H35" i="81"/>
  <c r="H34" i="81"/>
  <c r="H33" i="81"/>
  <c r="H32" i="81"/>
  <c r="H31" i="81"/>
  <c r="F31" i="81"/>
  <c r="H30" i="81"/>
  <c r="H29" i="81"/>
  <c r="H28" i="81"/>
  <c r="H27" i="81"/>
  <c r="H26" i="81"/>
  <c r="H25" i="81"/>
  <c r="H24" i="81"/>
  <c r="H23" i="81"/>
  <c r="F23" i="81"/>
  <c r="H22" i="81"/>
  <c r="H21" i="81"/>
  <c r="H20" i="81"/>
  <c r="H19" i="81"/>
  <c r="H18" i="81"/>
  <c r="H17" i="81"/>
  <c r="H16" i="81"/>
  <c r="H39" i="81" s="1"/>
  <c r="M13" i="81"/>
  <c r="F8" i="81"/>
  <c r="H7" i="81"/>
  <c r="G7" i="81"/>
  <c r="F7" i="81"/>
  <c r="B7" i="81"/>
  <c r="A7" i="81"/>
  <c r="H6" i="81"/>
  <c r="G6" i="81"/>
  <c r="F6" i="81"/>
  <c r="B6" i="81"/>
  <c r="A6" i="81"/>
  <c r="H5" i="81"/>
  <c r="G5" i="81"/>
  <c r="F5" i="81"/>
  <c r="B5" i="81"/>
  <c r="A5" i="81"/>
  <c r="H4" i="81"/>
  <c r="G4" i="81"/>
  <c r="F4" i="81"/>
  <c r="B4" i="81"/>
  <c r="A4" i="81"/>
  <c r="H3" i="81"/>
  <c r="G3" i="81"/>
  <c r="F3" i="81"/>
  <c r="B3" i="81"/>
  <c r="A3" i="81"/>
  <c r="G2" i="81"/>
  <c r="J49" i="67"/>
  <c r="S24" i="80"/>
  <c r="S23" i="80"/>
  <c r="S21" i="80"/>
  <c r="S22" i="80"/>
  <c r="R24" i="80"/>
  <c r="Q24" i="80"/>
  <c r="O30" i="80"/>
  <c r="N30" i="80"/>
  <c r="P30" i="80" s="1"/>
  <c r="P29" i="80"/>
  <c r="N28" i="80"/>
  <c r="P28" i="80" s="1"/>
  <c r="P27" i="80"/>
  <c r="R23" i="80"/>
  <c r="Q23" i="80"/>
  <c r="P23" i="80"/>
  <c r="O23" i="80"/>
  <c r="R22" i="80"/>
  <c r="Q22" i="80"/>
  <c r="P22" i="80"/>
  <c r="O22" i="80"/>
  <c r="R21" i="80"/>
  <c r="T21" i="80" s="1"/>
  <c r="Q21" i="80"/>
  <c r="Y6" i="1"/>
  <c r="N6" i="1"/>
  <c r="N19" i="1"/>
  <c r="N21" i="1" s="1"/>
  <c r="B58" i="1"/>
  <c r="B21" i="1"/>
  <c r="T23" i="80" l="1"/>
  <c r="T22" i="80"/>
  <c r="P31" i="80"/>
  <c r="N22" i="82" s="1"/>
  <c r="L9" i="82"/>
  <c r="G10" i="82"/>
  <c r="J124" i="81"/>
  <c r="E6" i="81" s="1"/>
  <c r="D6" i="81"/>
  <c r="D67" i="81"/>
  <c r="J40" i="81"/>
  <c r="E3" i="81" s="1"/>
  <c r="D3" i="81"/>
  <c r="D7" i="81"/>
  <c r="J151" i="81"/>
  <c r="E7" i="81" s="1"/>
  <c r="D5" i="81"/>
  <c r="J95" i="81"/>
  <c r="E5" i="81" s="1"/>
  <c r="I165" i="81"/>
  <c r="E8" i="81" s="1"/>
  <c r="D8" i="81"/>
  <c r="Q31" i="80" l="1"/>
  <c r="O22" i="82" s="1"/>
  <c r="P32" i="80"/>
  <c r="Q32" i="80"/>
  <c r="O23" i="82" s="1"/>
  <c r="O24" i="82" s="1"/>
  <c r="N23" i="82"/>
  <c r="H10" i="82"/>
  <c r="J19" i="82"/>
  <c r="M15" i="82"/>
  <c r="J67" i="81"/>
  <c r="E4" i="81" s="1"/>
  <c r="D4" i="81"/>
  <c r="O20" i="82" l="1"/>
  <c r="U6" i="1" s="1"/>
  <c r="C19" i="6"/>
  <c r="F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20" i="79"/>
  <c r="AG20" i="79" s="1"/>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50" i="79"/>
  <c r="AI50" i="79" s="1"/>
  <c r="AD51" i="79"/>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14" i="79"/>
  <c r="AK14" i="79" s="1"/>
  <c r="AH14" i="79"/>
  <c r="W51" i="79"/>
  <c r="AK51" i="79" s="1"/>
  <c r="AH51" i="79"/>
  <c r="W35" i="79"/>
  <c r="AK35" i="79" s="1"/>
  <c r="AH35" i="79"/>
  <c r="W23" i="79"/>
  <c r="AK23" i="79" s="1"/>
  <c r="AH23" i="79"/>
  <c r="W12" i="79"/>
  <c r="AK12" i="79" s="1"/>
  <c r="AH12" i="79"/>
  <c r="W21" i="79"/>
  <c r="AK21" i="79" s="1"/>
  <c r="AH21" i="79"/>
  <c r="W47" i="79"/>
  <c r="AK47" i="79" s="1"/>
  <c r="AH47" i="79"/>
  <c r="W45" i="79"/>
  <c r="AK45" i="79" s="1"/>
  <c r="AH45" i="79"/>
  <c r="W19" i="79"/>
  <c r="AK19" i="79" s="1"/>
  <c r="AH19" i="79"/>
  <c r="W16" i="79"/>
  <c r="AK16" i="79" s="1"/>
  <c r="AH16" i="79"/>
  <c r="W50" i="79"/>
  <c r="AK50" i="79" s="1"/>
  <c r="AH50" i="79"/>
  <c r="W41" i="79"/>
  <c r="AK41" i="79" s="1"/>
  <c r="AH41" i="79"/>
  <c r="W44" i="79"/>
  <c r="AK44" i="79" s="1"/>
  <c r="AH44" i="79"/>
  <c r="W46" i="79"/>
  <c r="AK46" i="79" s="1"/>
  <c r="AH46"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AB38" i="71" s="1"/>
  <c r="P38" i="71"/>
  <c r="O38" i="71"/>
  <c r="N38" i="71"/>
  <c r="X38" i="71" s="1"/>
  <c r="F38" i="71"/>
  <c r="F39" i="71" s="1"/>
  <c r="F40" i="71" s="1"/>
  <c r="V40" i="71" s="1"/>
  <c r="Q37" i="71"/>
  <c r="P37" i="71"/>
  <c r="O37" i="71"/>
  <c r="N37" i="71"/>
  <c r="B38" i="71" s="1"/>
  <c r="D37" i="71"/>
  <c r="Q36" i="71"/>
  <c r="P36" i="71"/>
  <c r="O36" i="71"/>
  <c r="N36" i="71"/>
  <c r="Q35" i="71"/>
  <c r="AB35" i="71"/>
  <c r="P35" i="71"/>
  <c r="AA35" i="71" s="1"/>
  <c r="O35" i="71"/>
  <c r="Y35" i="71" s="1"/>
  <c r="Z35" i="71" s="1"/>
  <c r="N35" i="71"/>
  <c r="Q34" i="71"/>
  <c r="P34" i="71"/>
  <c r="AA34" i="71" s="1"/>
  <c r="O34" i="71"/>
  <c r="N34" i="71"/>
  <c r="Q33" i="71"/>
  <c r="F34" i="71" s="1"/>
  <c r="F35" i="71" s="1"/>
  <c r="F36" i="71" s="1"/>
  <c r="V36" i="71" s="1"/>
  <c r="P33" i="71"/>
  <c r="E34" i="71" s="1"/>
  <c r="E35" i="71" s="1"/>
  <c r="E36" i="71" s="1"/>
  <c r="U36" i="71" s="1"/>
  <c r="O33" i="71"/>
  <c r="N33" i="71"/>
  <c r="D33" i="71"/>
  <c r="Q32" i="71"/>
  <c r="AB28" i="71" s="1"/>
  <c r="P32" i="71"/>
  <c r="O32" i="71"/>
  <c r="N32" i="71"/>
  <c r="X32" i="71" s="1"/>
  <c r="Q31" i="71"/>
  <c r="P31" i="71"/>
  <c r="O31" i="71"/>
  <c r="N31" i="71"/>
  <c r="Q30" i="71"/>
  <c r="P30" i="71"/>
  <c r="O30" i="71"/>
  <c r="Y30" i="71" s="1"/>
  <c r="Z30" i="71" s="1"/>
  <c r="N30" i="71"/>
  <c r="Q29" i="71"/>
  <c r="F30" i="71" s="1"/>
  <c r="P29" i="71"/>
  <c r="O29" i="71"/>
  <c r="Y29" i="71" s="1"/>
  <c r="Z29" i="71" s="1"/>
  <c r="N29" i="71"/>
  <c r="D29" i="71"/>
  <c r="O28" i="71"/>
  <c r="Y26" i="71" s="1"/>
  <c r="Z26"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AA37" i="71"/>
  <c r="N68" i="71"/>
  <c r="C30" i="71"/>
  <c r="C31" i="71" s="1"/>
  <c r="X31" i="71"/>
  <c r="C34" i="71"/>
  <c r="D34" i="71" s="1"/>
  <c r="X34" i="71"/>
  <c r="X35" i="71"/>
  <c r="C38" i="71"/>
  <c r="D38" i="71" s="1"/>
  <c r="Y37" i="71"/>
  <c r="Z37" i="71" s="1"/>
  <c r="C28" i="71"/>
  <c r="T28" i="71" s="1"/>
  <c r="Y27" i="71"/>
  <c r="Z27" i="71" s="1"/>
  <c r="Y28" i="71"/>
  <c r="Z28" i="71" s="1"/>
  <c r="X25" i="71"/>
  <c r="D30" i="71"/>
  <c r="C39" i="71"/>
  <c r="C40" i="71" s="1"/>
  <c r="P28" i="71"/>
  <c r="E28" i="71" s="1"/>
  <c r="E63" i="71"/>
  <c r="E64" i="71" s="1"/>
  <c r="U64" i="71" s="1"/>
  <c r="U68" i="71"/>
  <c r="E67" i="71"/>
  <c r="E66" i="71" s="1"/>
  <c r="Q28" i="71"/>
  <c r="C59" i="71"/>
  <c r="D59" i="71" s="1"/>
  <c r="D62" i="71"/>
  <c r="T68" i="71"/>
  <c r="O68" i="71"/>
  <c r="D68" i="71"/>
  <c r="C67" i="71"/>
  <c r="D67" i="71" s="1"/>
  <c r="Q68" i="71"/>
  <c r="C71" i="71"/>
  <c r="C70" i="71" s="1"/>
  <c r="D70" i="71" s="1"/>
  <c r="E71" i="71"/>
  <c r="E70" i="71" s="1"/>
  <c r="D72" i="71"/>
  <c r="C75" i="71"/>
  <c r="D75" i="71" s="1"/>
  <c r="D76" i="71"/>
  <c r="C79" i="71"/>
  <c r="E79" i="71"/>
  <c r="E78" i="71" s="1"/>
  <c r="D80" i="71"/>
  <c r="C83" i="71"/>
  <c r="D83" i="71" s="1"/>
  <c r="C27" i="71"/>
  <c r="C26" i="71" s="1"/>
  <c r="D26" i="71" s="1"/>
  <c r="F28" i="71"/>
  <c r="F27" i="71" s="1"/>
  <c r="F26" i="71" s="1"/>
  <c r="AB26" i="71"/>
  <c r="AA3" i="71"/>
  <c r="AA27" i="71"/>
  <c r="C66" i="71"/>
  <c r="O65" i="71" s="1"/>
  <c r="O67" i="71"/>
  <c r="C82" i="71"/>
  <c r="D82" i="71" s="1"/>
  <c r="C74" i="71"/>
  <c r="D74" i="71" s="1"/>
  <c r="D79" i="71"/>
  <c r="C78" i="71"/>
  <c r="D78" i="71" s="1"/>
  <c r="C60" i="71"/>
  <c r="D60" i="71" s="1"/>
  <c r="P67" i="71"/>
  <c r="D39" i="7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S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S40" i="33"/>
  <c r="W39" i="33"/>
  <c r="H39" i="37"/>
  <c r="AB39" i="37" s="1"/>
  <c r="S27" i="35"/>
  <c r="F11" i="40"/>
  <c r="AA11" i="40"/>
  <c r="H11" i="40"/>
  <c r="AB11" i="40"/>
  <c r="W8" i="40"/>
  <c r="AB39" i="40"/>
  <c r="AA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C12" i="34"/>
  <c r="W32" i="40"/>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AA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F32" i="33"/>
  <c r="AA32" i="33" s="1"/>
  <c r="J19" i="33"/>
  <c r="AC19" i="33" s="1"/>
  <c r="J15" i="33"/>
  <c r="AC15" i="33" s="1"/>
  <c r="F11" i="33"/>
  <c r="AA11" i="33" s="1"/>
  <c r="U40" i="33"/>
  <c r="W40" i="33"/>
  <c r="F37" i="40"/>
  <c r="AA37" i="40" s="1"/>
  <c r="F36" i="40"/>
  <c r="AA36" i="40"/>
  <c r="H28" i="40"/>
  <c r="U28" i="40"/>
  <c r="F23" i="40"/>
  <c r="AA23" i="40"/>
  <c r="F17" i="40"/>
  <c r="AA17" i="40" s="1"/>
  <c r="J17" i="40"/>
  <c r="W17" i="40" s="1"/>
  <c r="F15" i="40"/>
  <c r="S15" i="40" s="1"/>
  <c r="H15" i="40"/>
  <c r="AB15" i="40"/>
  <c r="AC11" i="40"/>
  <c r="S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S14" i="33" s="1"/>
  <c r="J14" i="33"/>
  <c r="H30" i="33"/>
  <c r="AB30" i="33"/>
  <c r="F30" i="33"/>
  <c r="J30" i="33"/>
  <c r="H44" i="33"/>
  <c r="U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U46" i="33"/>
  <c r="AA14" i="33"/>
  <c r="J36" i="37"/>
  <c r="AC36" i="37"/>
  <c r="J10" i="36"/>
  <c r="AC10" i="36" s="1"/>
  <c r="AB30" i="21"/>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U26" i="37"/>
  <c r="AC36" i="34"/>
  <c r="AA13" i="33"/>
  <c r="AC31" i="33"/>
  <c r="AC45"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J11" i="39"/>
  <c r="W11" i="39"/>
  <c r="F11" i="39"/>
  <c r="G4" i="4"/>
  <c r="I4" i="4"/>
  <c r="F61" i="43"/>
  <c r="H64" i="43" s="1"/>
  <c r="AZ49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BL136" i="3"/>
  <c r="G137" i="3"/>
  <c r="BA139" i="3"/>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AZ171" i="3" s="1"/>
  <c r="BL172" i="3"/>
  <c r="G173" i="3"/>
  <c r="BA175" i="3"/>
  <c r="AZ175" i="3" s="1"/>
  <c r="BL176" i="3"/>
  <c r="G177" i="3"/>
  <c r="BA179" i="3"/>
  <c r="BL180" i="3"/>
  <c r="G181" i="3"/>
  <c r="BA183" i="3"/>
  <c r="BL184" i="3"/>
  <c r="G185" i="3"/>
  <c r="BA187" i="3"/>
  <c r="AZ187" i="3" s="1"/>
  <c r="BL188" i="3"/>
  <c r="G189" i="3"/>
  <c r="BA191" i="3"/>
  <c r="BL192" i="3"/>
  <c r="G193" i="3"/>
  <c r="BA195" i="3"/>
  <c r="BL196" i="3"/>
  <c r="G197" i="3"/>
  <c r="BA199" i="3"/>
  <c r="BL200" i="3"/>
  <c r="G201" i="3"/>
  <c r="BA203" i="3"/>
  <c r="AZ203" i="3" s="1"/>
  <c r="BL204" i="3"/>
  <c r="AZ204" i="3" s="1"/>
  <c r="AZ55" i="3"/>
  <c r="AZ144" i="3"/>
  <c r="AZ184"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BL311" i="3"/>
  <c r="AZ311" i="3" s="1"/>
  <c r="G312" i="3"/>
  <c r="BA314" i="3"/>
  <c r="BL315" i="3"/>
  <c r="G316" i="3"/>
  <c r="BA318" i="3"/>
  <c r="AZ318" i="3" s="1"/>
  <c r="BL319" i="3"/>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G393" i="3"/>
  <c r="AZ291"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0" i="3"/>
  <c r="BA15" i="3"/>
  <c r="AZ15" i="3" s="1"/>
  <c r="BR5"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F96" i="37"/>
  <c r="H27" i="40"/>
  <c r="U27" i="40"/>
  <c r="J27" i="40"/>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56"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254" i="3"/>
  <c r="AZ297" i="3"/>
  <c r="B12" i="1"/>
  <c r="E12" i="1" s="1"/>
  <c r="B10" i="1"/>
  <c r="E10" i="1" s="1"/>
  <c r="K12" i="1"/>
  <c r="M12" i="1" s="1"/>
  <c r="S13" i="1"/>
  <c r="AR13" i="1" s="1"/>
  <c r="R13" i="1"/>
  <c r="J51" i="67"/>
  <c r="B41" i="1"/>
  <c r="F48" i="9" s="1"/>
  <c r="O52" i="9" s="1"/>
  <c r="AB37" i="40"/>
  <c r="S35" i="40"/>
  <c r="U35" i="40"/>
  <c r="AC36" i="40"/>
  <c r="AA32" i="40"/>
  <c r="S17" i="40"/>
  <c r="S23" i="40"/>
  <c r="AC17" i="40"/>
  <c r="AC15" i="40"/>
  <c r="AB27"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AA35" i="33"/>
  <c r="AA29" i="33"/>
  <c r="AB29"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S37" i="33"/>
  <c r="F101" i="33"/>
  <c r="G101" i="33" s="1"/>
  <c r="H101" i="33" s="1"/>
  <c r="I101" i="33" s="1"/>
  <c r="J101" i="33" s="1"/>
  <c r="K101" i="33" s="1"/>
  <c r="L101" i="33" s="1"/>
  <c r="M101" i="33" s="1"/>
  <c r="J32" i="33"/>
  <c r="AC32" i="33" s="1"/>
  <c r="S46" i="33"/>
  <c r="H27" i="33"/>
  <c r="U27" i="33" s="1"/>
  <c r="F87" i="33"/>
  <c r="H25" i="33"/>
  <c r="U25" i="33" s="1"/>
  <c r="F25" i="33"/>
  <c r="S25" i="33" s="1"/>
  <c r="J23" i="33"/>
  <c r="AC23" i="33" s="1"/>
  <c r="F85" i="33"/>
  <c r="H23" i="33"/>
  <c r="U23" i="33" s="1"/>
  <c r="F81" i="33"/>
  <c r="G81" i="33" s="1"/>
  <c r="F19" i="33"/>
  <c r="S19" i="33" s="1"/>
  <c r="J17" i="33"/>
  <c r="W17" i="33" s="1"/>
  <c r="F79" i="33"/>
  <c r="G79" i="33" s="1"/>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AB44" i="33"/>
  <c r="S30" i="33"/>
  <c r="AA30" i="33"/>
  <c r="AC14" i="33"/>
  <c r="W14" i="33"/>
  <c r="AC30" i="33"/>
  <c r="W30" i="33"/>
  <c r="S31" i="33"/>
  <c r="AA31" i="33"/>
  <c r="W13" i="33"/>
  <c r="AC13"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H11" i="37"/>
  <c r="AB11" i="37" s="1"/>
  <c r="G70" i="34"/>
  <c r="H11" i="34"/>
  <c r="U11" i="34" s="1"/>
  <c r="J10" i="34"/>
  <c r="AC10" i="34" s="1"/>
  <c r="AB41" i="33"/>
  <c r="U41" i="33"/>
  <c r="W35" i="33"/>
  <c r="AC35" i="33"/>
  <c r="J36" i="33"/>
  <c r="W36" i="33" s="1"/>
  <c r="H36" i="33"/>
  <c r="U36" i="33" s="1"/>
  <c r="S36" i="33"/>
  <c r="J27" i="33"/>
  <c r="AC27" i="33" s="1"/>
  <c r="G87" i="33"/>
  <c r="H87" i="33" s="1"/>
  <c r="I87" i="33" s="1"/>
  <c r="J87" i="33" s="1"/>
  <c r="K87" i="33" s="1"/>
  <c r="L87" i="33" s="1"/>
  <c r="M87" i="33" s="1"/>
  <c r="J25" i="33"/>
  <c r="AC25" i="33" s="1"/>
  <c r="F23" i="33"/>
  <c r="G85" i="33"/>
  <c r="H19" i="33"/>
  <c r="U19" i="33" s="1"/>
  <c r="H17" i="33"/>
  <c r="U17" i="33" s="1"/>
  <c r="F17" i="33"/>
  <c r="S17" i="33" s="1"/>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U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15"/>
  <c r="B11" i="76"/>
  <c r="M23" i="15"/>
  <c r="F6" i="67"/>
  <c r="F20" i="31"/>
  <c r="M23" i="67"/>
  <c r="B7" i="76"/>
  <c r="F36" i="67"/>
  <c r="E11" i="76"/>
  <c r="E7" i="76"/>
  <c r="M28" i="67"/>
  <c r="F13" i="15"/>
  <c r="M6" i="15"/>
  <c r="M29" i="15"/>
  <c r="F9" i="67"/>
  <c r="AO13" i="1"/>
  <c r="F38" i="15"/>
  <c r="F38" i="67"/>
  <c r="F6" i="73"/>
  <c r="C76" i="67"/>
  <c r="L48" i="67"/>
  <c r="F40" i="15"/>
  <c r="D6" i="73"/>
  <c r="M24" i="15"/>
  <c r="F3" i="73"/>
  <c r="F5" i="73"/>
  <c r="F37" i="15"/>
  <c r="F42" i="67"/>
  <c r="L47" i="15"/>
  <c r="F37" i="67"/>
  <c r="M9" i="67"/>
  <c r="F9" i="15"/>
  <c r="F16" i="15"/>
  <c r="E12" i="76"/>
  <c r="M8" i="15"/>
  <c r="M6" i="67"/>
  <c r="B8" i="76"/>
  <c r="B9" i="76"/>
  <c r="L47" i="67"/>
  <c r="F26" i="67"/>
  <c r="B13" i="76"/>
  <c r="J15" i="67"/>
  <c r="C76" i="15"/>
  <c r="F43" i="67"/>
  <c r="B10" i="76"/>
  <c r="M24" i="67"/>
  <c r="M8" i="67"/>
  <c r="B12" i="76"/>
  <c r="F40" i="67"/>
  <c r="E2" i="68"/>
  <c r="M29" i="67"/>
  <c r="L48" i="15"/>
  <c r="F26" i="15"/>
  <c r="M26" i="15"/>
  <c r="F4" i="73"/>
  <c r="M9" i="15"/>
  <c r="E9" i="76"/>
  <c r="F7" i="67"/>
  <c r="E8" i="76"/>
  <c r="E10" i="76"/>
  <c r="F42" i="15"/>
  <c r="M22" i="67"/>
  <c r="E13" i="76"/>
  <c r="F6" i="15"/>
  <c r="F7" i="15"/>
  <c r="F36" i="15"/>
  <c r="F16" i="67"/>
  <c r="F13" i="67"/>
  <c r="E2" i="69"/>
  <c r="M26" i="67"/>
  <c r="F8" i="67"/>
  <c r="F7" i="73"/>
  <c r="M28" i="15"/>
  <c r="M22" i="15"/>
  <c r="S33" i="33" l="1"/>
  <c r="AC34" i="33"/>
  <c r="AB34" i="33"/>
  <c r="U33" i="33"/>
  <c r="W33" i="33"/>
  <c r="S28" i="33"/>
  <c r="AB25" i="33"/>
  <c r="U15" i="33"/>
  <c r="W8" i="33"/>
  <c r="U9" i="33"/>
  <c r="AB27" i="33"/>
  <c r="S27" i="33"/>
  <c r="AA25" i="33"/>
  <c r="AB23" i="33"/>
  <c r="AA21" i="33"/>
  <c r="AC21" i="33"/>
  <c r="AB19" i="33"/>
  <c r="AA19" i="33"/>
  <c r="W19" i="33"/>
  <c r="AC17" i="33"/>
  <c r="AA17" i="33"/>
  <c r="S15" i="33"/>
  <c r="S32" i="33"/>
  <c r="W32" i="33"/>
  <c r="AA34" i="33"/>
  <c r="AB36" i="33"/>
  <c r="U35" i="33"/>
  <c r="W38" i="33"/>
  <c r="S38" i="33"/>
  <c r="U39" i="33"/>
  <c r="S39" i="33"/>
  <c r="W42" i="33"/>
  <c r="W43" i="33"/>
  <c r="S43" i="33"/>
  <c r="AA44" i="33"/>
  <c r="S42" i="33"/>
  <c r="U42" i="33"/>
  <c r="U38" i="33"/>
  <c r="AC37" i="33"/>
  <c r="U32" i="33"/>
  <c r="AC28" i="33"/>
  <c r="AB26" i="33"/>
  <c r="AA26" i="33"/>
  <c r="W25" i="33"/>
  <c r="S11" i="33"/>
  <c r="U11" i="33"/>
  <c r="F30" i="69"/>
  <c r="F48" i="69" s="1"/>
  <c r="F32" i="67"/>
  <c r="F60" i="67" s="1"/>
  <c r="D68" i="9"/>
  <c r="F31" i="12"/>
  <c r="C31" i="12" s="1"/>
  <c r="F28" i="15"/>
  <c r="F28" i="67"/>
  <c r="M18" i="15"/>
  <c r="M18" i="67"/>
  <c r="F30" i="11"/>
  <c r="C48" i="11" s="1"/>
  <c r="F54" i="9"/>
  <c r="F32" i="15"/>
  <c r="F60" i="15" s="1"/>
  <c r="F52" i="9"/>
  <c r="F30" i="68"/>
  <c r="F48" i="68" s="1"/>
  <c r="C21" i="68"/>
  <c r="A2" i="9"/>
  <c r="A4" i="52"/>
  <c r="B41" i="72" s="1"/>
  <c r="H109" i="9"/>
  <c r="C7" i="36"/>
  <c r="C46" i="36" s="1"/>
  <c r="D46" i="36" s="1"/>
  <c r="E46" i="36" s="1"/>
  <c r="F46" i="36" s="1"/>
  <c r="G46" i="36" s="1"/>
  <c r="H46" i="36" s="1"/>
  <c r="I46" i="36" s="1"/>
  <c r="M47" i="9"/>
  <c r="C7" i="35"/>
  <c r="C48" i="35" s="1"/>
  <c r="D48" i="35" s="1"/>
  <c r="C7" i="39"/>
  <c r="C67" i="39" s="1"/>
  <c r="C69" i="39" s="1"/>
  <c r="C7" i="34"/>
  <c r="C7" i="40"/>
  <c r="C63" i="40" s="1"/>
  <c r="C7" i="21"/>
  <c r="C42" i="1"/>
  <c r="C24" i="12" s="1"/>
  <c r="W27" i="33"/>
  <c r="W23" i="37"/>
  <c r="AB9" i="21"/>
  <c r="W17" i="21"/>
  <c r="AC27" i="40"/>
  <c r="W27" i="40"/>
  <c r="AB32" i="37"/>
  <c r="U32" i="37"/>
  <c r="AA44" i="39"/>
  <c r="S44" i="39"/>
  <c r="AC31" i="40"/>
  <c r="W31" i="40"/>
  <c r="AA43" i="34"/>
  <c r="S43" i="34"/>
  <c r="AZ155" i="3"/>
  <c r="S11" i="39"/>
  <c r="AA11" i="39"/>
  <c r="U12" i="35"/>
  <c r="AB12" i="35"/>
  <c r="AC12" i="40"/>
  <c r="W12" i="40"/>
  <c r="AZ529" i="3"/>
  <c r="BL585" i="3"/>
  <c r="AZ585" i="3" s="1"/>
  <c r="J12" i="36"/>
  <c r="H12" i="36"/>
  <c r="AA31" i="35"/>
  <c r="S31" i="35"/>
  <c r="AZ400" i="3"/>
  <c r="AZ391" i="3"/>
  <c r="AZ364" i="3"/>
  <c r="AZ346" i="3"/>
  <c r="AZ329" i="3"/>
  <c r="AZ306" i="3"/>
  <c r="AZ513" i="3"/>
  <c r="AZ575" i="3"/>
  <c r="AZ528" i="3"/>
  <c r="AZ548" i="3"/>
  <c r="AZ574" i="3"/>
  <c r="AZ502" i="3"/>
  <c r="W31" i="34"/>
  <c r="J9" i="33"/>
  <c r="J9" i="34"/>
  <c r="W27" i="35"/>
  <c r="J38" i="40"/>
  <c r="AZ384" i="3"/>
  <c r="AZ322" i="3"/>
  <c r="AZ313" i="3"/>
  <c r="AZ164" i="3"/>
  <c r="AZ160" i="3"/>
  <c r="AZ394" i="3"/>
  <c r="AZ340" i="3"/>
  <c r="W44" i="33"/>
  <c r="AZ519" i="3"/>
  <c r="AZ531" i="3"/>
  <c r="AZ573" i="3"/>
  <c r="AZ583" i="3"/>
  <c r="AZ576" i="3"/>
  <c r="G585" i="3"/>
  <c r="BL587" i="3"/>
  <c r="AZ587" i="3" s="1"/>
  <c r="BL586" i="3"/>
  <c r="AZ586" i="3" s="1"/>
  <c r="B72" i="43"/>
  <c r="C15" i="39"/>
  <c r="B75" i="43"/>
  <c r="H23" i="35"/>
  <c r="J24" i="36"/>
  <c r="H24" i="36"/>
  <c r="F24" i="36"/>
  <c r="AB30" i="37"/>
  <c r="U30" i="37"/>
  <c r="AZ402" i="3"/>
  <c r="AZ406" i="3"/>
  <c r="U21" i="40"/>
  <c r="AZ14" i="3"/>
  <c r="AZ388" i="3"/>
  <c r="AZ345" i="3"/>
  <c r="AZ334" i="3"/>
  <c r="AZ372" i="3"/>
  <c r="AZ347" i="3"/>
  <c r="AZ337" i="3"/>
  <c r="AZ376" i="3"/>
  <c r="AZ309" i="3"/>
  <c r="AC12" i="37"/>
  <c r="W44" i="21"/>
  <c r="W47" i="34"/>
  <c r="AZ515" i="3"/>
  <c r="AZ523" i="3"/>
  <c r="AZ547" i="3"/>
  <c r="AZ569" i="3"/>
  <c r="AZ571" i="3"/>
  <c r="AZ579" i="3"/>
  <c r="AZ516" i="3"/>
  <c r="AZ524" i="3"/>
  <c r="AC28" i="21"/>
  <c r="AC11" i="35"/>
  <c r="AB23" i="34"/>
  <c r="B79" i="43"/>
  <c r="J26" i="33"/>
  <c r="F12" i="35"/>
  <c r="J12" i="35"/>
  <c r="J39" i="37"/>
  <c r="F39" i="37"/>
  <c r="S39" i="37" s="1"/>
  <c r="H44" i="39"/>
  <c r="J44" i="39"/>
  <c r="AA34" i="39"/>
  <c r="F38" i="40"/>
  <c r="AZ458" i="3"/>
  <c r="BL550" i="3"/>
  <c r="AZ414" i="3"/>
  <c r="AZ415" i="3"/>
  <c r="AZ425" i="3"/>
  <c r="AZ435" i="3"/>
  <c r="AZ451" i="3"/>
  <c r="AZ217" i="3"/>
  <c r="AZ228" i="3"/>
  <c r="BL16" i="3"/>
  <c r="AZ16" i="3" s="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A453" i="3"/>
  <c r="AZ453" i="3" s="1"/>
  <c r="BA455" i="3"/>
  <c r="AZ455" i="3" s="1"/>
  <c r="BA463" i="3"/>
  <c r="BA464" i="3"/>
  <c r="BA467" i="3"/>
  <c r="BA468" i="3"/>
  <c r="BL472" i="3"/>
  <c r="G473" i="3"/>
  <c r="BL473" i="3"/>
  <c r="AZ473" i="3" s="1"/>
  <c r="BL474" i="3"/>
  <c r="G475" i="3"/>
  <c r="BA477" i="3"/>
  <c r="G481" i="3"/>
  <c r="BA482" i="3"/>
  <c r="BA484" i="3"/>
  <c r="AZ484" i="3" s="1"/>
  <c r="G490" i="3"/>
  <c r="BA491" i="3"/>
  <c r="AZ491" i="3" s="1"/>
  <c r="BA319" i="3"/>
  <c r="AZ319" i="3" s="1"/>
  <c r="BA392" i="3"/>
  <c r="AZ392" i="3" s="1"/>
  <c r="BL211" i="3"/>
  <c r="BL219" i="3"/>
  <c r="BA225" i="3"/>
  <c r="G241" i="3"/>
  <c r="BA250" i="3"/>
  <c r="BL259" i="3"/>
  <c r="G268" i="3"/>
  <c r="AB8" i="39"/>
  <c r="U31" i="36"/>
  <c r="G587" i="3"/>
  <c r="F25" i="37"/>
  <c r="BA551" i="3"/>
  <c r="AZ551" i="3" s="1"/>
  <c r="BA550" i="3"/>
  <c r="AZ550" i="3" s="1"/>
  <c r="BL548" i="3"/>
  <c r="BL400" i="3"/>
  <c r="BL408" i="3"/>
  <c r="BL411" i="3"/>
  <c r="BL413" i="3"/>
  <c r="AZ413" i="3" s="1"/>
  <c r="BL417" i="3"/>
  <c r="BL418" i="3"/>
  <c r="AZ418" i="3" s="1"/>
  <c r="BL420" i="3"/>
  <c r="BL424" i="3"/>
  <c r="BL428" i="3"/>
  <c r="BL429" i="3"/>
  <c r="BL432" i="3"/>
  <c r="BL435" i="3"/>
  <c r="BL436" i="3"/>
  <c r="BA439" i="3"/>
  <c r="BA440" i="3"/>
  <c r="AZ440" i="3" s="1"/>
  <c r="BA442" i="3"/>
  <c r="BA445" i="3"/>
  <c r="BA447" i="3"/>
  <c r="AZ447" i="3" s="1"/>
  <c r="BA449" i="3"/>
  <c r="G456" i="3"/>
  <c r="BL456" i="3"/>
  <c r="BA465" i="3"/>
  <c r="AZ465" i="3" s="1"/>
  <c r="G470" i="3"/>
  <c r="BL470" i="3"/>
  <c r="G472" i="3"/>
  <c r="BL475" i="3"/>
  <c r="BL479" i="3"/>
  <c r="BL316" i="3"/>
  <c r="BL340" i="3"/>
  <c r="AZ284" i="3"/>
  <c r="BL398" i="3"/>
  <c r="AZ398" i="3" s="1"/>
  <c r="G402" i="3"/>
  <c r="BL403" i="3"/>
  <c r="G405" i="3"/>
  <c r="G406" i="3"/>
  <c r="BA408" i="3"/>
  <c r="BA409" i="3"/>
  <c r="AZ409" i="3" s="1"/>
  <c r="BA411" i="3"/>
  <c r="AZ411" i="3" s="1"/>
  <c r="BL414" i="3"/>
  <c r="BL415" i="3"/>
  <c r="BA417" i="3"/>
  <c r="AZ417" i="3" s="1"/>
  <c r="BL421" i="3"/>
  <c r="AZ421" i="3" s="1"/>
  <c r="BL422" i="3"/>
  <c r="BL425" i="3"/>
  <c r="BL426" i="3"/>
  <c r="BA428" i="3"/>
  <c r="AZ428" i="3" s="1"/>
  <c r="BA429" i="3"/>
  <c r="BA430" i="3"/>
  <c r="AZ430" i="3" s="1"/>
  <c r="BA432" i="3"/>
  <c r="AZ432" i="3" s="1"/>
  <c r="BA434" i="3"/>
  <c r="BA436" i="3"/>
  <c r="BA438" i="3"/>
  <c r="G442" i="3"/>
  <c r="BA446" i="3"/>
  <c r="G452" i="3"/>
  <c r="BL452" i="3"/>
  <c r="G454" i="3"/>
  <c r="BL459" i="3"/>
  <c r="G461" i="3"/>
  <c r="BA469" i="3"/>
  <c r="AZ469" i="3" s="1"/>
  <c r="BL471" i="3"/>
  <c r="AZ471" i="3" s="1"/>
  <c r="G478" i="3"/>
  <c r="BA487" i="3"/>
  <c r="AZ487" i="3" s="1"/>
  <c r="G492" i="3"/>
  <c r="BA303" i="3"/>
  <c r="AZ303" i="3" s="1"/>
  <c r="BL359" i="3"/>
  <c r="AZ359" i="3" s="1"/>
  <c r="BA385" i="3"/>
  <c r="BL395" i="3"/>
  <c r="BA212" i="3"/>
  <c r="BL242" i="3"/>
  <c r="BA248" i="3"/>
  <c r="G266" i="3"/>
  <c r="G270" i="3"/>
  <c r="BA293" i="3"/>
  <c r="BL317" i="3"/>
  <c r="BA349" i="3"/>
  <c r="AZ349" i="3" s="1"/>
  <c r="BA353" i="3"/>
  <c r="AZ353" i="3" s="1"/>
  <c r="BL353" i="3"/>
  <c r="BA358" i="3"/>
  <c r="AZ358" i="3" s="1"/>
  <c r="BL365" i="3"/>
  <c r="AZ365" i="3" s="1"/>
  <c r="BA368" i="3"/>
  <c r="AZ368" i="3" s="1"/>
  <c r="BL368" i="3"/>
  <c r="BA374" i="3"/>
  <c r="AZ374" i="3" s="1"/>
  <c r="BA388" i="3"/>
  <c r="BA396" i="3"/>
  <c r="BA209" i="3"/>
  <c r="BL217" i="3"/>
  <c r="BA219" i="3"/>
  <c r="BA221" i="3"/>
  <c r="BA223" i="3"/>
  <c r="BL228" i="3"/>
  <c r="BA230" i="3"/>
  <c r="AZ230" i="3" s="1"/>
  <c r="BL232" i="3"/>
  <c r="BL234" i="3"/>
  <c r="BA236" i="3"/>
  <c r="BA238" i="3"/>
  <c r="BA243" i="3"/>
  <c r="AZ243" i="3" s="1"/>
  <c r="BL248" i="3"/>
  <c r="G250" i="3"/>
  <c r="BL250" i="3"/>
  <c r="BA259" i="3"/>
  <c r="AZ259" i="3" s="1"/>
  <c r="BL261" i="3"/>
  <c r="BA263" i="3"/>
  <c r="BA267" i="3"/>
  <c r="AZ267" i="3" s="1"/>
  <c r="BA269" i="3"/>
  <c r="AZ269" i="3" s="1"/>
  <c r="BA271" i="3"/>
  <c r="AZ271" i="3" s="1"/>
  <c r="BL271" i="3"/>
  <c r="BA274" i="3"/>
  <c r="BL274" i="3"/>
  <c r="BA276" i="3"/>
  <c r="BA279" i="3"/>
  <c r="BA281" i="3"/>
  <c r="G286" i="3"/>
  <c r="BL286" i="3"/>
  <c r="AZ286" i="3" s="1"/>
  <c r="G291" i="3"/>
  <c r="BA296" i="3"/>
  <c r="BA116" i="3"/>
  <c r="AZ116" i="3" s="1"/>
  <c r="BA121" i="3"/>
  <c r="AZ121" i="3" s="1"/>
  <c r="BL121" i="3"/>
  <c r="BA124" i="3"/>
  <c r="AZ124" i="3" s="1"/>
  <c r="BA126" i="3"/>
  <c r="BL155" i="3"/>
  <c r="BA164" i="3"/>
  <c r="BA166" i="3"/>
  <c r="AZ166" i="3" s="1"/>
  <c r="BA177" i="3"/>
  <c r="AZ177" i="3" s="1"/>
  <c r="BA178" i="3"/>
  <c r="BA188" i="3"/>
  <c r="AZ188" i="3" s="1"/>
  <c r="BA41" i="3"/>
  <c r="AZ7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G349" i="3"/>
  <c r="G374" i="3"/>
  <c r="BA384" i="3"/>
  <c r="BA395" i="3"/>
  <c r="AZ395" i="3" s="1"/>
  <c r="BA208" i="3"/>
  <c r="AZ208" i="3" s="1"/>
  <c r="BA211" i="3"/>
  <c r="BL213" i="3"/>
  <c r="BL215" i="3"/>
  <c r="BA222" i="3"/>
  <c r="AZ222" i="3" s="1"/>
  <c r="BA224" i="3"/>
  <c r="AZ224" i="3" s="1"/>
  <c r="BA226" i="3"/>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33" i="3"/>
  <c r="AZ133" i="3" s="1"/>
  <c r="BL135" i="3"/>
  <c r="AZ135" i="3" s="1"/>
  <c r="BA153" i="3"/>
  <c r="BL173" i="3"/>
  <c r="BA176" i="3"/>
  <c r="AZ176" i="3" s="1"/>
  <c r="BL183" i="3"/>
  <c r="AZ183" i="3" s="1"/>
  <c r="BA186" i="3"/>
  <c r="AZ186" i="3" s="1"/>
  <c r="BL189" i="3"/>
  <c r="AZ189" i="3" s="1"/>
  <c r="BL190" i="3"/>
  <c r="AZ190" i="3" s="1"/>
  <c r="BA192" i="3"/>
  <c r="AZ192" i="3" s="1"/>
  <c r="BL195" i="3"/>
  <c r="AZ195" i="3" s="1"/>
  <c r="BA197" i="3"/>
  <c r="AZ197" i="3" s="1"/>
  <c r="BA201" i="3"/>
  <c r="AZ201" i="3" s="1"/>
  <c r="BA202" i="3"/>
  <c r="BA207" i="3"/>
  <c r="BA18" i="3"/>
  <c r="BL21" i="3"/>
  <c r="BL29" i="3"/>
  <c r="BA32" i="3"/>
  <c r="BA38" i="3"/>
  <c r="BA43" i="3"/>
  <c r="BA47" i="3"/>
  <c r="AZ47" i="3" s="1"/>
  <c r="BA48" i="3"/>
  <c r="BA49" i="3"/>
  <c r="BL52" i="3"/>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BL139" i="3"/>
  <c r="AZ139" i="3" s="1"/>
  <c r="BL141" i="3"/>
  <c r="BL143" i="3"/>
  <c r="AZ143" i="3" s="1"/>
  <c r="BL154" i="3"/>
  <c r="BA157" i="3"/>
  <c r="AZ157" i="3" s="1"/>
  <c r="BL199" i="3"/>
  <c r="AZ199" i="3" s="1"/>
  <c r="BA200" i="3"/>
  <c r="AZ200" i="3" s="1"/>
  <c r="BL45" i="3"/>
  <c r="BA67" i="3"/>
  <c r="AZ67" i="3" s="1"/>
  <c r="BA130" i="3"/>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G40" i="3"/>
  <c r="BL40" i="3"/>
  <c r="BL41" i="3"/>
  <c r="G51" i="3"/>
  <c r="BA52" i="3"/>
  <c r="BA53" i="3"/>
  <c r="BA54" i="3"/>
  <c r="BL57" i="3"/>
  <c r="G62" i="3"/>
  <c r="BL62" i="3"/>
  <c r="BL63" i="3"/>
  <c r="G67" i="3"/>
  <c r="BL68" i="3"/>
  <c r="BA69" i="3"/>
  <c r="BL74" i="3"/>
  <c r="BA77" i="3"/>
  <c r="AZ77" i="3" s="1"/>
  <c r="G80" i="3"/>
  <c r="B13" i="1"/>
  <c r="E13" i="1" s="1"/>
  <c r="K13" i="1"/>
  <c r="M13" i="1" s="1"/>
  <c r="O13" i="1" s="1"/>
  <c r="P13" i="1" s="1"/>
  <c r="C47" i="71"/>
  <c r="D47" i="71" s="1"/>
  <c r="D46" i="71"/>
  <c r="D50" i="71"/>
  <c r="C51" i="71"/>
  <c r="AZ62" i="3"/>
  <c r="AZ64" i="3"/>
  <c r="BA68" i="3"/>
  <c r="C55" i="71"/>
  <c r="D54" i="71"/>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G46" i="3"/>
  <c r="G47" i="3"/>
  <c r="BL48" i="3"/>
  <c r="AZ48" i="3" s="1"/>
  <c r="BA51" i="3"/>
  <c r="G55" i="3"/>
  <c r="BL56" i="3"/>
  <c r="AZ56" i="3" s="1"/>
  <c r="BA58" i="3"/>
  <c r="BL59" i="3"/>
  <c r="AZ59" i="3" s="1"/>
  <c r="BL60" i="3"/>
  <c r="BA61" i="3"/>
  <c r="AZ61" i="3" s="1"/>
  <c r="BL69" i="3"/>
  <c r="G70" i="3"/>
  <c r="BL70" i="3"/>
  <c r="BL71" i="3"/>
  <c r="BL72" i="3"/>
  <c r="AZ72" i="3" s="1"/>
  <c r="G73" i="3"/>
  <c r="BA74" i="3"/>
  <c r="BL86" i="3"/>
  <c r="AZ103" i="3"/>
  <c r="N67" i="71"/>
  <c r="B66" i="71"/>
  <c r="BA73" i="3"/>
  <c r="BA92" i="3"/>
  <c r="G95" i="3"/>
  <c r="BA98" i="3"/>
  <c r="P65" i="71"/>
  <c r="P66" i="71"/>
  <c r="T40" i="71"/>
  <c r="D40" i="71"/>
  <c r="D31" i="71"/>
  <c r="C32" i="71"/>
  <c r="B27" i="71"/>
  <c r="B26" i="71" s="1"/>
  <c r="S28" i="71"/>
  <c r="C64" i="71"/>
  <c r="D64" i="71" s="1"/>
  <c r="D63" i="71"/>
  <c r="V24" i="71"/>
  <c r="E23" i="71"/>
  <c r="E22" i="71" s="1"/>
  <c r="E21" i="71" s="1"/>
  <c r="E20" i="71" s="1"/>
  <c r="G85" i="3"/>
  <c r="BL85" i="3"/>
  <c r="BA86" i="3"/>
  <c r="BA87" i="3"/>
  <c r="BA91" i="3"/>
  <c r="AZ91" i="3" s="1"/>
  <c r="G96" i="3"/>
  <c r="BL97" i="3"/>
  <c r="AZ97" i="3" s="1"/>
  <c r="BL101" i="3"/>
  <c r="BL102" i="3"/>
  <c r="G104" i="3"/>
  <c r="G105" i="3"/>
  <c r="BL106" i="3"/>
  <c r="BA108" i="3"/>
  <c r="AZ108" i="3" s="1"/>
  <c r="BA110" i="3"/>
  <c r="AZ110" i="3" s="1"/>
  <c r="F3" i="35"/>
  <c r="S21" i="37"/>
  <c r="B77" i="43"/>
  <c r="AA18" i="35"/>
  <c r="T60" i="71"/>
  <c r="O66" i="71"/>
  <c r="D71" i="71"/>
  <c r="AA28" i="71"/>
  <c r="AB27" i="71"/>
  <c r="C87" i="71"/>
  <c r="E75" i="71"/>
  <c r="E74" i="71" s="1"/>
  <c r="AB25" i="71"/>
  <c r="C43" i="71"/>
  <c r="Y25" i="71"/>
  <c r="Z25" i="71" s="1"/>
  <c r="C35" i="71"/>
  <c r="AB32" i="71"/>
  <c r="X33" i="71"/>
  <c r="AB37" i="71"/>
  <c r="V80" i="71"/>
  <c r="X28" i="71"/>
  <c r="AA39" i="71"/>
  <c r="G44" i="3"/>
  <c r="BA45" i="3"/>
  <c r="BA46" i="3"/>
  <c r="AZ46" i="3" s="1"/>
  <c r="BL49" i="3"/>
  <c r="BL50" i="3"/>
  <c r="AZ50" i="3" s="1"/>
  <c r="BL51" i="3"/>
  <c r="G53" i="3"/>
  <c r="BL53" i="3"/>
  <c r="BA56" i="3"/>
  <c r="BA57" i="3"/>
  <c r="BL58" i="3"/>
  <c r="G60" i="3"/>
  <c r="BA60" i="3"/>
  <c r="BA63" i="3"/>
  <c r="AZ63" i="3" s="1"/>
  <c r="BA66" i="3"/>
  <c r="AZ66" i="3" s="1"/>
  <c r="BA71" i="3"/>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G74" i="3"/>
  <c r="G75" i="3"/>
  <c r="BL75" i="3"/>
  <c r="AZ75" i="3" s="1"/>
  <c r="G79" i="3"/>
  <c r="BL81" i="3"/>
  <c r="BA82" i="3"/>
  <c r="AZ82" i="3" s="1"/>
  <c r="BL83" i="3"/>
  <c r="G86" i="3"/>
  <c r="G87" i="3"/>
  <c r="BA90" i="3"/>
  <c r="AZ90" i="3" s="1"/>
  <c r="BL94" i="3"/>
  <c r="AZ94" i="3" s="1"/>
  <c r="BA100" i="3"/>
  <c r="AZ100" i="3" s="1"/>
  <c r="BA102" i="3"/>
  <c r="BL105" i="3"/>
  <c r="AZ105" i="3" s="1"/>
  <c r="BL107" i="3"/>
  <c r="BA111" i="3"/>
  <c r="AZ111" i="3" s="1"/>
  <c r="AC21" i="37"/>
  <c r="U21" i="34"/>
  <c r="D66" i="71"/>
  <c r="D28" i="71"/>
  <c r="U28" i="71" s="1"/>
  <c r="Q67" i="71"/>
  <c r="X36" i="71"/>
  <c r="AB33" i="71"/>
  <c r="AA30" i="71"/>
  <c r="F31" i="71"/>
  <c r="F32" i="71" s="1"/>
  <c r="V32" i="71" s="1"/>
  <c r="AB34" i="7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AZ202" i="3" s="1"/>
  <c r="BL36" i="3"/>
  <c r="AZ36" i="3" s="1"/>
  <c r="AZ40"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2" i="3"/>
  <c r="BL78" i="3"/>
  <c r="AZ78" i="3" s="1"/>
  <c r="BA83" i="3"/>
  <c r="G91" i="3"/>
  <c r="BL95" i="3"/>
  <c r="AZ95" i="3" s="1"/>
  <c r="BL98" i="3"/>
  <c r="AZ98" i="3" s="1"/>
  <c r="BL109" i="3"/>
  <c r="AZ109" i="3" s="1"/>
  <c r="AB21" i="21"/>
  <c r="G77" i="3"/>
  <c r="BA81" i="3"/>
  <c r="AZ81" i="3" s="1"/>
  <c r="BA85" i="3"/>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K16"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71"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5" i="73"/>
  <c r="D3" i="73"/>
  <c r="F8" i="15"/>
  <c r="D4" i="73"/>
  <c r="C16" i="67"/>
  <c r="J15" i="15"/>
  <c r="D7" i="73"/>
  <c r="C16" i="15"/>
  <c r="G26" i="43" l="1"/>
  <c r="E26" i="43"/>
  <c r="H26" i="43"/>
  <c r="N94" i="46"/>
  <c r="J26" i="43"/>
  <c r="N370" i="46"/>
  <c r="C77" i="9"/>
  <c r="C74" i="9" s="1"/>
  <c r="C48" i="69"/>
  <c r="D67" i="39"/>
  <c r="D69" i="39" s="1"/>
  <c r="C30" i="68"/>
  <c r="C36" i="68"/>
  <c r="C48" i="68"/>
  <c r="C28" i="15"/>
  <c r="C30" i="69"/>
  <c r="F31" i="15"/>
  <c r="F51" i="15"/>
  <c r="C49" i="15" s="1"/>
  <c r="C6" i="15"/>
  <c r="T32" i="71"/>
  <c r="D32" i="71"/>
  <c r="AZ58" i="3"/>
  <c r="AZ137" i="3"/>
  <c r="AZ126" i="3"/>
  <c r="AC39" i="37"/>
  <c r="W39" i="37"/>
  <c r="AA24" i="36"/>
  <c r="S24" i="36"/>
  <c r="AC9" i="34"/>
  <c r="W9" i="34"/>
  <c r="AC12" i="36"/>
  <c r="W12" i="36"/>
  <c r="G5" i="3"/>
  <c r="B3" i="3" s="1"/>
  <c r="AZ57" i="3"/>
  <c r="AZ45" i="3"/>
  <c r="C36" i="71"/>
  <c r="D35" i="71"/>
  <c r="C56" i="71"/>
  <c r="D55" i="71"/>
  <c r="C52" i="71"/>
  <c r="D51" i="71"/>
  <c r="AZ251" i="3"/>
  <c r="AZ247" i="3"/>
  <c r="AZ41" i="3"/>
  <c r="AZ274" i="3"/>
  <c r="AZ238" i="3"/>
  <c r="AZ219" i="3"/>
  <c r="AA25" i="37"/>
  <c r="S25" i="37"/>
  <c r="AZ250" i="3"/>
  <c r="AZ464" i="3"/>
  <c r="W44" i="39"/>
  <c r="AC44" i="39"/>
  <c r="W12" i="35"/>
  <c r="AC12" i="35"/>
  <c r="AB24" i="36"/>
  <c r="U24" i="36"/>
  <c r="AC9" i="33"/>
  <c r="W9" i="33"/>
  <c r="J7" i="36"/>
  <c r="AC7" i="36" s="1"/>
  <c r="V36" i="36" s="1"/>
  <c r="I36" i="36" s="1"/>
  <c r="P6" i="1"/>
  <c r="C13" i="12" s="1"/>
  <c r="AZ107" i="3"/>
  <c r="AZ26" i="3"/>
  <c r="AZ165" i="3"/>
  <c r="AZ292" i="3"/>
  <c r="AZ486" i="3"/>
  <c r="G16" i="1"/>
  <c r="F10" i="39" s="1"/>
  <c r="AZ102" i="3"/>
  <c r="C86" i="71"/>
  <c r="D86" i="71" s="1"/>
  <c r="D87" i="71"/>
  <c r="N65" i="71"/>
  <c r="N66" i="71"/>
  <c r="AZ74" i="3"/>
  <c r="AZ29" i="3"/>
  <c r="AZ69" i="3"/>
  <c r="AZ53" i="3"/>
  <c r="AZ130" i="3"/>
  <c r="AZ229" i="3"/>
  <c r="AZ218" i="3"/>
  <c r="AZ49" i="3"/>
  <c r="AZ263" i="3"/>
  <c r="AZ408" i="3"/>
  <c r="AB44" i="39"/>
  <c r="U44" i="39"/>
  <c r="AC24" i="36"/>
  <c r="W24" i="36"/>
  <c r="AC38" i="40"/>
  <c r="W38" i="40"/>
  <c r="AZ85" i="3"/>
  <c r="AZ83" i="3"/>
  <c r="AZ71" i="3"/>
  <c r="C44" i="71"/>
  <c r="D43" i="71"/>
  <c r="AZ86" i="3"/>
  <c r="AZ51" i="3"/>
  <c r="AZ52" i="3"/>
  <c r="AZ242" i="3"/>
  <c r="AZ211" i="3"/>
  <c r="AZ178" i="3"/>
  <c r="AZ223" i="3"/>
  <c r="AZ248" i="3"/>
  <c r="AZ429" i="3"/>
  <c r="AZ422" i="3"/>
  <c r="AZ403" i="3"/>
  <c r="AA38" i="40"/>
  <c r="S38" i="40"/>
  <c r="AC26" i="33"/>
  <c r="W26" i="33"/>
  <c r="U23" i="35"/>
  <c r="AB23" i="35"/>
  <c r="AB12" i="36"/>
  <c r="U12" i="36"/>
  <c r="J7" i="37"/>
  <c r="K1" i="73"/>
  <c r="E23" i="3"/>
  <c r="E184" i="3"/>
  <c r="E22" i="3"/>
  <c r="E534" i="3"/>
  <c r="E329" i="3"/>
  <c r="E105" i="3"/>
  <c r="E137" i="3"/>
  <c r="E325" i="3"/>
  <c r="E244" i="3"/>
  <c r="E57" i="3"/>
  <c r="E413" i="3"/>
  <c r="E127" i="3"/>
  <c r="E546" i="3"/>
  <c r="E291" i="3"/>
  <c r="E280" i="3"/>
  <c r="E434" i="3"/>
  <c r="E448" i="3"/>
  <c r="E581" i="3"/>
  <c r="E551" i="3"/>
  <c r="V6" i="3"/>
  <c r="E117" i="3"/>
  <c r="E290" i="3"/>
  <c r="E336" i="3"/>
  <c r="E583" i="3"/>
  <c r="E45" i="3"/>
  <c r="E193" i="3"/>
  <c r="E571" i="3"/>
  <c r="E450" i="3"/>
  <c r="E318" i="3"/>
  <c r="E31" i="3"/>
  <c r="E515" i="3"/>
  <c r="E478" i="3"/>
  <c r="E27" i="3"/>
  <c r="E162" i="3"/>
  <c r="E384" i="3"/>
  <c r="E441" i="3"/>
  <c r="E305" i="3"/>
  <c r="E508" i="3"/>
  <c r="E337" i="3"/>
  <c r="E143" i="3"/>
  <c r="E561" i="3"/>
  <c r="E439" i="3"/>
  <c r="E185" i="3"/>
  <c r="E261" i="3"/>
  <c r="E503" i="3"/>
  <c r="E180" i="3"/>
  <c r="E350" i="3"/>
  <c r="E495" i="3"/>
  <c r="E77" i="3"/>
  <c r="E568" i="3"/>
  <c r="E228" i="3"/>
  <c r="E277" i="3"/>
  <c r="E472" i="3"/>
  <c r="E465" i="3"/>
  <c r="E454" i="3"/>
  <c r="E106" i="3"/>
  <c r="E315" i="3"/>
  <c r="E362" i="3"/>
  <c r="E89" i="3"/>
  <c r="E327" i="3"/>
  <c r="E400" i="3"/>
  <c r="E345" i="3"/>
  <c r="E28" i="3"/>
  <c r="E70" i="3"/>
  <c r="E377" i="3"/>
  <c r="E109" i="3"/>
  <c r="E322" i="3"/>
  <c r="AJ6" i="3"/>
  <c r="E247" i="3"/>
  <c r="E201" i="3"/>
  <c r="M6" i="3"/>
  <c r="E387" i="3"/>
  <c r="E69" i="3"/>
  <c r="E278" i="3"/>
  <c r="E535" i="3"/>
  <c r="E161" i="3"/>
  <c r="E423" i="3"/>
  <c r="E385" i="3"/>
  <c r="E200" i="3"/>
  <c r="E148" i="3"/>
  <c r="E296" i="3"/>
  <c r="E275" i="3"/>
  <c r="E242" i="3"/>
  <c r="AA26" i="37"/>
  <c r="S26" i="37"/>
  <c r="BA5" i="3"/>
  <c r="E27" i="6" s="1"/>
  <c r="K26" i="6" s="1"/>
  <c r="M26" i="6" s="1"/>
  <c r="I26" i="6" s="1"/>
  <c r="S26" i="6" s="1"/>
  <c r="C19" i="71"/>
  <c r="T20" i="71"/>
  <c r="D20" i="71"/>
  <c r="U20" i="71" s="1"/>
  <c r="AZ5" i="3"/>
  <c r="AY6" i="3" s="1"/>
  <c r="E487" i="3"/>
  <c r="W40" i="40"/>
  <c r="AC40" i="40"/>
  <c r="AC12" i="21"/>
  <c r="W12" i="21"/>
  <c r="AB12" i="21"/>
  <c r="U12" i="21"/>
  <c r="AA27" i="34"/>
  <c r="S27" i="34"/>
  <c r="AC26" i="37"/>
  <c r="W26" i="37"/>
  <c r="BL5" i="3"/>
  <c r="B15" i="71"/>
  <c r="B14" i="71" s="1"/>
  <c r="B13" i="71" s="1"/>
  <c r="B12" i="71" s="1"/>
  <c r="S16" i="71"/>
  <c r="F7" i="36"/>
  <c r="S7" i="36" s="1"/>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A7" i="36"/>
  <c r="R36" i="36" s="1"/>
  <c r="AC7" i="37"/>
  <c r="W7" i="37"/>
  <c r="AB7" i="36"/>
  <c r="T36" i="36" s="1"/>
  <c r="G36" i="36" s="1"/>
  <c r="U7" i="36"/>
  <c r="F7" i="33"/>
  <c r="E58" i="21"/>
  <c r="W7" i="36"/>
  <c r="F7" i="37"/>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E449" i="3" l="1"/>
  <c r="E430" i="3"/>
  <c r="E467" i="3"/>
  <c r="E63" i="3"/>
  <c r="E522" i="3"/>
  <c r="E512" i="3"/>
  <c r="E220" i="3"/>
  <c r="E486" i="3"/>
  <c r="E372" i="3"/>
  <c r="E112" i="3"/>
  <c r="E155" i="3"/>
  <c r="E354" i="3"/>
  <c r="E163" i="3"/>
  <c r="E306" i="3"/>
  <c r="E196" i="3"/>
  <c r="E319" i="3"/>
  <c r="E213" i="3"/>
  <c r="E177" i="3"/>
  <c r="E580" i="3"/>
  <c r="E121" i="3"/>
  <c r="E229" i="3"/>
  <c r="E294"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AF6" i="3"/>
  <c r="E386" i="3"/>
  <c r="E488" i="3"/>
  <c r="E411" i="3"/>
  <c r="E159" i="3"/>
  <c r="E481" i="3"/>
  <c r="E334" i="3"/>
  <c r="E230" i="3"/>
  <c r="E550" i="3"/>
  <c r="E293" i="3"/>
  <c r="E99" i="3"/>
  <c r="E573" i="3"/>
  <c r="E72" i="3"/>
  <c r="E549" i="3"/>
  <c r="E585" i="3"/>
  <c r="E447" i="3"/>
  <c r="E56" i="3"/>
  <c r="E267" i="3"/>
  <c r="E21" i="3"/>
  <c r="E497" i="3"/>
  <c r="E370" i="3"/>
  <c r="E376" i="3"/>
  <c r="E473" i="3"/>
  <c r="E50" i="3"/>
  <c r="E149" i="3"/>
  <c r="E529" i="3"/>
  <c r="E574" i="3"/>
  <c r="E252" i="3"/>
  <c r="E151" i="3"/>
  <c r="E245" i="3"/>
  <c r="E453" i="3"/>
  <c r="E562" i="3"/>
  <c r="E351" i="3"/>
  <c r="E477" i="3"/>
  <c r="X6" i="3"/>
  <c r="E263" i="3"/>
  <c r="E445" i="3"/>
  <c r="E215" i="3"/>
  <c r="E570" i="3"/>
  <c r="E431" i="3"/>
  <c r="E526" i="3"/>
  <c r="E273" i="3"/>
  <c r="E489" i="3"/>
  <c r="AO6" i="3"/>
  <c r="E368" i="3"/>
  <c r="E214" i="3"/>
  <c r="E577" i="3"/>
  <c r="E560" i="3"/>
  <c r="AK6" i="3"/>
  <c r="E399" i="3"/>
  <c r="E301" i="3"/>
  <c r="E361" i="3"/>
  <c r="E231" i="3"/>
  <c r="AR6" i="3"/>
  <c r="E410" i="3"/>
  <c r="E530" i="3"/>
  <c r="E331" i="3"/>
  <c r="AS6" i="3"/>
  <c r="E271" i="3"/>
  <c r="E150" i="3"/>
  <c r="E527" i="3"/>
  <c r="E314" i="3"/>
  <c r="E578" i="3"/>
  <c r="E395" i="3"/>
  <c r="E239" i="3"/>
  <c r="E203" i="3"/>
  <c r="E321" i="3"/>
  <c r="E257" i="3"/>
  <c r="E542" i="3"/>
  <c r="E141" i="3"/>
  <c r="E202" i="3"/>
  <c r="E356" i="3"/>
  <c r="E18" i="3"/>
  <c r="E76" i="3"/>
  <c r="E219" i="3"/>
  <c r="E119" i="3"/>
  <c r="E246" i="3"/>
  <c r="E191" i="3"/>
  <c r="E563" i="3"/>
  <c r="E335" i="3"/>
  <c r="E514" i="3"/>
  <c r="E509" i="3"/>
  <c r="E217" i="3"/>
  <c r="E211" i="3"/>
  <c r="E557" i="3"/>
  <c r="Z6" i="3"/>
  <c r="E227" i="3"/>
  <c r="E146" i="3"/>
  <c r="E587" i="3"/>
  <c r="K6" i="3"/>
  <c r="E181" i="3"/>
  <c r="E124" i="3"/>
  <c r="E134" i="3"/>
  <c r="E528" i="3"/>
  <c r="E380" i="3"/>
  <c r="E533" i="3"/>
  <c r="E388" i="3"/>
  <c r="E175" i="3"/>
  <c r="E210" i="3"/>
  <c r="E505" i="3"/>
  <c r="E269" i="3"/>
  <c r="E111" i="3"/>
  <c r="E458" i="3"/>
  <c r="E85" i="3"/>
  <c r="E382" i="3"/>
  <c r="E415" i="3"/>
  <c r="E366" i="3"/>
  <c r="E429" i="3"/>
  <c r="S6" i="3"/>
  <c r="E537" i="3"/>
  <c r="E47" i="3"/>
  <c r="E265" i="3"/>
  <c r="E401" i="3"/>
  <c r="E104" i="3"/>
  <c r="E391" i="3"/>
  <c r="E241" i="3"/>
  <c r="E516" i="3"/>
  <c r="E553" i="3"/>
  <c r="E30" i="3"/>
  <c r="E166" i="3"/>
  <c r="E444" i="3"/>
  <c r="P6" i="3"/>
  <c r="E164" i="3"/>
  <c r="E32" i="3"/>
  <c r="E256" i="3"/>
  <c r="E496" i="3"/>
  <c r="E424" i="3"/>
  <c r="E330" i="3"/>
  <c r="E128" i="3"/>
  <c r="AA6" i="3"/>
  <c r="E303" i="3"/>
  <c r="E17" i="3"/>
  <c r="E169" i="3"/>
  <c r="E523" i="3"/>
  <c r="E359" i="3"/>
  <c r="E153" i="3"/>
  <c r="E317" i="3"/>
  <c r="E71" i="3"/>
  <c r="E432" i="3"/>
  <c r="E207" i="3"/>
  <c r="E357" i="3"/>
  <c r="E475" i="3"/>
  <c r="E474" i="3"/>
  <c r="E157" i="3"/>
  <c r="E122" i="3"/>
  <c r="E187" i="3"/>
  <c r="E195" i="3"/>
  <c r="Y6" i="3"/>
  <c r="E374" i="3"/>
  <c r="E266" i="3"/>
  <c r="E582" i="3"/>
  <c r="E48" i="3"/>
  <c r="E110" i="3"/>
  <c r="E421" i="3"/>
  <c r="E24" i="3"/>
  <c r="E348" i="3"/>
  <c r="E398" i="3"/>
  <c r="E365" i="3"/>
  <c r="E20" i="3"/>
  <c r="E147" i="3"/>
  <c r="E392" i="3"/>
  <c r="E194" i="3"/>
  <c r="E455" i="3"/>
  <c r="L6" i="3"/>
  <c r="E226" i="3"/>
  <c r="E40" i="3"/>
  <c r="AH6" i="3"/>
  <c r="E507" i="3"/>
  <c r="E493" i="3"/>
  <c r="E16" i="3"/>
  <c r="E80" i="3"/>
  <c r="E342" i="3"/>
  <c r="E428" i="3"/>
  <c r="E41" i="3"/>
  <c r="E452" i="3"/>
  <c r="E408" i="3"/>
  <c r="T6" i="3"/>
  <c r="E140" i="3"/>
  <c r="E102" i="3"/>
  <c r="E86" i="3"/>
  <c r="E129" i="3"/>
  <c r="AL6" i="3"/>
  <c r="E494" i="3"/>
  <c r="E264" i="3"/>
  <c r="E233" i="3"/>
  <c r="E84" i="3"/>
  <c r="E300" i="3"/>
  <c r="E64" i="3"/>
  <c r="E59" i="3"/>
  <c r="E363" i="3"/>
  <c r="E37" i="3"/>
  <c r="E212" i="3"/>
  <c r="E539" i="3"/>
  <c r="E50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536" i="3"/>
  <c r="E442" i="3"/>
  <c r="AP6" i="3"/>
  <c r="E417" i="3"/>
  <c r="E114" i="3"/>
  <c r="E320" i="3"/>
  <c r="E559" i="3"/>
  <c r="E396" i="3"/>
  <c r="N6" i="3"/>
  <c r="E125" i="3"/>
  <c r="E316" i="3"/>
  <c r="E88" i="3"/>
  <c r="E558" i="3"/>
  <c r="AG6" i="3"/>
  <c r="E236" i="3"/>
  <c r="E394" i="3"/>
  <c r="E73" i="3"/>
  <c r="AE6" i="3"/>
  <c r="E437" i="3"/>
  <c r="E120" i="3"/>
  <c r="E238" i="3"/>
  <c r="E353" i="3"/>
  <c r="E254" i="3"/>
  <c r="E304" i="3"/>
  <c r="E338" i="3"/>
  <c r="E390" i="3"/>
  <c r="E328" i="3"/>
  <c r="E53" i="3"/>
  <c r="E272" i="3"/>
  <c r="E547" i="3"/>
  <c r="U6" i="3"/>
  <c r="E397" i="3"/>
  <c r="E168" i="3"/>
  <c r="W6" i="3"/>
  <c r="E532" i="3"/>
  <c r="E136"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243" i="3"/>
  <c r="E420" i="3"/>
  <c r="E556" i="3"/>
  <c r="E469" i="3"/>
  <c r="E173" i="3"/>
  <c r="E308" i="3"/>
  <c r="E251" i="3"/>
  <c r="E235" i="3"/>
  <c r="E482" i="3"/>
  <c r="E332" i="3"/>
  <c r="E309" i="3"/>
  <c r="E68" i="3"/>
  <c r="E144" i="3"/>
  <c r="E310" i="3"/>
  <c r="E160" i="3"/>
  <c r="E425" i="3"/>
  <c r="E389" i="3"/>
  <c r="E258" i="3"/>
  <c r="E435" i="3"/>
  <c r="E575" i="3"/>
  <c r="E130" i="3"/>
  <c r="E407" i="3"/>
  <c r="E358" i="3"/>
  <c r="E569" i="3"/>
  <c r="E282" i="3"/>
  <c r="E480" i="3"/>
  <c r="E295" i="3"/>
  <c r="E404" i="3"/>
  <c r="E443" i="3"/>
  <c r="E576" i="3"/>
  <c r="I6" i="3"/>
  <c r="E274" i="3"/>
  <c r="E55" i="3"/>
  <c r="E344" i="3"/>
  <c r="Q6" i="3"/>
  <c r="E262" i="3"/>
  <c r="E156" i="3"/>
  <c r="AN6" i="3"/>
  <c r="E302" i="3"/>
  <c r="E237" i="3"/>
  <c r="E418" i="3"/>
  <c r="E285" i="3"/>
  <c r="E426" i="3"/>
  <c r="E29" i="3"/>
  <c r="E92" i="3"/>
  <c r="E367" i="3"/>
  <c r="E379" i="3"/>
  <c r="E14" i="3"/>
  <c r="E54" i="3"/>
  <c r="E288" i="3"/>
  <c r="E224" i="3"/>
  <c r="E461" i="3"/>
  <c r="E98" i="3"/>
  <c r="E87" i="3"/>
  <c r="E179" i="3"/>
  <c r="E259" i="3"/>
  <c r="E584" i="3"/>
  <c r="E436" i="3"/>
  <c r="E19" i="3"/>
  <c r="E446" i="3"/>
  <c r="E416" i="3"/>
  <c r="E51" i="3"/>
  <c r="E58" i="3"/>
  <c r="E566" i="3"/>
  <c r="E101" i="3"/>
  <c r="E62" i="3"/>
  <c r="E289" i="3"/>
  <c r="E52" i="3"/>
  <c r="E234" i="3"/>
  <c r="E79" i="3"/>
  <c r="E43" i="3"/>
  <c r="E276" i="3"/>
  <c r="E25" i="3"/>
  <c r="E498" i="3"/>
  <c r="E422" i="3"/>
  <c r="E564" i="3"/>
  <c r="E223" i="3"/>
  <c r="E158" i="3"/>
  <c r="E35" i="3"/>
  <c r="E78" i="3"/>
  <c r="E115" i="3"/>
  <c r="E470" i="3"/>
  <c r="E360" i="3"/>
  <c r="E405" i="3"/>
  <c r="E197" i="3"/>
  <c r="E287" i="3"/>
  <c r="E34" i="3"/>
  <c r="E174" i="3"/>
  <c r="E75" i="3"/>
  <c r="E198" i="3"/>
  <c r="E283" i="3"/>
  <c r="E381" i="3"/>
  <c r="E67" i="3"/>
  <c r="E371" i="3"/>
  <c r="E103" i="3"/>
  <c r="E409" i="3"/>
  <c r="E349" i="3"/>
  <c r="E192" i="3"/>
  <c r="E554" i="3"/>
  <c r="E286" i="3"/>
  <c r="E3" i="6"/>
  <c r="D44" i="71"/>
  <c r="T44" i="71"/>
  <c r="T52" i="71"/>
  <c r="D52" i="71"/>
  <c r="D36" i="71"/>
  <c r="T36" i="71"/>
  <c r="E541" i="3"/>
  <c r="R6" i="3"/>
  <c r="E199" i="3"/>
  <c r="E510" i="3"/>
  <c r="E152" i="3"/>
  <c r="E479" i="3"/>
  <c r="E517" i="3"/>
  <c r="E255" i="3"/>
  <c r="E466" i="3"/>
  <c r="E4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5" i="12" l="1"/>
  <c r="C26" i="12" s="1"/>
  <c r="D25" i="12" s="1"/>
  <c r="H6" i="3"/>
  <c r="AC6" i="3"/>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15"/>
  <c r="C17" i="67"/>
  <c r="C23" i="68" l="1"/>
  <c r="E6" i="3"/>
  <c r="C26" i="11"/>
  <c r="D22" i="11" s="1"/>
  <c r="C44" i="11"/>
  <c r="D41" i="11"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L51" i="15"/>
  <c r="D2" i="34"/>
  <c r="D2" i="35"/>
  <c r="D2" i="36"/>
  <c r="D2" i="37"/>
  <c r="D19" i="9"/>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6" i="1"/>
  <c r="AO11" i="1"/>
  <c r="D20" i="9"/>
  <c r="AO10" i="1"/>
  <c r="AO9" i="1"/>
  <c r="AO8" i="1"/>
  <c r="AO7" i="1"/>
  <c r="AO12"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02" i="9" s="1"/>
  <c r="E14" i="74" s="1"/>
  <c r="P24" i="80" s="1"/>
  <c r="T24" i="80" s="1"/>
  <c r="I4" i="52" l="1"/>
  <c r="E118" i="9"/>
  <c r="D118" i="9" s="1"/>
  <c r="F4" i="52"/>
  <c r="B51" i="72" s="1"/>
  <c r="F119" i="9"/>
  <c r="F5" i="52" s="1"/>
  <c r="B53" i="72" s="1"/>
  <c r="D7" i="53"/>
  <c r="B21" i="72" s="1"/>
  <c r="D4" i="52"/>
  <c r="B47" i="72" s="1"/>
  <c r="D119" i="9"/>
  <c r="D5" i="52" s="1"/>
  <c r="B49" i="72" s="1"/>
  <c r="G4" i="52"/>
  <c r="B52" i="72" s="1"/>
  <c r="C105" i="9"/>
  <c r="H118" i="9"/>
  <c r="E4" i="52"/>
  <c r="B48" i="72" s="1"/>
  <c r="C104" i="9" l="1"/>
  <c r="H101" i="9"/>
  <c r="D14" i="74" s="1"/>
  <c r="O24" i="80" s="1"/>
  <c r="O25" i="80" s="1"/>
  <c r="H4" i="52"/>
  <c r="H119" i="9"/>
  <c r="H5" i="52" s="1"/>
  <c r="B5" i="74" l="1"/>
  <c r="F14" i="74"/>
  <c r="D5" i="53"/>
  <c r="M48" i="9"/>
  <c r="D45" i="9"/>
  <c r="H107" i="9"/>
  <c r="G14" i="74" s="1"/>
  <c r="B6" i="74" s="1"/>
  <c r="D6" i="74" s="1"/>
  <c r="D5" i="74" l="1"/>
  <c r="C5" i="74"/>
  <c r="D122" i="9"/>
  <c r="M49" i="9"/>
  <c r="H108" i="9"/>
  <c r="D13" i="53"/>
  <c r="C72" i="9"/>
  <c r="C78" i="9"/>
  <c r="C73" i="9" s="1"/>
  <c r="D55" i="9"/>
  <c r="M53" i="9" s="1"/>
  <c r="C85" i="9"/>
  <c r="C64" i="9"/>
  <c r="C63" i="9" s="1"/>
  <c r="C67" i="9" s="1"/>
  <c r="D53" i="9"/>
  <c r="D52" i="9"/>
  <c r="C93" i="9"/>
  <c r="C86" i="9" s="1"/>
  <c r="B20" i="72"/>
  <c r="D6" i="53"/>
  <c r="B22" i="72" s="1"/>
  <c r="C95" i="9" l="1"/>
  <c r="C96" i="9" s="1"/>
  <c r="E96" i="9" s="1"/>
  <c r="E97" i="9" s="1"/>
  <c r="D14" i="53"/>
  <c r="B32" i="72" s="1"/>
  <c r="B30" i="72"/>
  <c r="C6" i="74"/>
  <c r="D15" i="53"/>
  <c r="B31" i="72" s="1"/>
  <c r="L65" i="9"/>
  <c r="M65" i="9" s="1"/>
  <c r="L68" i="9"/>
  <c r="M68" i="9" s="1"/>
  <c r="L66" i="9"/>
  <c r="M66" i="9" s="1"/>
  <c r="L64" i="9"/>
  <c r="M64" i="9" s="1"/>
  <c r="L63" i="9"/>
  <c r="M63" i="9" s="1"/>
  <c r="L67" i="9"/>
  <c r="M67" i="9" s="1"/>
  <c r="C68" i="9"/>
  <c r="D54" i="9" s="1"/>
  <c r="D59" i="9"/>
  <c r="M55" i="9" s="1"/>
  <c r="C79" i="9"/>
  <c r="D8" i="52"/>
  <c r="D123" i="9"/>
  <c r="D9" i="52" s="1"/>
  <c r="C80" i="9" l="1"/>
  <c r="E80" i="9" s="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<sst xmlns="http://schemas.openxmlformats.org/spreadsheetml/2006/main" count="8418" uniqueCount="3665">
  <si>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</si>
  <si>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</si>
  <si>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</si>
  <si>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</si>
  <si>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</si>
  <si>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</si>
  <si>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</si>
  <si>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</si>
  <si>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</si>
  <si>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</si>
  <si>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</si>
  <si>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</si>
  <si>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</si>
  <si>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</si>
  <si>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</si>
  <si>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</si>
  <si>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</si>
  <si>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</si>
  <si>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</si>
  <si>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</si>
  <si>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</si>
  <si>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</si>
  <si>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</si>
  <si>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</si>
  <si>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</si>
  <si>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</si>
  <si>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</si>
  <si>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</si>
  <si>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</si>
  <si>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</si>
  <si>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</si>
  <si>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</si>
  <si>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</si>
  <si>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</si>
  <si>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</si>
  <si>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</si>
  <si>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</si>
  <si>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</si>
  <si>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</si>
  <si>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</si>
  <si>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</si>
  <si>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</si>
  <si>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</si>
  <si>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</si>
  <si>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</si>
  <si>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</si>
  <si>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</si>
  <si>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</si>
  <si>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</si>
  <si>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</si>
  <si>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</si>
  <si>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</si>
  <si>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</si>
  <si>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</si>
  <si>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</si>
  <si>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</si>
  <si>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</si>
  <si>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</si>
  <si>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</si>
  <si>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</si>
  <si>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</si>
  <si>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</si>
  <si>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</si>
  <si>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</si>
  <si>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</si>
  <si>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</si>
  <si>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</si>
  <si>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</si>
  <si>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</si>
  <si>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</si>
  <si>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</si>
  <si>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</si>
  <si>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</si>
  <si>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</si>
  <si>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</si>
  <si>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</si>
  <si>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</si>
  <si>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</si>
  <si>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</si>
  <si>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</si>
  <si>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</si>
  <si>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</si>
  <si>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</si>
  <si>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</si>
  <si>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</si>
  <si>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</si>
  <si>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</si>
  <si>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</si>
  <si>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</si>
  <si>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</si>
  <si>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</si>
  <si>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</si>
  <si>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</si>
  <si>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</si>
  <si>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</si>
  <si>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</si>
  <si>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</si>
  <si>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</si>
  <si>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</si>
  <si>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</si>
  <si>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</si>
  <si>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</si>
  <si>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</si>
  <si>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</si>
  <si>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</si>
  <si>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</si>
  <si>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</si>
  <si>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</si>
  <si>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</si>
  <si>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</si>
  <si>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</si>
  <si>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</si>
  <si>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</si>
  <si>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</si>
  <si>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</si>
  <si>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</si>
  <si>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</si>
  <si>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</si>
  <si>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</si>
  <si>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</si>
  <si>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</si>
  <si>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</si>
  <si>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</si>
  <si>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</si>
  <si>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</si>
  <si>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</si>
  <si>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</si>
  <si>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</si>
  <si>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</si>
  <si>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</si>
  <si>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</si>
  <si>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</si>
  <si>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</si>
  <si>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</si>
  <si>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</si>
  <si>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</si>
  <si>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</si>
  <si>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</si>
  <si>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</si>
  <si>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</si>
  <si>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</si>
  <si>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</si>
  <si>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</si>
  <si>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</si>
  <si>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</si>
  <si>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</si>
  <si>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</si>
  <si>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</si>
  <si>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</si>
  <si>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</si>
  <si>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</si>
  <si>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</si>
  <si>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</si>
  <si>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</si>
  <si>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</si>
  <si>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</si>
  <si>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</si>
  <si>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</si>
  <si>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</si>
  <si>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</si>
  <si>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</si>
  <si>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</si>
  <si>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</si>
  <si>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</si>
  <si>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</si>
  <si>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</si>
  <si>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</si>
  <si>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</si>
  <si>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</si>
  <si>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</si>
  <si>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</si>
  <si>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</si>
  <si>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</si>
  <si>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</si>
  <si>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</si>
  <si>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</si>
  <si>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</si>
  <si>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</si>
  <si>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</si>
  <si>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</si>
  <si>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</si>
  <si>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</si>
  <si>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</si>
  <si>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</si>
  <si>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</si>
  <si>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</si>
  <si>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</si>
  <si>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</si>
  <si>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</si>
  <si>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</si>
  <si>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</si>
  <si>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</si>
  <si>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</si>
  <si>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</si>
  <si>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</si>
  <si>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</si>
  <si>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</si>
  <si>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</si>
  <si>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</si>
  <si>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</si>
  <si>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</si>
  <si>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</si>
  <si>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</si>
  <si>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</si>
  <si>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</si>
  <si>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</si>
  <si>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</si>
  <si>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</si>
  <si>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</si>
  <si>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</si>
  <si>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</si>
  <si>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</si>
  <si>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</si>
  <si>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</si>
  <si>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</si>
  <si>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</si>
  <si>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</si>
  <si>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</si>
  <si>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</si>
  <si>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</si>
  <si>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</si>
  <si>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</si>
  <si>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</si>
  <si>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</si>
  <si>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</si>
  <si>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</si>
  <si>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</si>
  <si>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</si>
  <si>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</si>
  <si>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</si>
  <si>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</si>
  <si>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</si>
  <si>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</si>
  <si>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</si>
  <si>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</si>
  <si>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</si>
  <si>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</si>
  <si>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</si>
  <si>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</si>
  <si>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</si>
  <si>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</si>
  <si>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</si>
  <si>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</si>
  <si>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</si>
  <si>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</si>
  <si>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</si>
  <si>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</si>
  <si>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</si>
  <si>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</si>
  <si>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</si>
  <si>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</si>
  <si>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</si>
  <si>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</si>
  <si>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</si>
  <si>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</si>
  <si>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</si>
  <si>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</si>
  <si>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</si>
  <si>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</si>
  <si>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</si>
  <si>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</si>
  <si>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</si>
  <si>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</si>
  <si>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</si>
  <si>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</si>
  <si>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</si>
  <si>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</si>
  <si>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</si>
  <si>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</si>
  <si>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</si>
  <si>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</si>
  <si>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</si>
  <si>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</si>
  <si>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</si>
  <si>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</si>
  <si>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</si>
  <si>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</si>
  <si>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</si>
  <si>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</si>
  <si>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</si>
  <si>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</si>
  <si>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</si>
  <si>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</si>
  <si>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</si>
  <si>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</si>
  <si>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</si>
  <si>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</si>
  <si>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</si>
  <si>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</si>
  <si>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</si>
  <si>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</si>
  <si>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</si>
  <si>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</si>
  <si>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</si>
  <si>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</si>
  <si>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</si>
  <si>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</si>
  <si>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</si>
  <si>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</si>
  <si>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</si>
  <si>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</si>
  <si>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</si>
  <si>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</si>
  <si>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</si>
  <si>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</si>
  <si>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</si>
  <si>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</si>
  <si>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</si>
  <si>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</si>
  <si>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</si>
  <si>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</si>
  <si>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</si>
  <si>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</si>
  <si>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</si>
  <si>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</si>
  <si>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</si>
  <si>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</si>
  <si>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</si>
  <si>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</si>
  <si>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</si>
  <si>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</si>
  <si>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</si>
  <si>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</si>
  <si>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</si>
  <si>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</si>
  <si>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</si>
  <si>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</si>
  <si>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</si>
  <si>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</si>
  <si>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</si>
  <si>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</si>
  <si>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</si>
  <si>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</si>
  <si>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</si>
  <si>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</si>
  <si>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</si>
  <si>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</si>
  <si>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</si>
  <si>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</si>
  <si>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</si>
  <si>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</si>
  <si>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</si>
  <si>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</si>
  <si>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</si>
  <si>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</si>
  <si>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</si>
  <si>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</si>
  <si>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</si>
  <si>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</si>
  <si>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</si>
  <si>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</si>
  <si>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</si>
  <si>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</si>
  <si>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</si>
  <si>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</si>
  <si>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</si>
  <si>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</si>
  <si>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</si>
  <si>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</si>
  <si>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</si>
  <si>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</si>
  <si>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</si>
  <si>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</si>
  <si>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</si>
  <si>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</si>
  <si>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</si>
  <si>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</si>
  <si>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</si>
  <si>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</si>
  <si>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</si>
  <si>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</si>
  <si>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</si>
  <si>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</si>
  <si>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</si>
  <si>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</si>
  <si>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</si>
  <si>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</si>
  <si>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</si>
  <si>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</si>
  <si>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</si>
  <si>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</si>
  <si>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</si>
  <si>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</si>
  <si>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</si>
  <si>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</si>
  <si>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</si>
  <si>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</si>
  <si>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</si>
  <si>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</si>
  <si>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</si>
  <si>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</si>
  <si>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</si>
  <si>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</si>
  <si>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</si>
  <si>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</si>
  <si>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</si>
  <si>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</si>
  <si>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</si>
  <si>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</si>
  <si>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</si>
  <si>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</si>
  <si>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</si>
  <si>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</si>
  <si>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</si>
  <si>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</si>
  <si>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</si>
  <si>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</si>
  <si>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</si>
  <si>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</si>
  <si>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</si>
  <si>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</si>
  <si>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</si>
  <si>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</si>
  <si>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</si>
  <si>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</si>
  <si>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</si>
  <si>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</si>
  <si>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</si>
  <si>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</si>
  <si>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</si>
  <si>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</si>
  <si>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</si>
  <si>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</si>
  <si>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</si>
  <si>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</si>
  <si>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</si>
  <si>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</si>
  <si>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</si>
  <si>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</si>
  <si>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</si>
  <si>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</si>
  <si>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</si>
  <si>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</si>
  <si>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</si>
  <si>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</si>
  <si>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</si>
  <si>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</si>
  <si>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</si>
  <si>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</si>
  <si>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</si>
  <si>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</si>
  <si>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</si>
  <si>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</si>
  <si>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</si>
  <si>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</si>
  <si>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</si>
  <si>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</si>
  <si>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</si>
  <si>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</si>
  <si>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</si>
  <si>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</si>
  <si>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</si>
  <si>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</si>
  <si>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</si>
  <si>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</si>
  <si>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</si>
  <si>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</si>
  <si>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</si>
  <si>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</si>
  <si>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</si>
  <si>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</si>
  <si>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</si>
  <si>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</si>
  <si>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</si>
  <si>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</si>
  <si>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</si>
  <si>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</si>
  <si>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</si>
  <si>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</si>
  <si>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</si>
  <si>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</si>
  <si>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</si>
  <si>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</si>
  <si>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</si>
  <si>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</si>
  <si>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</si>
  <si>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</si>
  <si>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</si>
  <si>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</si>
  <si>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</si>
  <si>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</si>
  <si>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</si>
  <si>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</si>
  <si>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</si>
  <si>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</si>
  <si>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</si>
  <si>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</si>
  <si>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</si>
  <si>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</si>
  <si>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</si>
  <si>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</si>
  <si>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</si>
  <si>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</si>
  <si>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</si>
  <si>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</si>
  <si>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</si>
  <si>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</si>
  <si>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</si>
  <si>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</si>
  <si>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</si>
  <si>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</si>
  <si>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</si>
  <si>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</si>
  <si>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</si>
  <si>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</si>
  <si>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</si>
  <si>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</si>
  <si>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</si>
  <si>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</si>
  <si>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</si>
  <si>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</si>
  <si>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</si>
  <si>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</si>
  <si>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</si>
  <si>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</si>
  <si>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</si>
  <si>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</si>
  <si>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</si>
  <si>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</si>
  <si>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</si>
  <si>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</si>
  <si>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</si>
  <si>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</si>
  <si>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</si>
  <si>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</si>
  <si>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</si>
  <si>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</si>
  <si>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</si>
  <si>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</si>
  <si>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</si>
  <si>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</si>
  <si>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</si>
  <si>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</si>
  <si>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</si>
  <si>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</si>
  <si>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</si>
  <si>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</si>
  <si>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</si>
  <si>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</si>
  <si>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</si>
  <si>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</si>
  <si>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</si>
  <si>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</si>
  <si>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</si>
  <si>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</si>
  <si>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</si>
  <si>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</si>
  <si>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</si>
  <si>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</si>
  <si>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</si>
  <si>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</si>
  <si>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</si>
  <si>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</si>
  <si>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</si>
  <si>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</si>
  <si>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</si>
  <si>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</si>
  <si>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</si>
  <si>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</si>
  <si>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</si>
  <si>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</si>
  <si>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</si>
  <si>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</si>
  <si>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</si>
  <si>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</si>
  <si>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</si>
  <si>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</si>
  <si>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</si>
  <si>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</si>
  <si>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</si>
  <si>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</si>
  <si>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</si>
  <si>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</si>
  <si>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</si>
  <si>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</si>
  <si>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</si>
  <si>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</si>
  <si>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</si>
  <si>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</si>
  <si>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</si>
  <si>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</si>
  <si>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</si>
  <si>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</si>
  <si>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</si>
  <si>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</si>
  <si>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</si>
  <si>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</si>
  <si>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</si>
  <si>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</si>
  <si>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</si>
  <si>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</si>
  <si>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</si>
  <si>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</si>
  <si>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</si>
  <si>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</si>
  <si>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</si>
  <si>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</si>
  <si>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</si>
  <si>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</si>
  <si>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</si>
  <si>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</si>
  <si>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</si>
  <si>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</si>
  <si>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</si>
  <si>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</si>
  <si>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</si>
  <si>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</si>
  <si>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</si>
  <si>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</si>
  <si>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</si>
  <si>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</si>
  <si>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</si>
  <si>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</si>
  <si>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</si>
  <si>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</si>
  <si>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</si>
  <si>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</si>
  <si>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</si>
  <si>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</si>
  <si>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</si>
  <si>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</si>
  <si>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</si>
  <si>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</si>
  <si>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</si>
  <si>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</si>
  <si>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</si>
  <si>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</si>
  <si>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</si>
  <si>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</si>
  <si>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</si>
  <si>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</si>
  <si>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</si>
  <si>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</si>
  <si>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</si>
  <si>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</si>
  <si>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</si>
  <si>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</si>
  <si>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</si>
  <si>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</si>
  <si>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</si>
  <si>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</si>
  <si>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</si>
  <si>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</si>
  <si>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</si>
  <si>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</si>
  <si>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</si>
  <si>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</si>
  <si>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</si>
  <si>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</si>
  <si>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</si>
  <si>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</si>
  <si>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</si>
  <si>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</si>
  <si>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</si>
  <si>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</si>
  <si>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</si>
  <si>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</si>
  <si>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</si>
  <si>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</si>
  <si>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</si>
  <si>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</si>
  <si>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</si>
  <si>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</si>
  <si>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</si>
  <si>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</si>
  <si>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</si>
  <si>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</si>
  <si>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</si>
  <si>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</si>
  <si>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</si>
  <si>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</si>
  <si>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</si>
  <si>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</si>
  <si>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</si>
  <si>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</si>
  <si>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</si>
  <si>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</si>
  <si>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</si>
  <si>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</si>
  <si>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</si>
  <si>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</si>
  <si>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</si>
  <si>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</si>
  <si>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</si>
  <si>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</si>
  <si>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</si>
  <si>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</si>
  <si>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</si>
  <si>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</si>
  <si>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</si>
  <si>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</si>
  <si>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</si>
  <si>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</si>
  <si>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</si>
  <si>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</si>
  <si>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</si>
  <si>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</si>
  <si>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</si>
  <si>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</si>
  <si>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</si>
  <si>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</si>
  <si>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</si>
  <si>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</si>
  <si>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</si>
  <si>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</si>
  <si>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</si>
  <si>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</si>
  <si>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</si>
  <si>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</si>
  <si>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</si>
  <si>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</si>
  <si>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</si>
  <si>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</si>
  <si>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</si>
  <si>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</si>
  <si>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</si>
  <si>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</si>
  <si>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</si>
  <si>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</si>
  <si>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</si>
  <si>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</si>
  <si>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</si>
  <si>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</si>
  <si>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</si>
  <si>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</si>
  <si>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</si>
  <si>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</si>
  <si>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</si>
  <si>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</si>
  <si>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</si>
  <si>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</si>
  <si>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</si>
  <si>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</si>
  <si>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</si>
  <si>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</si>
  <si>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</si>
  <si>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</si>
  <si>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</si>
  <si>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</si>
  <si>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</si>
  <si>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</si>
  <si>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</si>
  <si>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</si>
  <si>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</si>
  <si>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</si>
  <si>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</si>
  <si>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</si>
  <si>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</si>
  <si>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</si>
  <si>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</si>
  <si>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</si>
  <si>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</si>
  <si>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</si>
  <si>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</si>
  <si>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</si>
  <si>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</si>
  <si>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</si>
  <si>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</si>
  <si>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</si>
  <si>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</si>
  <si>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</si>
  <si>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</si>
  <si>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</si>
  <si>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</si>
  <si>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</si>
  <si>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</si>
  <si>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</si>
  <si>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</si>
  <si>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</si>
  <si>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</si>
  <si>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</si>
  <si>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</si>
  <si>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</si>
  <si>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</si>
  <si>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</si>
  <si>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</si>
  <si>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</si>
  <si>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</si>
  <si>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</si>
  <si>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</si>
  <si>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</si>
  <si>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</si>
  <si>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</si>
  <si>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</si>
  <si>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</si>
  <si>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</si>
  <si>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</si>
  <si>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</si>
  <si>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</si>
  <si>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</si>
  <si>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</si>
  <si>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</si>
  <si>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</si>
  <si>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</si>
  <si>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</si>
  <si>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</si>
  <si>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</si>
  <si>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</si>
  <si>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</si>
  <si>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</si>
  <si>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</si>
  <si>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</si>
  <si>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</si>
  <si>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</si>
  <si>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</si>
  <si>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</si>
  <si>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</si>
  <si>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</si>
  <si>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</si>
  <si>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</si>
  <si>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</si>
  <si>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</si>
  <si>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</si>
  <si>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</si>
  <si>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</si>
  <si>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</si>
  <si>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</si>
  <si>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</si>
  <si>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</si>
  <si>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</si>
  <si>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</si>
  <si>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</si>
  <si>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</si>
  <si>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</si>
  <si>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</si>
  <si>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</si>
  <si>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</si>
  <si>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</si>
  <si>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</si>
  <si>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</si>
  <si>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</si>
  <si>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</si>
  <si>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</si>
  <si>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</si>
  <si>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</si>
  <si>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</si>
  <si>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</si>
  <si>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</si>
  <si>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</si>
  <si>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</si>
  <si>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</si>
  <si>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</si>
  <si>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</si>
  <si>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</si>
  <si>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</si>
  <si>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</si>
  <si>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</si>
  <si>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</si>
  <si>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</si>
  <si>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</si>
  <si>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</si>
  <si>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</si>
  <si>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</si>
  <si>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</si>
  <si>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</si>
  <si>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</si>
  <si>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</si>
  <si>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</si>
  <si>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</si>
  <si>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</si>
  <si>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</si>
  <si>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</si>
  <si>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</si>
  <si>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</si>
  <si>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</si>
  <si>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</si>
  <si>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</si>
  <si>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</si>
  <si>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</si>
  <si>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</si>
  <si>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</si>
  <si>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</si>
  <si>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</si>
  <si>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</si>
  <si>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</si>
  <si>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</si>
  <si>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</si>
  <si>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</si>
  <si>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</si>
  <si>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</si>
  <si>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</si>
  <si>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</si>
  <si>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</si>
  <si>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</si>
  <si>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</si>
  <si>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</si>
  <si>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</si>
  <si>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</si>
  <si>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</si>
  <si>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</si>
  <si>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</si>
  <si>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</si>
  <si>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</si>
  <si>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</si>
  <si>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</si>
  <si>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</si>
  <si>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</si>
  <si>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</si>
  <si>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</si>
  <si>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</si>
  <si>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</si>
  <si>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</si>
  <si>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</si>
  <si>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</si>
  <si>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</si>
  <si>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</si>
  <si>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</si>
  <si>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</si>
  <si>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</si>
  <si>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</si>
  <si>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</si>
  <si>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</si>
  <si>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</si>
  <si>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</si>
  <si>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</si>
  <si>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</si>
  <si>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</si>
  <si>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</si>
  <si>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</si>
  <si>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</si>
  <si>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</si>
  <si>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</si>
  <si>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</si>
  <si>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</si>
  <si>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</si>
  <si>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</si>
  <si>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</si>
  <si>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</si>
  <si>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</si>
  <si>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</si>
  <si>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</si>
  <si>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</si>
  <si>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</si>
  <si>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</si>
  <si>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</si>
  <si>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</si>
  <si>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</si>
  <si>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</si>
  <si>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</si>
  <si>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</si>
  <si>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</si>
  <si>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</si>
  <si>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</si>
  <si>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</si>
  <si>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</si>
  <si>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</si>
  <si>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</si>
  <si>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</si>
  <si>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</si>
  <si>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</si>
  <si>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</si>
  <si>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</si>
  <si>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</si>
  <si>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</si>
  <si>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</si>
  <si>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</si>
  <si>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</si>
  <si>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</si>
  <si>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</si>
  <si>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</si>
  <si>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</si>
  <si>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</si>
  <si>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</si>
  <si>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</si>
  <si>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</si>
  <si>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</si>
  <si>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</si>
  <si>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</si>
  <si>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</si>
  <si>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</si>
  <si>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</si>
  <si>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</si>
  <si>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</si>
  <si>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</si>
  <si>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</si>
  <si>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</si>
  <si>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</si>
  <si>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</si>
  <si>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</si>
  <si>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</si>
  <si>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</si>
  <si>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</si>
  <si>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</si>
  <si>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</si>
  <si>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</si>
  <si>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</si>
  <si>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</si>
  <si>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</si>
  <si>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</si>
  <si>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</si>
  <si>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</si>
  <si>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</si>
  <si>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</si>
  <si>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</si>
  <si>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</si>
  <si>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</si>
  <si>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</si>
  <si>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</si>
  <si>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</si>
  <si>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</si>
  <si>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</si>
  <si>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</si>
  <si>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</si>
  <si>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</si>
  <si>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</si>
  <si>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</si>
  <si>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</si>
  <si>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</si>
  <si>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</si>
  <si>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</si>
  <si>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</si>
  <si>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</si>
  <si>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</si>
  <si>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</si>
  <si>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</si>
  <si>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</si>
  <si>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</si>
  <si>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</si>
  <si>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</si>
  <si>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</si>
  <si>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</si>
  <si>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</si>
  <si>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</si>
  <si>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</si>
  <si>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</si>
  <si>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</si>
  <si>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</si>
  <si>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</si>
  <si>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</si>
  <si>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</si>
  <si>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</si>
  <si>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</si>
  <si>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</si>
  <si>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</si>
  <si>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</si>
  <si>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</si>
  <si>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</si>
  <si>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</si>
  <si>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</si>
  <si>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</si>
  <si>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</si>
  <si>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</si>
  <si>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</si>
  <si>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</si>
  <si>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</si>
  <si>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</si>
  <si>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</si>
  <si>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</si>
  <si>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</si>
  <si>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</si>
  <si>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</si>
  <si>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</si>
  <si>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</si>
  <si>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</si>
  <si>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</si>
  <si>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</si>
  <si>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</si>
  <si>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</si>
  <si>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</si>
  <si>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</si>
  <si>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</si>
  <si>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</si>
  <si>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</si>
  <si>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</si>
  <si>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</si>
  <si>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</si>
  <si>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</si>
  <si>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</si>
  <si>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</si>
  <si>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</si>
  <si>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</si>
  <si>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</si>
  <si>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</si>
  <si>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</si>
  <si>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</si>
  <si>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</si>
  <si>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</si>
  <si>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</si>
  <si>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</si>
  <si>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</si>
  <si>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</si>
  <si>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</si>
  <si>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</si>
  <si>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</si>
  <si>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</si>
  <si>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</si>
  <si>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</si>
  <si>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</si>
  <si>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</si>
  <si>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</si>
  <si>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</si>
  <si>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</si>
  <si>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</si>
  <si>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</si>
  <si>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</si>
  <si>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</si>
  <si>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</si>
  <si>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</si>
  <si>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</si>
  <si>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</si>
  <si>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</si>
  <si>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</si>
  <si>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</si>
  <si>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</si>
  <si>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</si>
  <si>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</si>
  <si>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</si>
  <si>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</si>
  <si>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</si>
  <si>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</si>
  <si>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</si>
  <si>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</si>
  <si>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</si>
  <si>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</si>
  <si>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</si>
  <si>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</si>
  <si>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</si>
  <si>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</si>
  <si>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</si>
  <si>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</si>
  <si>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</si>
  <si>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</si>
  <si>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</si>
  <si>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</si>
  <si>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</si>
  <si>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</si>
  <si>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</si>
  <si>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</si>
  <si>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</si>
  <si>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</si>
  <si>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</si>
  <si>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</si>
  <si>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</si>
  <si>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</si>
  <si>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</si>
  <si>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</si>
  <si>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</si>
  <si>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</si>
  <si>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</si>
  <si>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</si>
  <si>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</si>
  <si>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</si>
  <si>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</si>
  <si>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</si>
  <si>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</si>
  <si>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</si>
  <si>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</si>
  <si>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</si>
  <si>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</si>
  <si>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</si>
  <si>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</si>
  <si>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</si>
  <si>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</si>
  <si>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</si>
  <si>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</si>
  <si>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</si>
  <si>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</si>
  <si>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</si>
  <si>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</si>
  <si>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</si>
  <si>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</si>
  <si>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</si>
  <si>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</si>
  <si>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</si>
  <si>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</si>
  <si>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</si>
  <si>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</si>
  <si>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</si>
  <si>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</si>
  <si>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</si>
  <si>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</si>
  <si>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</si>
  <si>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</si>
  <si>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</si>
  <si>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</si>
  <si>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</si>
  <si>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</si>
  <si>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</si>
  <si>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</si>
  <si>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</si>
  <si>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</si>
  <si>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</si>
  <si>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</si>
  <si>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</si>
  <si>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</si>
  <si>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</si>
  <si>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</si>
  <si>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</si>
  <si>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</si>
  <si>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</si>
  <si>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</si>
  <si>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</si>
  <si>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</si>
  <si>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</si>
  <si>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</si>
  <si>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</si>
  <si>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</si>
  <si>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</si>
  <si>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</si>
  <si>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</si>
  <si>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</si>
  <si>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</si>
  <si>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</si>
  <si>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</si>
  <si>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</si>
  <si>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</si>
  <si>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</si>
  <si>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</si>
  <si>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</si>
  <si>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</si>
  <si>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</si>
  <si>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</si>
  <si>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</si>
  <si>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</si>
  <si>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</si>
  <si>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</si>
  <si>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</si>
  <si>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</si>
  <si>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</si>
  <si>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</si>
  <si>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</si>
  <si>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</si>
  <si>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</si>
  <si>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</si>
  <si>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</si>
  <si>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</si>
  <si>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</si>
  <si>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</si>
  <si>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</si>
  <si>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</si>
  <si>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</si>
  <si>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</si>
  <si>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</si>
  <si>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</si>
  <si>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</si>
  <si>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</si>
  <si>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</si>
  <si>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</si>
  <si>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</si>
  <si>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</si>
  <si>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</si>
  <si>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</si>
  <si>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</si>
  <si>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</si>
  <si>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</si>
  <si>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</si>
  <si>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</si>
  <si>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</si>
  <si>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</si>
  <si>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</si>
  <si>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</si>
  <si>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</si>
  <si>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</si>
  <si>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</si>
  <si>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</si>
  <si>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</si>
  <si>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</si>
  <si>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</si>
  <si>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</si>
  <si>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</si>
  <si>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</si>
  <si>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</si>
  <si>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</si>
  <si>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</si>
  <si>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</si>
  <si>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</si>
  <si>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</si>
  <si>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</si>
  <si>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</si>
  <si>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</si>
  <si>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</si>
  <si>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</si>
  <si>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</si>
  <si>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</si>
  <si>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</si>
  <si>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</si>
  <si>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</si>
  <si>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</si>
  <si>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</si>
  <si>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</si>
  <si>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</si>
  <si>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</si>
  <si>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</si>
  <si>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</si>
  <si>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</si>
  <si>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</si>
  <si>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</si>
  <si>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</si>
  <si>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</si>
  <si>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</si>
  <si>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</si>
  <si>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</si>
  <si>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</si>
  <si>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</si>
  <si>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</si>
  <si>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</si>
  <si>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</si>
  <si>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</si>
  <si>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</si>
  <si>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</si>
  <si>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</si>
  <si>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</si>
  <si>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</si>
  <si>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</si>
  <si>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</si>
  <si>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</si>
  <si>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</si>
  <si>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</si>
  <si>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</si>
  <si>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</si>
  <si>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</si>
  <si>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</si>
  <si>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</si>
  <si>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</si>
  <si>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</si>
  <si>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</si>
  <si>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</si>
  <si>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</si>
  <si>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</si>
  <si>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</si>
  <si>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</si>
  <si>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</si>
  <si>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</si>
  <si>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</si>
  <si>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</si>
  <si>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</si>
  <si>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</si>
  <si>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</si>
  <si>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</si>
  <si>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</si>
  <si>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</si>
  <si>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</si>
  <si>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</si>
  <si>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</si>
  <si>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</si>
  <si>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</si>
  <si>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</si>
  <si>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</si>
  <si>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</si>
  <si>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</si>
  <si>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</si>
  <si>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</si>
  <si>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</si>
  <si>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</si>
  <si>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</si>
  <si>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</si>
  <si>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</si>
  <si>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</si>
  <si>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</si>
  <si>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</si>
  <si>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</si>
  <si>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</si>
  <si>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</si>
  <si>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</si>
  <si>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</si>
  <si>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</si>
  <si>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</si>
  <si>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</si>
  <si>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</si>
  <si>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</si>
  <si>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</si>
  <si>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</si>
  <si>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</si>
  <si>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</si>
  <si>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</si>
  <si>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</si>
  <si>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</si>
  <si>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</si>
  <si>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</si>
  <si>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</si>
  <si>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</si>
  <si>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</si>
  <si>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</si>
  <si>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</si>
  <si>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</si>
  <si>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</si>
  <si>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</si>
  <si>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</si>
  <si>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</si>
  <si>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</si>
  <si>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</si>
  <si>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</si>
  <si>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</si>
  <si>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</si>
  <si>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</si>
  <si>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</si>
  <si>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</si>
  <si>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</si>
  <si>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</si>
  <si>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</si>
  <si>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</si>
  <si>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</si>
  <si>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</si>
  <si>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</si>
  <si>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</si>
  <si>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</si>
  <si>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</si>
  <si>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</si>
  <si>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</si>
  <si>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</si>
  <si>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</si>
  <si>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</si>
  <si>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</si>
  <si>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</si>
  <si>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</si>
  <si>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</si>
  <si>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</si>
  <si>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</si>
  <si>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</si>
  <si>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</si>
  <si>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</si>
  <si>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</si>
  <si>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</si>
  <si>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</si>
  <si>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</si>
  <si>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</si>
  <si>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</si>
  <si>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</si>
  <si>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</si>
  <si>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</si>
  <si>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</si>
  <si>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</si>
  <si>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</si>
  <si>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</si>
  <si>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</si>
  <si>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</si>
  <si>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</si>
  <si>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</si>
  <si>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</si>
  <si>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</si>
  <si>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</si>
  <si>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</si>
  <si>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</si>
  <si>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</si>
  <si>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</si>
  <si>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</si>
  <si>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</si>
  <si>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</si>
  <si>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</si>
  <si>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</si>
  <si>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</si>
  <si>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</si>
  <si>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</si>
  <si>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</si>
  <si>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</si>
  <si>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</si>
  <si>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</si>
  <si>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</si>
  <si>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</si>
  <si>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</si>
  <si>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</si>
  <si>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</si>
  <si>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</si>
  <si>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</si>
  <si>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</si>
  <si>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</si>
  <si>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</si>
  <si>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</si>
  <si>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</si>
  <si>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</si>
  <si>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</si>
  <si>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</si>
  <si>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</si>
  <si>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</si>
  <si>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</si>
  <si>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</si>
  <si>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</si>
  <si>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</si>
  <si>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</si>
  <si>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</si>
  <si>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</si>
  <si>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</si>
  <si>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</si>
  <si>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</si>
  <si>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</si>
  <si>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</si>
  <si>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</si>
  <si>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</si>
  <si>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</si>
  <si>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</si>
  <si>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</si>
  <si>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</si>
  <si>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</si>
  <si>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</si>
  <si>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</si>
  <si>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</si>
  <si>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</si>
  <si>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</si>
  <si>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</si>
  <si>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</si>
  <si>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</si>
  <si>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</si>
  <si>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</si>
  <si>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</si>
  <si>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</si>
  <si>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</si>
  <si>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</si>
  <si>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</si>
  <si>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</si>
  <si>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</si>
  <si>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</si>
  <si>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</si>
  <si>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</si>
  <si>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</si>
  <si>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</si>
  <si>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</si>
  <si>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</si>
  <si>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</si>
  <si>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</si>
  <si>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</si>
  <si>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</si>
  <si>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</si>
  <si>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</si>
  <si>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</si>
  <si>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</si>
  <si>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</si>
  <si>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</si>
  <si>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</si>
  <si>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</si>
  <si>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</si>
  <si>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</si>
  <si>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</si>
  <si>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</si>
  <si>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</si>
  <si>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</si>
  <si>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</si>
  <si>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</si>
  <si>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</si>
  <si>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</si>
  <si>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</si>
  <si>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</si>
  <si>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</si>
  <si>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</si>
  <si>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</si>
  <si>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</si>
  <si>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</si>
  <si>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</si>
  <si>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</si>
  <si>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</si>
  <si>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</si>
  <si>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</si>
  <si>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</si>
  <si>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</si>
  <si>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</si>
  <si>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</si>
  <si>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</si>
  <si>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</si>
  <si>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</si>
  <si>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</si>
  <si>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</si>
  <si>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</si>
  <si>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</si>
  <si>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</si>
  <si>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</si>
  <si>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</si>
  <si>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</si>
  <si>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</si>
  <si>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</si>
  <si>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</si>
  <si>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</si>
  <si>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</si>
  <si>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</si>
  <si>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</si>
  <si>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</si>
  <si>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</si>
  <si>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</si>
  <si>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</si>
  <si>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</si>
  <si>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</si>
  <si>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</si>
  <si>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</si>
  <si>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</si>
  <si>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</si>
  <si>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</si>
  <si>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</si>
  <si>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</si>
  <si>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</si>
  <si>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</si>
  <si>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</si>
  <si>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</si>
  <si>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</si>
  <si>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</si>
  <si>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</si>
  <si>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</si>
  <si>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</si>
  <si>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</si>
  <si>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</si>
  <si>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</si>
  <si>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</si>
  <si>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</si>
  <si>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</si>
  <si>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</si>
  <si>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</si>
  <si>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</si>
  <si>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</si>
  <si>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</si>
  <si>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</si>
  <si>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</si>
  <si>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</si>
  <si>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</si>
  <si>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</si>
  <si>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</si>
  <si>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</si>
  <si>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</si>
  <si>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</si>
  <si>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</si>
  <si>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</si>
  <si>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</si>
  <si>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</si>
  <si>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</si>
  <si>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</si>
  <si>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</si>
  <si>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</si>
  <si>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</si>
  <si>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</si>
  <si>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</si>
  <si>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</si>
  <si>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</si>
  <si>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</si>
  <si>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</si>
  <si>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</si>
  <si>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</si>
  <si>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</si>
  <si>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</si>
  <si>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</si>
  <si>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</si>
  <si>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</si>
  <si>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</si>
  <si>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</si>
  <si>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</si>
  <si>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</si>
  <si>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</si>
  <si>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</si>
  <si>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</si>
  <si>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</si>
  <si>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</si>
  <si>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</si>
  <si>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</si>
  <si>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</si>
  <si>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</si>
  <si>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</si>
  <si>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</si>
  <si>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</si>
  <si>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</si>
  <si>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</si>
  <si>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</si>
  <si>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</si>
  <si>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</si>
  <si>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</si>
  <si>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</si>
  <si>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</si>
  <si>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</si>
  <si>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</si>
  <si>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</si>
  <si>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</si>
  <si>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</si>
  <si>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</si>
  <si>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</si>
  <si>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</si>
  <si>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</si>
  <si>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</si>
  <si>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</si>
  <si>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</si>
  <si>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</si>
  <si>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</si>
  <si>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</si>
  <si>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</si>
  <si>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</si>
  <si>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</si>
  <si>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</si>
  <si>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</si>
  <si>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</si>
  <si>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</si>
  <si>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</si>
  <si>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</si>
  <si>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</si>
  <si>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</si>
  <si>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</si>
  <si>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</si>
  <si>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</si>
  <si>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</si>
  <si>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</si>
  <si>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</si>
  <si>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</si>
  <si>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</si>
  <si>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</si>
  <si>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</si>
  <si>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</si>
  <si>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</si>
  <si>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</si>
  <si>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</si>
  <si>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</si>
  <si>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</si>
  <si>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</si>
  <si>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</si>
  <si>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</si>
  <si>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</si>
  <si>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</si>
  <si>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</si>
  <si>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</si>
  <si>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</si>
  <si>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</si>
  <si>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</si>
  <si>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</si>
  <si>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</si>
  <si>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</si>
  <si>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</si>
  <si>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</si>
  <si>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</si>
  <si>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</si>
  <si>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</si>
  <si>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</si>
  <si>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</si>
  <si>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</si>
  <si>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</si>
  <si>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</si>
  <si>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</si>
  <si>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</si>
  <si>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</si>
  <si>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</si>
  <si>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</si>
  <si>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</si>
  <si>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</si>
  <si>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</si>
  <si>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</si>
  <si>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</si>
  <si>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</si>
  <si>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</si>
  <si>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</si>
  <si>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</si>
  <si>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</si>
  <si>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</si>
  <si>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</si>
  <si>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</si>
  <si>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</si>
  <si>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</si>
  <si>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</si>
  <si>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</si>
  <si>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</si>
  <si>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</si>
  <si>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</si>
  <si>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</si>
  <si>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</si>
  <si>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</si>
  <si>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</si>
  <si>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</si>
  <si>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</si>
  <si>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</si>
  <si>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</si>
  <si>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</si>
  <si>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</si>
  <si>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</si>
  <si>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</si>
  <si>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</si>
  <si>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</si>
  <si>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</si>
  <si>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</si>
  <si>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</si>
  <si>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</si>
  <si>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</si>
  <si>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</si>
  <si>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</si>
  <si>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</si>
  <si>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</si>
  <si>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</si>
  <si>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</si>
  <si>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</si>
  <si>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</si>
  <si>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</si>
  <si>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</si>
  <si>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</si>
  <si>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</si>
  <si>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</si>
  <si>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</si>
  <si>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</si>
  <si>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</si>
  <si>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</si>
  <si>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</si>
  <si>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</si>
  <si>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</si>
  <si>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</si>
  <si>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</si>
  <si>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</si>
  <si>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</si>
  <si>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</si>
  <si>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</si>
  <si>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</si>
  <si>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</si>
  <si>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</si>
  <si>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</si>
  <si>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</si>
  <si>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</si>
  <si>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</si>
  <si>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</si>
  <si>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</si>
  <si>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</si>
  <si>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</si>
  <si>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</si>
  <si>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</si>
  <si>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</si>
  <si>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</si>
  <si>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</si>
  <si>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</si>
  <si>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</si>
  <si>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</si>
  <si>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</si>
  <si>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</si>
  <si>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</si>
  <si>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</si>
  <si>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</si>
  <si>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</si>
  <si>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</si>
  <si>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</si>
  <si>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</si>
  <si>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</si>
  <si>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</si>
  <si>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</si>
  <si>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</si>
  <si>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</si>
  <si>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</si>
  <si>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</si>
  <si>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</si>
  <si>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</si>
  <si>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</si>
  <si>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</si>
  <si>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</si>
  <si>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</si>
  <si>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</si>
  <si>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</si>
  <si>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</si>
  <si>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</si>
  <si>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</si>
  <si>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</si>
  <si>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</si>
  <si>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</si>
  <si>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</si>
  <si>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</si>
  <si>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</si>
  <si>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</si>
  <si>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</si>
  <si>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</si>
  <si>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</si>
  <si>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</si>
  <si>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</si>
  <si>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</si>
  <si>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</si>
  <si>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</si>
  <si>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</si>
  <si>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</si>
  <si>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</si>
  <si>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</si>
  <si>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</si>
  <si>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</si>
  <si>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</si>
  <si>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</si>
  <si>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</si>
  <si>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</si>
  <si>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</si>
  <si>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</si>
  <si>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</si>
  <si>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</si>
  <si>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</si>
  <si>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</si>
  <si>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</si>
  <si>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</si>
  <si>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</si>
  <si>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</si>
  <si>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</si>
  <si>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</si>
  <si>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</si>
  <si>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</si>
  <si>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</si>
  <si>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</si>
  <si>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</si>
  <si>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</si>
  <si>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</si>
  <si>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</si>
  <si>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</si>
  <si>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</si>
  <si>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</si>
  <si>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</si>
  <si>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</si>
  <si>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</si>
  <si>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</si>
  <si>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</si>
  <si>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</si>
  <si>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</si>
  <si>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</si>
  <si>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</si>
  <si>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</si>
  <si>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</si>
  <si>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</si>
  <si>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</si>
  <si>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</si>
  <si>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</si>
  <si>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</si>
  <si>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</si>
  <si>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</si>
  <si>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</si>
  <si>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</si>
  <si>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</si>
  <si>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</si>
  <si>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</si>
  <si>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</si>
  <si>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</si>
  <si>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</si>
  <si>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</si>
  <si>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</si>
  <si>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</si>
  <si>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</si>
  <si>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</si>
  <si>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</si>
  <si>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</si>
  <si>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</si>
  <si>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</si>
  <si>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</si>
  <si>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</si>
  <si>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</si>
  <si>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</si>
  <si>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</si>
  <si>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</si>
  <si>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</si>
  <si>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</si>
  <si>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</si>
  <si>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</si>
  <si>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</si>
  <si>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</si>
  <si>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</si>
  <si>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</si>
  <si>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</si>
  <si>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</si>
  <si>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</si>
  <si>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</si>
  <si>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</si>
  <si>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</si>
  <si>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</si>
  <si>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</si>
  <si>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</si>
  <si>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</si>
  <si>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</si>
  <si>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</si>
  <si>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</si>
  <si>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</si>
  <si>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</si>
  <si>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</si>
  <si>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</si>
  <si>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</si>
  <si>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</si>
  <si>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</si>
  <si>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</si>
  <si>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</si>
  <si>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</si>
  <si>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</si>
  <si>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</si>
  <si>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</si>
  <si>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</si>
  <si>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</si>
  <si>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</si>
  <si>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</si>
  <si>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</si>
  <si>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</si>
  <si>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</si>
  <si>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</si>
  <si>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</si>
  <si>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</si>
  <si>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</si>
  <si>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</si>
  <si>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</si>
  <si>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</si>
  <si>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</si>
  <si>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</si>
  <si>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</si>
  <si>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</si>
  <si>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</si>
  <si>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</si>
  <si>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</si>
  <si>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</si>
  <si>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</si>
  <si>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</si>
  <si>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</si>
  <si>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</si>
  <si>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</si>
  <si>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</si>
  <si>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</si>
  <si>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</si>
  <si>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</si>
  <si>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</si>
  <si>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</si>
  <si>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</si>
  <si>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</si>
  <si>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</si>
  <si>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</si>
  <si>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</si>
  <si>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</si>
  <si>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</si>
  <si>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</si>
  <si>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</si>
  <si>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</si>
  <si>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</si>
  <si>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</si>
  <si>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</si>
  <si>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</si>
  <si>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</si>
  <si>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</si>
  <si>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</si>
  <si>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</si>
  <si>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</si>
  <si>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</si>
  <si>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</si>
  <si>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</si>
  <si>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</si>
  <si>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</si>
  <si>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</si>
  <si>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</si>
  <si>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</si>
  <si>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</si>
  <si>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</si>
  <si>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</si>
  <si>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</si>
  <si>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</si>
  <si>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</si>
  <si>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</si>
  <si>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</si>
  <si>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</si>
  <si>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</si>
  <si>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</si>
  <si>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</si>
  <si>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</si>
  <si>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</si>
  <si>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</si>
  <si>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</si>
  <si>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</si>
  <si>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</si>
  <si>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</si>
  <si>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</si>
  <si>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</si>
  <si>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</si>
  <si>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</si>
  <si>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</si>
  <si>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</si>
  <si>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</si>
  <si>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</si>
  <si>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</si>
  <si>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</si>
  <si>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</si>
  <si>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</si>
  <si>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</si>
  <si>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</si>
  <si>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</si>
  <si>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</si>
  <si>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</si>
  <si>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</si>
  <si>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</si>
  <si>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</si>
  <si>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</si>
  <si>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</si>
  <si>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</si>
  <si>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</si>
  <si>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</si>
  <si>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</si>
  <si>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</si>
  <si>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</si>
  <si>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</si>
  <si>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</si>
  <si>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</si>
  <si>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</si>
  <si>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</si>
  <si>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</si>
  <si>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</si>
  <si>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</si>
  <si>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</si>
  <si>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</si>
  <si>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</si>
  <si>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</si>
  <si>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</si>
  <si>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</si>
  <si>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</si>
  <si>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</si>
  <si>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</si>
  <si>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</si>
  <si>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</si>
  <si>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</si>
  <si>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</si>
  <si>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</si>
  <si>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</si>
  <si>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</si>
  <si>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</si>
  <si>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</si>
  <si>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</si>
  <si>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</si>
  <si>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</si>
  <si>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</si>
  <si>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</si>
  <si>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</si>
  <si>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</si>
  <si>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</si>
  <si>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</si>
  <si>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</si>
  <si>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</si>
  <si>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</si>
  <si>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</si>
  <si>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</si>
  <si>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</si>
  <si>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</si>
  <si>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</si>
  <si>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</si>
  <si>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</si>
  <si>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</si>
  <si>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</si>
  <si>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</si>
  <si>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</si>
  <si>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</si>
  <si>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</si>
  <si>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</si>
  <si>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</si>
  <si>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</si>
  <si>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</si>
  <si>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</si>
  <si>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</si>
  <si>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</si>
  <si>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</si>
  <si>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</si>
  <si>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</si>
  <si>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</si>
  <si>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</si>
  <si>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</si>
  <si>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</si>
  <si>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</si>
  <si>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</si>
  <si>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</si>
  <si>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</si>
  <si>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</si>
  <si>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</si>
  <si>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</si>
  <si>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</si>
  <si>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</si>
  <si>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</si>
  <si>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</si>
  <si>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</si>
  <si>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</si>
  <si>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</si>
  <si>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</si>
  <si>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</si>
  <si>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</si>
  <si>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</si>
  <si>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</si>
  <si>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</si>
  <si>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</si>
  <si>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</si>
  <si>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</si>
  <si>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</si>
  <si>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</si>
  <si>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</si>
  <si>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</si>
  <si>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</si>
  <si>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</si>
  <si>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</si>
  <si>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</si>
  <si>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</si>
  <si>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</si>
  <si>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</si>
  <si>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</si>
  <si>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</si>
  <si>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</si>
  <si>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</si>
  <si>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</si>
  <si>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</si>
  <si>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</si>
  <si>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</si>
  <si>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</si>
  <si>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</si>
  <si>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</si>
  <si>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</si>
  <si>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</si>
  <si>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</si>
  <si>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</si>
  <si>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</si>
  <si>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</si>
  <si>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</si>
  <si>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</si>
  <si>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</si>
  <si>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</si>
  <si>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</si>
  <si>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</si>
  <si>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</si>
  <si>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</si>
  <si>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</si>
  <si>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</si>
  <si>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</si>
  <si>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</si>
  <si>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</si>
  <si>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</si>
  <si>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</si>
  <si>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</si>
  <si>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</si>
  <si>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</si>
  <si>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</si>
  <si>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</si>
  <si>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</si>
  <si>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</si>
  <si>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</si>
  <si>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</si>
  <si>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</si>
  <si>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</si>
  <si>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</si>
  <si>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</si>
  <si>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</si>
  <si>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</si>
  <si>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</si>
  <si>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</si>
  <si>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</si>
  <si>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</si>
  <si>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</si>
  <si>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</si>
  <si>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</si>
  <si>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</si>
  <si>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</si>
  <si>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</si>
  <si>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</si>
  <si>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</si>
  <si>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</si>
  <si>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</si>
  <si>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</si>
  <si>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</si>
  <si>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</si>
  <si>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</si>
  <si>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</si>
  <si>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</si>
  <si>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</si>
  <si>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</si>
  <si>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</si>
  <si>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</si>
  <si>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</si>
  <si>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</si>
  <si>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</si>
  <si>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</si>
  <si>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</si>
  <si>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</si>
  <si>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</si>
  <si>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</si>
  <si>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</si>
  <si>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</si>
  <si>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</si>
  <si>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</si>
  <si>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</si>
  <si>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</si>
  <si>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</si>
  <si>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</si>
  <si>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</si>
  <si>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</si>
  <si>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</si>
  <si>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</si>
  <si>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</si>
  <si>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</si>
  <si>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</si>
  <si>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</si>
  <si>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</si>
  <si>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</si>
  <si>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</si>
  <si>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</si>
  <si>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</si>
  <si>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</si>
  <si>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</si>
  <si>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</si>
  <si>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</si>
  <si>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</si>
  <si>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</si>
  <si>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</si>
  <si>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</si>
  <si>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</si>
  <si>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</si>
  <si>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</si>
  <si>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</si>
  <si>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</si>
  <si>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</si>
  <si>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</si>
  <si>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</si>
  <si>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</si>
  <si>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</si>
  <si>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</si>
  <si>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</si>
  <si>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</si>
  <si>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</si>
  <si>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</si>
  <si>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</si>
  <si>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</si>
  <si>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</si>
  <si>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</si>
  <si>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</si>
  <si>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</si>
  <si>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</si>
  <si>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</si>
  <si>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</si>
  <si>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</si>
  <si>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</si>
  <si>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</si>
  <si>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</si>
  <si>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</si>
  <si>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</si>
  <si>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</si>
  <si>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</si>
  <si>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</si>
  <si>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</si>
  <si>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</si>
  <si>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</si>
  <si>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</si>
  <si>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</si>
  <si>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</si>
  <si>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</si>
  <si>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</si>
  <si>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</si>
  <si>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</si>
  <si>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</si>
  <si>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</si>
  <si>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</si>
  <si>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</si>
  <si>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</si>
  <si>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</si>
  <si>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</si>
  <si>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</si>
  <si>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</si>
  <si>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</si>
  <si>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</si>
  <si>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</si>
  <si>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</si>
  <si>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</si>
  <si>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</si>
  <si>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</si>
  <si>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</si>
  <si>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</si>
  <si>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</si>
  <si>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</si>
  <si>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</si>
  <si>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</si>
  <si>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</si>
  <si>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</si>
  <si>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</si>
  <si>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</si>
  <si>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</si>
  <si>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</si>
  <si>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</si>
  <si>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</si>
  <si>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</si>
  <si>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</si>
  <si>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</si>
  <si>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</si>
  <si>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</si>
  <si>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</si>
  <si>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</si>
  <si>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</si>
  <si>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</si>
  <si>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</si>
  <si>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</si>
  <si>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</si>
  <si>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</si>
  <si>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</si>
  <si>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</si>
  <si>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</si>
  <si>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</si>
  <si>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</si>
  <si>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</si>
  <si>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</si>
  <si>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</si>
  <si>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</si>
  <si>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</si>
  <si>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</si>
  <si>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</si>
  <si>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</si>
  <si>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</si>
  <si>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</si>
  <si>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</si>
  <si>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</si>
  <si>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</si>
  <si>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</si>
  <si>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</si>
  <si>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</si>
  <si>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</si>
  <si>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</si>
  <si>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</si>
  <si>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</si>
  <si>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</si>
  <si>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</si>
  <si>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</si>
  <si>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</si>
  <si>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</si>
  <si>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</si>
  <si>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</si>
  <si>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</si>
  <si>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</si>
  <si>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</si>
  <si>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</si>
  <si>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</si>
  <si>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</si>
  <si>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</si>
  <si>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</si>
  <si>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</si>
  <si>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</si>
  <si>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</si>
  <si>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</si>
  <si>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</si>
  <si>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</si>
  <si>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</si>
  <si>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</si>
  <si>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</si>
  <si>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</si>
  <si>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</si>
  <si>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</si>
  <si>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</si>
  <si>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</si>
  <si>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</si>
  <si>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</si>
  <si>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</si>
  <si>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</si>
  <si>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</si>
  <si>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</si>
  <si>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</si>
  <si>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</si>
  <si>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</si>
  <si>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</si>
  <si>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</si>
  <si>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</si>
  <si>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</si>
  <si>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</si>
  <si>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</si>
  <si>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</si>
  <si>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</si>
  <si>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</si>
  <si>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</si>
  <si>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</si>
  <si>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</si>
  <si>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</si>
  <si>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</si>
  <si>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</si>
  <si>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</si>
  <si>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</si>
  <si>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</si>
  <si>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</si>
  <si>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</si>
  <si>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</si>
  <si>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</si>
  <si>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</si>
  <si>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</si>
  <si>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</si>
  <si>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</si>
  <si>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</si>
  <si>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</si>
  <si>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</si>
  <si>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</si>
  <si>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</si>
  <si>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</si>
  <si>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</si>
  <si>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</si>
  <si>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</si>
  <si>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</si>
  <si>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</si>
  <si>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</si>
  <si>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</si>
  <si>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</si>
  <si>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</si>
  <si>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</si>
  <si>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</si>
  <si>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</si>
  <si>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</si>
  <si>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</si>
  <si>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</si>
  <si>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</si>
  <si>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</si>
  <si>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</si>
  <si>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</si>
  <si>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</si>
  <si>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</si>
  <si>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</si>
  <si>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</si>
  <si>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</si>
  <si>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</si>
  <si>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</si>
  <si>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</si>
  <si>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</si>
  <si>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</si>
  <si>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</si>
  <si>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</si>
  <si>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</si>
  <si>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</si>
  <si>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</si>
  <si>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</si>
  <si>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</si>
  <si>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</si>
  <si>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</si>
  <si>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</si>
  <si>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</si>
  <si>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</si>
  <si>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</si>
  <si>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</si>
  <si>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</si>
  <si>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</si>
  <si>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</si>
  <si>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</si>
  <si>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</si>
  <si>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</si>
  <si>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</si>
  <si>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</si>
  <si>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</si>
  <si>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</si>
  <si>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</si>
  <si>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</si>
  <si>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</si>
  <si>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</si>
  <si>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</si>
  <si>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</si>
  <si>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</si>
  <si>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</si>
  <si>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</si>
  <si>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</si>
  <si>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</si>
  <si>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</si>
  <si>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</si>
  <si>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</si>
  <si>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</si>
  <si>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</si>
  <si>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</si>
  <si>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</si>
  <si>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</si>
  <si>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</si>
  <si>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</si>
  <si>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</si>
  <si>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</si>
  <si>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</si>
  <si>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</si>
  <si>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</si>
  <si>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</si>
  <si>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</si>
  <si>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</si>
  <si>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</si>
  <si>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</si>
  <si>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</si>
  <si>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</si>
  <si>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</si>
  <si>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</si>
  <si>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</si>
  <si>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</si>
  <si>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</si>
  <si>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</si>
  <si>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</si>
  <si>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</si>
  <si>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</si>
  <si>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</si>
  <si>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</si>
  <si>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</si>
  <si>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</si>
  <si>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</si>
  <si>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</si>
  <si>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</si>
  <si>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</si>
  <si>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</si>
  <si>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</si>
  <si>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</si>
  <si>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</si>
  <si>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</si>
  <si>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</si>
  <si>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</si>
  <si>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</si>
  <si>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</si>
  <si>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</si>
  <si>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</si>
  <si>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</si>
  <si>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</si>
  <si>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</si>
  <si>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</si>
  <si>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</si>
  <si>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</si>
  <si>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</si>
  <si>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</si>
  <si>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</si>
  <si>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</si>
  <si>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</si>
  <si>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</si>
  <si>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</si>
  <si>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</si>
  <si>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</si>
  <si>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</si>
  <si>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</si>
  <si>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</si>
  <si>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</si>
  <si>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</si>
  <si>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</si>
  <si>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</si>
  <si>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</si>
  <si>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</si>
  <si>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</si>
  <si>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</si>
  <si>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</si>
  <si>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</si>
  <si>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</si>
  <si>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</si>
  <si>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</si>
  <si>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</si>
  <si>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</si>
  <si>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</si>
  <si>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</si>
  <si>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</si>
  <si>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</si>
  <si>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</si>
  <si>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</si>
  <si>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</si>
  <si>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</si>
  <si>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</si>
  <si>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</si>
  <si>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</si>
  <si>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</si>
  <si>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</si>
  <si>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</si>
  <si>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</si>
  <si>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</si>
  <si>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</si>
  <si>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</si>
  <si>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</si>
  <si>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</si>
  <si>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</si>
  <si>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</si>
  <si>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</si>
  <si>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</si>
  <si>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</si>
  <si>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</si>
  <si>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</si>
  <si>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</si>
  <si>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</si>
  <si>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</si>
  <si>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</si>
  <si>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</si>
  <si>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</si>
  <si>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</si>
  <si>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</si>
  <si>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</si>
  <si>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</si>
  <si>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</si>
  <si>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</si>
  <si>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</si>
  <si>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</si>
  <si>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</si>
  <si>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</si>
  <si>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</si>
  <si>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</si>
  <si>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</si>
  <si>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</si>
  <si>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</si>
  <si>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</si>
  <si>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</si>
  <si>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</si>
  <si>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</si>
  <si>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</si>
  <si>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</si>
  <si>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</si>
  <si>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</si>
  <si>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</si>
  <si>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</si>
  <si>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</si>
  <si>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</si>
  <si>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</si>
  <si>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</si>
  <si>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</si>
  <si>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</si>
  <si>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</si>
  <si>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</si>
  <si>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</si>
  <si>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</si>
  <si>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</si>
  <si>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</si>
  <si>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</si>
  <si>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</si>
  <si>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</si>
  <si>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</si>
  <si>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</si>
  <si>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</si>
  <si>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</si>
  <si>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</si>
  <si>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</si>
  <si>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</si>
  <si>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</si>
  <si>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</si>
  <si>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</si>
  <si>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</si>
  <si>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</si>
  <si>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</si>
  <si>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</si>
  <si>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</si>
  <si>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</si>
  <si>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</si>
  <si>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</si>
  <si>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</si>
  <si>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</si>
  <si>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</si>
  <si>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</si>
  <si>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</si>
  <si>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</si>
  <si>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</si>
  <si>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</si>
  <si>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</si>
  <si>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</si>
  <si>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</si>
  <si>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</si>
  <si>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</si>
  <si>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</si>
  <si>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</si>
  <si>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</si>
  <si>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</si>
  <si>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</si>
  <si>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</si>
  <si>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</si>
  <si>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</si>
  <si>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</si>
  <si>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</si>
  <si>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</si>
  <si>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</si>
  <si>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</si>
  <si>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</si>
  <si>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</si>
  <si>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</si>
  <si>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</si>
  <si>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</si>
  <si>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</si>
  <si>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</si>
  <si>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</si>
  <si>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</si>
  <si>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</si>
  <si>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</si>
  <si>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</si>
  <si>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</si>
  <si>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</si>
  <si>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</si>
  <si>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</si>
  <si>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</si>
  <si>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</si>
  <si>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</si>
  <si>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</si>
  <si>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</si>
  <si>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</si>
  <si>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</si>
  <si>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</si>
  <si>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</si>
  <si>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</si>
  <si>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</si>
  <si>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</si>
  <si>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</si>
  <si>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</si>
  <si>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</si>
  <si>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</si>
  <si>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</si>
  <si>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</si>
  <si>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</si>
  <si>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</si>
  <si>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</si>
  <si>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</si>
  <si>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</si>
  <si>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</si>
  <si>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</si>
  <si>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</si>
  <si>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</si>
  <si>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</si>
  <si>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</si>
  <si>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</si>
  <si>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</si>
  <si>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</si>
  <si>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</si>
  <si>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</si>
  <si>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</si>
  <si>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</si>
  <si>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</si>
  <si>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</si>
  <si>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</si>
  <si>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</si>
  <si>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</si>
  <si>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</si>
  <si>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</si>
  <si>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</si>
  <si>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</si>
  <si>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</si>
  <si>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</si>
  <si>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</si>
  <si>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</si>
  <si>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</si>
  <si>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</si>
  <si>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</si>
  <si>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</si>
  <si>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</si>
  <si>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</si>
  <si>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</si>
  <si>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</si>
  <si>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</si>
  <si>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</si>
  <si>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</si>
  <si>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</si>
  <si>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</si>
  <si>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</si>
  <si>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</si>
  <si>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</si>
  <si>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</si>
  <si>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</si>
  <si>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</si>
  <si>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</si>
  <si>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</si>
  <si>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</si>
  <si>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</si>
  <si>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</si>
  <si>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</si>
  <si>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</si>
  <si>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</si>
  <si>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</si>
  <si>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</si>
  <si>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</si>
  <si>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</si>
  <si>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</si>
  <si>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</si>
  <si>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</si>
  <si>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</si>
  <si>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</si>
  <si>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</si>
  <si>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</si>
  <si>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</si>
  <si>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</si>
  <si>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</si>
  <si>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</si>
  <si>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</si>
  <si>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</si>
  <si>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</si>
  <si>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</si>
  <si>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</si>
  <si>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</si>
  <si>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</si>
  <si>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</si>
  <si>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</si>
  <si>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</si>
  <si>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</si>
  <si>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</si>
  <si>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</si>
  <si>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</si>
  <si>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</si>
  <si>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</si>
  <si>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</si>
  <si>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</si>
  <si>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</si>
  <si>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</si>
  <si>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</si>
  <si>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</si>
  <si>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</si>
  <si>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</si>
  <si>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</si>
  <si>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</si>
  <si>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</si>
  <si>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</si>
  <si>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</si>
  <si>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</si>
  <si>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</si>
  <si>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</si>
  <si>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</si>
  <si>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</si>
  <si>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</si>
  <si>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</si>
  <si>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</si>
  <si>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</si>
  <si>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</si>
  <si>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</si>
  <si>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</si>
  <si>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</si>
  <si>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</si>
  <si>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</si>
  <si>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</si>
  <si>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</si>
  <si>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</si>
  <si>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</si>
  <si>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</si>
  <si>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</si>
  <si>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</si>
  <si>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</si>
  <si>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</si>
  <si>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</si>
  <si>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</si>
  <si>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</si>
  <si>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</si>
  <si>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</si>
  <si>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</si>
  <si>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</si>
  <si>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</si>
  <si>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</si>
  <si>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</si>
  <si>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</si>
  <si>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</si>
  <si>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</si>
  <si>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</si>
  <si>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</si>
  <si>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</si>
  <si>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</si>
  <si>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</si>
  <si>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</si>
  <si>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</si>
  <si>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</si>
  <si>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</si>
  <si>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</si>
  <si>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</si>
  <si>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</si>
  <si>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</si>
  <si>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</si>
  <si>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</si>
  <si>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</si>
  <si>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</si>
  <si>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</si>
  <si>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</si>
  <si>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</si>
  <si>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</si>
  <si>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</si>
  <si>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</si>
  <si>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</si>
  <si>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</si>
  <si>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</si>
  <si>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</si>
  <si>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</si>
  <si>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</si>
  <si>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</si>
  <si>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</si>
  <si>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</si>
  <si>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</si>
  <si>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</si>
  <si>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</si>
  <si>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</si>
  <si>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</si>
  <si>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</si>
  <si>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</si>
  <si>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</si>
  <si>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</si>
  <si>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</si>
  <si>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</si>
  <si>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</si>
  <si>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</si>
  <si>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</si>
  <si>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</si>
  <si>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</si>
  <si>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</si>
  <si>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</si>
  <si>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</si>
  <si>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</si>
  <si>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</si>
  <si>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</si>
  <si>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</si>
  <si>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</si>
  <si>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</si>
  <si>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</si>
  <si>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</si>
  <si>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</si>
  <si>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</si>
  <si>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</si>
  <si>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</si>
  <si>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</si>
  <si>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</si>
  <si>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</si>
  <si>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</si>
  <si>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</si>
  <si>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</si>
  <si>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</si>
  <si>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</si>
  <si>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</si>
  <si>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</si>
  <si>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</si>
  <si>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</si>
  <si>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</si>
  <si>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</si>
  <si>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</si>
  <si>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</si>
  <si>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</si>
  <si>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</si>
  <si>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</si>
  <si>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</si>
  <si>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</si>
  <si>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</si>
  <si>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</si>
  <si>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</si>
  <si>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</si>
  <si>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</si>
  <si>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</si>
  <si>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</si>
  <si>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</si>
  <si>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</si>
  <si>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</si>
  <si>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</si>
  <si>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</si>
  <si>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</si>
  <si>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</si>
  <si>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</si>
  <si>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</si>
  <si>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</si>
  <si>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</si>
  <si>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</si>
  <si>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</si>
  <si>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</si>
  <si>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</si>
  <si>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</si>
  <si>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</si>
  <si>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</si>
  <si>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</si>
  <si>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</si>
  <si>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</si>
  <si>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</si>
  <si>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</si>
  <si>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</si>
  <si>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</si>
  <si>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</si>
  <si>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</si>
  <si>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</si>
  <si>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</si>
  <si>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</si>
  <si>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</si>
  <si>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</si>
  <si>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</si>
  <si>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</si>
  <si>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</si>
  <si>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</si>
  <si>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</si>
  <si>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</si>
  <si>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</si>
  <si>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</si>
  <si>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</si>
  <si>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</si>
  <si>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</si>
  <si>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</si>
  <si>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</si>
  <si>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</si>
  <si>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</si>
  <si>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</si>
  <si>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</si>
  <si>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</si>
  <si>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</si>
  <si>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</si>
  <si>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</si>
  <si>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</si>
  <si>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</si>
  <si>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</si>
  <si>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</si>
  <si>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</si>
  <si>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</si>
  <si>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</si>
  <si>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</si>
  <si>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</si>
  <si>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</si>
  <si>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</si>
  <si>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</si>
  <si>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</si>
  <si>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</si>
  <si>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</si>
  <si>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</si>
  <si>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</si>
  <si>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</si>
  <si>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</si>
  <si>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</si>
  <si>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</si>
  <si>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</si>
  <si>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</si>
  <si>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</si>
  <si>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</si>
  <si>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</si>
  <si>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</si>
  <si>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</si>
  <si>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</si>
  <si>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</si>
  <si>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</si>
  <si>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</si>
  <si>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</si>
  <si>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</si>
  <si>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</si>
  <si>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</si>
  <si>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</si>
  <si>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</si>
  <si>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</si>
  <si>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</si>
  <si>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</si>
  <si>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</si>
  <si>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</si>
  <si>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</si>
  <si>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</si>
  <si>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</si>
  <si>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</si>
  <si>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</si>
  <si>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</si>
  <si>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</si>
  <si>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</si>
  <si>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</si>
  <si>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</si>
  <si>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</si>
  <si>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</si>
  <si>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</si>
  <si>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</si>
  <si>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</si>
  <si>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</si>
  <si>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</si>
  <si>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</si>
  <si>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</si>
  <si>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</si>
  <si>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</si>
  <si>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</si>
  <si>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</si>
  <si>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</si>
  <si>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</si>
  <si>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</si>
  <si>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</si>
  <si>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</si>
  <si>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</si>
  <si>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</si>
  <si>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</si>
  <si>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</si>
  <si>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</si>
  <si>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</si>
  <si>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</si>
  <si>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</si>
  <si>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</si>
  <si>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</si>
  <si>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</si>
  <si>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</si>
  <si>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</si>
  <si>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</si>
  <si>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</si>
  <si>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</si>
  <si>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</si>
  <si>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</si>
  <si>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</si>
  <si>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</si>
  <si>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</si>
  <si>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</si>
  <si>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</si>
  <si>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</si>
  <si>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</si>
  <si>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</si>
  <si>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</si>
  <si>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</si>
  <si>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</si>
  <si>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</si>
  <si>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</si>
  <si>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</si>
  <si>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</si>
  <si>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</si>
  <si>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</si>
  <si>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</si>
  <si>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</si>
  <si>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</si>
  <si>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</si>
  <si>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</si>
  <si>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</si>
  <si>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</si>
  <si>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</si>
  <si>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</si>
  <si>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</si>
  <si>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</si>
  <si>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</si>
  <si>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</si>
  <si>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</si>
  <si>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</si>
  <si>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</si>
  <si>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</si>
  <si>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</si>
  <si>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</si>
  <si>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</si>
  <si>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</si>
  <si>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</si>
  <si>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</si>
  <si>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</si>
  <si>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</si>
  <si>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</si>
  <si>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</si>
  <si>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</si>
  <si>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</si>
  <si>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</si>
  <si>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</si>
  <si>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</si>
  <si>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</si>
  <si>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</si>
  <si>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</si>
  <si>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</si>
  <si>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</si>
  <si>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</si>
  <si>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</si>
  <si>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</si>
  <si>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</si>
  <si>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</si>
  <si>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</si>
  <si>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</si>
  <si>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</si>
  <si>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</si>
  <si>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</si>
  <si>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</si>
  <si>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</si>
  <si>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</si>
  <si>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</si>
  <si>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</si>
  <si>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</si>
  <si>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</si>
  <si>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</si>
  <si>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</si>
  <si>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</si>
  <si>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</si>
  <si>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</si>
  <si>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</si>
  <si>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</si>
  <si>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</si>
  <si>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</si>
  <si>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</si>
  <si>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</si>
  <si>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</si>
  <si>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</si>
  <si>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</si>
  <si>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</si>
  <si>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</si>
  <si>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</si>
  <si>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</si>
  <si>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</si>
  <si>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</si>
  <si>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</si>
  <si>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</si>
  <si>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</si>
  <si>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</si>
  <si>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</si>
  <si>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</si>
  <si>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</si>
  <si>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</si>
  <si>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</si>
  <si>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</si>
  <si>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</si>
  <si>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</si>
  <si>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</si>
  <si>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</si>
  <si>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</si>
  <si>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</si>
  <si>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</si>
  <si>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</si>
  <si>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</si>
  <si>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</si>
  <si>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</si>
  <si>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</si>
  <si>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</si>
  <si>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</si>
  <si>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</si>
  <si>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</si>
  <si>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</si>
  <si>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</si>
  <si>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</si>
  <si>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</si>
  <si>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</si>
  <si>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</si>
  <si>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</si>
  <si>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</si>
  <si>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</si>
  <si>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</si>
  <si>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</si>
  <si>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</si>
  <si>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</si>
  <si>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</si>
  <si>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</si>
  <si>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</si>
  <si>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</si>
  <si>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</si>
  <si>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</si>
  <si>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</si>
  <si>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</si>
  <si>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</si>
  <si>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</si>
  <si>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</si>
  <si>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</si>
  <si>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</si>
  <si>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</si>
  <si>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</si>
  <si>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</si>
  <si>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</si>
  <si>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</si>
  <si>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</si>
  <si>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</si>
  <si>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</si>
  <si>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</si>
  <si>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</si>
  <si>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</si>
  <si>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</si>
  <si>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</si>
  <si>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</si>
  <si>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</si>
  <si>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</si>
  <si>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</si>
  <si>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</si>
  <si>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</si>
  <si>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</si>
  <si>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</si>
  <si>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</si>
  <si>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</si>
  <si>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</si>
  <si>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</si>
  <si>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</si>
  <si>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</si>
  <si>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</si>
  <si>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</si>
  <si>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</si>
  <si>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</si>
  <si>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</si>
  <si>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</si>
  <si>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</si>
  <si>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</si>
  <si>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</si>
  <si>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</si>
  <si>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</si>
  <si>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</si>
  <si>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</si>
  <si>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</si>
  <si>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</si>
  <si>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</si>
  <si>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</si>
  <si>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</si>
  <si>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</si>
  <si>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</si>
  <si>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</si>
  <si>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</si>
  <si>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</si>
  <si>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</si>
  <si>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</si>
  <si>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</si>
  <si>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</si>
  <si>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</si>
  <si>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</si>
  <si>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</si>
  <si>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</si>
  <si>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</si>
  <si>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</si>
  <si>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</si>
  <si>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</si>
  <si>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</si>
  <si>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</si>
  <si>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</si>
  <si>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</si>
  <si>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</si>
  <si>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</si>
  <si>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</si>
  <si>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</si>
  <si>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</si>
  <si>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</si>
  <si>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</si>
  <si>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</si>
  <si>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</si>
  <si>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</si>
  <si>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</si>
  <si>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</si>
  <si>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</si>
  <si>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</si>
  <si>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</si>
  <si>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</si>
  <si>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</si>
  <si>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</si>
  <si>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</si>
  <si>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</si>
  <si>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</si>
  <si>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</si>
  <si>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</si>
  <si>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</si>
  <si>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</si>
  <si>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</si>
  <si>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</si>
  <si>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</si>
  <si>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</si>
  <si>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</si>
  <si>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</si>
  <si>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</si>
  <si>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</si>
  <si>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</si>
  <si>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</si>
  <si>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</si>
  <si>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</si>
  <si>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</si>
  <si>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</si>
  <si>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</si>
  <si>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</si>
  <si>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</si>
  <si>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</si>
  <si>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</si>
  <si>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</si>
  <si>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</si>
  <si>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</si>
  <si>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</si>
  <si>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</si>
  <si>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</si>
  <si>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</si>
  <si>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</si>
  <si>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</si>
  <si>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</si>
  <si>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</si>
  <si>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</si>
  <si>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</si>
  <si>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</si>
  <si>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</si>
  <si>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</si>
  <si>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</si>
  <si>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</si>
  <si>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</si>
  <si>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</si>
  <si>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</si>
  <si>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</si>
  <si>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</si>
  <si>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</si>
  <si>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</si>
  <si>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</si>
  <si>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</si>
  <si>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</si>
  <si>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</si>
  <si>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</si>
  <si>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</si>
  <si>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</si>
  <si>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</si>
  <si>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</si>
  <si>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</si>
  <si>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</si>
  <si>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</si>
  <si>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</si>
  <si>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</si>
  <si>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</si>
  <si>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</si>
  <si>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吴薇</t>
  </si>
  <si>
    <t>郑燚</t>
  </si>
  <si>
    <t>北京市</t>
  </si>
  <si>
    <t>企业</t>
  </si>
  <si>
    <r>
      <rPr>
        <sz val="10"/>
        <color theme="9" tint="-0.249977111117893"/>
        <rFont val="宋体"/>
        <family val="3"/>
        <charset val="134"/>
      </rPr>
      <t>石景山区古城西路</t>
    </r>
    <r>
      <rPr>
        <sz val="10"/>
        <color theme="9" tint="-0.249977111117893"/>
        <rFont val="Arial"/>
        <family val="2"/>
      </rPr>
      <t>66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phoneticPr fontId="6" type="noConversion"/>
  </si>
  <si>
    <t>否</t>
  </si>
  <si>
    <t>北京潇湘之旭商业管理有限公司</t>
    <phoneticPr fontId="6" type="noConversion"/>
  </si>
  <si>
    <t>华茗控股集团有限公司</t>
    <phoneticPr fontId="6" type="noConversion"/>
  </si>
  <si>
    <t>商业项目</t>
  </si>
  <si>
    <t>现房</t>
  </si>
  <si>
    <t>是</t>
  </si>
  <si>
    <t>地上</t>
  </si>
  <si>
    <t>成新度</t>
  </si>
  <si>
    <t>古城街道</t>
    <phoneticPr fontId="3" type="noConversion"/>
  </si>
  <si>
    <t>竣工时间</t>
    <phoneticPr fontId="3" type="noConversion"/>
  </si>
  <si>
    <t>证载</t>
    <phoneticPr fontId="3" type="noConversion"/>
  </si>
  <si>
    <t>直线</t>
    <phoneticPr fontId="3" type="noConversion"/>
  </si>
  <si>
    <t>观察</t>
    <phoneticPr fontId="3" type="noConversion"/>
  </si>
  <si>
    <t>收益法 (元)</t>
  </si>
  <si>
    <t>单套模式</t>
  </si>
  <si>
    <t>售价</t>
  </si>
  <si>
    <t>成交周期(天)</t>
  </si>
  <si>
    <t>楼栋号</t>
  </si>
  <si>
    <t>单元号</t>
  </si>
  <si>
    <t>总楼层</t>
  </si>
  <si>
    <t>楼层号</t>
  </si>
  <si>
    <t>房间号</t>
  </si>
  <si>
    <t>许可证号</t>
  </si>
  <si>
    <t>物业类型</t>
  </si>
  <si>
    <t>户型</t>
  </si>
  <si>
    <t>成交面积(㎡)</t>
  </si>
  <si>
    <t>成交金额(万元)</t>
  </si>
  <si>
    <t>成交单价(元/㎡)</t>
  </si>
  <si>
    <t>离小区出入口</t>
    <phoneticPr fontId="134" type="noConversion"/>
  </si>
  <si>
    <t/>
  </si>
  <si>
    <t>1号楼</t>
  </si>
  <si>
    <t>现：X京房权证石字第106468号</t>
  </si>
  <si>
    <t>其他</t>
  </si>
  <si>
    <r>
      <t>1层面积占比</t>
    </r>
    <r>
      <rPr>
        <sz val="11"/>
        <color theme="1"/>
        <rFont val="宋体"/>
        <family val="3"/>
        <charset val="134"/>
        <scheme val="minor"/>
      </rPr>
      <t>63%</t>
    </r>
    <phoneticPr fontId="134" type="noConversion"/>
  </si>
  <si>
    <t>现：X京房权证石字第123448号</t>
  </si>
  <si>
    <t>3号楼</t>
  </si>
  <si>
    <t>现：X京房权证石字第107603号</t>
  </si>
  <si>
    <t>远</t>
    <phoneticPr fontId="134" type="noConversion"/>
  </si>
  <si>
    <t>近</t>
    <phoneticPr fontId="134" type="noConversion"/>
  </si>
  <si>
    <t>绿色为估价对象</t>
    <phoneticPr fontId="134" type="noConversion"/>
  </si>
  <si>
    <t>总价</t>
    <phoneticPr fontId="134" type="noConversion"/>
  </si>
  <si>
    <t>3号楼105</t>
    <phoneticPr fontId="134" type="noConversion"/>
  </si>
  <si>
    <r>
      <t>1号楼</t>
    </r>
    <r>
      <rPr>
        <sz val="11"/>
        <color theme="1"/>
        <rFont val="宋体"/>
        <family val="3"/>
        <charset val="134"/>
        <scheme val="minor"/>
      </rPr>
      <t>103</t>
    </r>
    <phoneticPr fontId="134" type="noConversion"/>
  </si>
  <si>
    <t>占比</t>
    <phoneticPr fontId="134" type="noConversion"/>
  </si>
  <si>
    <t>1层面积</t>
    <phoneticPr fontId="134" type="noConversion"/>
  </si>
  <si>
    <t>2层面积</t>
    <phoneticPr fontId="134" type="noConversion"/>
  </si>
  <si>
    <t>房本面积</t>
    <phoneticPr fontId="134" type="noConversion"/>
  </si>
  <si>
    <r>
      <t>F</t>
    </r>
    <r>
      <rPr>
        <sz val="11"/>
        <color theme="1"/>
        <rFont val="宋体"/>
        <family val="3"/>
        <charset val="134"/>
        <scheme val="minor"/>
      </rPr>
      <t>01</t>
    </r>
    <phoneticPr fontId="134" type="noConversion"/>
  </si>
  <si>
    <r>
      <t>F</t>
    </r>
    <r>
      <rPr>
        <sz val="11"/>
        <color theme="1"/>
        <rFont val="宋体"/>
        <family val="3"/>
        <charset val="134"/>
        <scheme val="minor"/>
      </rPr>
      <t>02</t>
    </r>
    <phoneticPr fontId="134" type="noConversion"/>
  </si>
  <si>
    <r>
      <t>F</t>
    </r>
    <r>
      <rPr>
        <sz val="11"/>
        <color theme="1"/>
        <rFont val="宋体"/>
        <family val="3"/>
        <charset val="134"/>
        <scheme val="minor"/>
      </rPr>
      <t>03</t>
    </r>
    <phoneticPr fontId="134" type="noConversion"/>
  </si>
  <si>
    <r>
      <t>F</t>
    </r>
    <r>
      <rPr>
        <sz val="11"/>
        <color theme="1"/>
        <rFont val="宋体"/>
        <family val="3"/>
        <charset val="134"/>
        <scheme val="minor"/>
      </rPr>
      <t>04</t>
    </r>
    <phoneticPr fontId="134" type="noConversion"/>
  </si>
  <si>
    <t>F04</t>
    <phoneticPr fontId="134" type="noConversion"/>
  </si>
  <si>
    <t>换估价对象，舍弃</t>
    <phoneticPr fontId="134" type="noConversion"/>
  </si>
  <si>
    <t>押一</t>
  </si>
  <si>
    <t>钢混</t>
  </si>
  <si>
    <t>非生产用房</t>
  </si>
  <si>
    <t>房号</t>
    <phoneticPr fontId="134" type="noConversion"/>
  </si>
  <si>
    <t>所在层数</t>
    <phoneticPr fontId="134" type="noConversion"/>
  </si>
  <si>
    <t>1层</t>
    <phoneticPr fontId="134" type="noConversion"/>
  </si>
  <si>
    <t>租约整理</t>
    <phoneticPr fontId="3" type="noConversion"/>
  </si>
  <si>
    <t>房号</t>
    <phoneticPr fontId="3" type="noConversion"/>
  </si>
  <si>
    <t>已出租面积</t>
    <phoneticPr fontId="3" type="noConversion"/>
  </si>
  <si>
    <t>所在层数</t>
    <phoneticPr fontId="3" type="noConversion"/>
  </si>
  <si>
    <t>租约内平均租金</t>
    <phoneticPr fontId="3" type="noConversion"/>
  </si>
  <si>
    <t>含税日租金</t>
    <phoneticPr fontId="3" type="noConversion"/>
  </si>
  <si>
    <t>1层</t>
    <phoneticPr fontId="3" type="noConversion"/>
  </si>
  <si>
    <t>66-1-102-01</t>
    <phoneticPr fontId="3" type="noConversion"/>
  </si>
  <si>
    <t>1层</t>
    <phoneticPr fontId="3" type="noConversion"/>
  </si>
  <si>
    <t>承租方</t>
    <phoneticPr fontId="3" type="noConversion"/>
  </si>
  <si>
    <t>租赁期限</t>
    <phoneticPr fontId="3" type="noConversion"/>
  </si>
  <si>
    <t>免租期</t>
    <phoneticPr fontId="3" type="noConversion"/>
  </si>
  <si>
    <t>免租期天数</t>
    <phoneticPr fontId="3" type="noConversion"/>
  </si>
  <si>
    <t>租赁保证金</t>
    <phoneticPr fontId="3" type="noConversion"/>
  </si>
  <si>
    <t>租赁总天数</t>
    <phoneticPr fontId="3" type="noConversion"/>
  </si>
  <si>
    <t>税费</t>
    <phoneticPr fontId="3" type="noConversion"/>
  </si>
  <si>
    <t>68-3-102-02</t>
    <phoneticPr fontId="3" type="noConversion"/>
  </si>
  <si>
    <t>刘玉辉</t>
    <phoneticPr fontId="3" type="noConversion"/>
  </si>
  <si>
    <t>押一付三</t>
    <phoneticPr fontId="3" type="noConversion"/>
  </si>
  <si>
    <t>租金不含税</t>
    <phoneticPr fontId="3" type="noConversion"/>
  </si>
  <si>
    <t>本期租金支付日</t>
    <phoneticPr fontId="3" type="noConversion"/>
  </si>
  <si>
    <t>起始日期</t>
    <phoneticPr fontId="3" type="noConversion"/>
  </si>
  <si>
    <t>截止日期</t>
    <phoneticPr fontId="3" type="noConversion"/>
  </si>
  <si>
    <t>单价（元/平方米/天）</t>
    <phoneticPr fontId="3" type="noConversion"/>
  </si>
  <si>
    <t>本期租金金额</t>
    <phoneticPr fontId="3" type="noConversion"/>
  </si>
  <si>
    <r>
      <t>每两年递增6</t>
    </r>
    <r>
      <rPr>
        <sz val="11"/>
        <color rgb="FF000000"/>
        <rFont val="宋体"/>
        <family val="3"/>
        <charset val="134"/>
      </rPr>
      <t>%</t>
    </r>
    <phoneticPr fontId="3" type="noConversion"/>
  </si>
  <si>
    <t>天数</t>
    <phoneticPr fontId="3" type="noConversion"/>
  </si>
  <si>
    <t>合计</t>
    <phoneticPr fontId="3" type="noConversion"/>
  </si>
  <si>
    <t>日平均租金</t>
    <phoneticPr fontId="3" type="noConversion"/>
  </si>
  <si>
    <t>68-3-105-02</t>
    <phoneticPr fontId="3" type="noConversion"/>
  </si>
  <si>
    <t>赵锦良</t>
    <phoneticPr fontId="3" type="noConversion"/>
  </si>
  <si>
    <t>押二付三</t>
    <phoneticPr fontId="3" type="noConversion"/>
  </si>
  <si>
    <t>租金含税</t>
    <phoneticPr fontId="3" type="noConversion"/>
  </si>
  <si>
    <t>租赁天数</t>
    <phoneticPr fontId="3" type="noConversion"/>
  </si>
  <si>
    <t>日租金</t>
    <phoneticPr fontId="3" type="noConversion"/>
  </si>
  <si>
    <t>每两年递增5%</t>
    <phoneticPr fontId="3" type="noConversion"/>
  </si>
  <si>
    <t>68-3-105-03</t>
    <phoneticPr fontId="3" type="noConversion"/>
  </si>
  <si>
    <t>党慧</t>
    <phoneticPr fontId="3" type="noConversion"/>
  </si>
  <si>
    <t>本期租金（元）</t>
    <phoneticPr fontId="3" type="noConversion"/>
  </si>
  <si>
    <r>
      <t>2</t>
    </r>
    <r>
      <rPr>
        <sz val="11"/>
        <color rgb="FF000000"/>
        <rFont val="宋体"/>
        <family val="3"/>
        <charset val="134"/>
      </rPr>
      <t>024-12-25至2025-1-24为免租期</t>
    </r>
    <phoneticPr fontId="3" type="noConversion"/>
  </si>
  <si>
    <t>66-1-103-01</t>
    <phoneticPr fontId="3" type="noConversion"/>
  </si>
  <si>
    <t>北京汇聚堂医药有限公司</t>
    <phoneticPr fontId="3" type="noConversion"/>
  </si>
  <si>
    <t>每三年递增5%</t>
    <phoneticPr fontId="3" type="noConversion"/>
  </si>
  <si>
    <t>2025-4-17至2025-6-16为免租期</t>
    <phoneticPr fontId="3" type="noConversion"/>
  </si>
  <si>
    <t>66-1-103-02</t>
    <phoneticPr fontId="3" type="noConversion"/>
  </si>
  <si>
    <t>牛思文</t>
    <phoneticPr fontId="3" type="noConversion"/>
  </si>
  <si>
    <t>押2.5个月付三</t>
    <phoneticPr fontId="3" type="noConversion"/>
  </si>
  <si>
    <t>每两年递增6%</t>
    <phoneticPr fontId="3" type="noConversion"/>
  </si>
  <si>
    <t>2024-12-15至2025-2-14为免租期</t>
    <phoneticPr fontId="3" type="noConversion"/>
  </si>
  <si>
    <t>66-1-102-01</t>
    <phoneticPr fontId="3" type="noConversion"/>
  </si>
  <si>
    <t>王萌</t>
    <phoneticPr fontId="3" type="noConversion"/>
  </si>
  <si>
    <t>年付</t>
    <phoneticPr fontId="3" type="noConversion"/>
  </si>
  <si>
    <t>证号</t>
    <phoneticPr fontId="134" type="noConversion"/>
  </si>
  <si>
    <t>权利人</t>
    <phoneticPr fontId="134" type="noConversion"/>
  </si>
  <si>
    <t>坐落</t>
    <phoneticPr fontId="134" type="noConversion"/>
  </si>
  <si>
    <t>部位及房号</t>
    <phoneticPr fontId="134" type="noConversion"/>
  </si>
  <si>
    <t>总楼层</t>
    <phoneticPr fontId="134" type="noConversion"/>
  </si>
  <si>
    <t>土地期限</t>
    <phoneticPr fontId="134" type="noConversion"/>
  </si>
  <si>
    <t>结构</t>
    <phoneticPr fontId="134" type="noConversion"/>
  </si>
  <si>
    <t>竣工时间</t>
    <phoneticPr fontId="134" type="noConversion"/>
  </si>
  <si>
    <t>1层层高</t>
    <phoneticPr fontId="134" type="noConversion"/>
  </si>
  <si>
    <t>2层层高</t>
    <phoneticPr fontId="134" type="noConversion"/>
  </si>
  <si>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</si>
  <si>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</si>
  <si>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</si>
  <si>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</si>
  <si>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</si>
  <si>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</si>
  <si>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钢混</t>
    <phoneticPr fontId="134" type="noConversion"/>
  </si>
  <si>
    <t>已分割为3户</t>
    <phoneticPr fontId="134" type="noConversion"/>
  </si>
  <si>
    <t>约5米</t>
    <phoneticPr fontId="134" type="noConversion"/>
  </si>
  <si>
    <t>约3米</t>
    <phoneticPr fontId="134" type="noConversion"/>
  </si>
  <si>
    <t>2层从外观上不可见</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</si>
  <si>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</si>
  <si>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</si>
  <si>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</si>
  <si>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已分割为4户</t>
    <phoneticPr fontId="134" type="noConversion"/>
  </si>
  <si>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</si>
  <si>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</si>
  <si>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</si>
  <si>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</si>
  <si>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</si>
  <si>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103根据合同计算各层面积</t>
    <phoneticPr fontId="134" type="noConversion"/>
  </si>
  <si>
    <t>1层剩余未出租面积</t>
    <phoneticPr fontId="134" type="noConversion"/>
  </si>
  <si>
    <t>根据户型图估算每层面积</t>
    <phoneticPr fontId="134" type="noConversion"/>
  </si>
  <si>
    <t>客观日租金</t>
    <phoneticPr fontId="134" type="noConversion"/>
  </si>
  <si>
    <t>系数</t>
    <phoneticPr fontId="134" type="noConversion"/>
  </si>
  <si>
    <t>面积占比</t>
    <phoneticPr fontId="134" type="noConversion"/>
  </si>
  <si>
    <t>租约平均日租金</t>
    <phoneticPr fontId="134" type="noConversion"/>
  </si>
  <si>
    <t>最长租赁期</t>
    <phoneticPr fontId="134" type="noConversion"/>
  </si>
  <si>
    <t>2层</t>
    <phoneticPr fontId="134" type="noConversion"/>
  </si>
  <si>
    <t>考虑隔层收益</t>
    <phoneticPr fontId="134" type="noConversion"/>
  </si>
  <si>
    <t>1-2平均租金</t>
    <phoneticPr fontId="134" type="noConversion"/>
  </si>
  <si>
    <r>
      <t>1</t>
    </r>
    <r>
      <rPr>
        <sz val="11"/>
        <color theme="1"/>
        <rFont val="宋体"/>
        <family val="3"/>
        <charset val="134"/>
        <scheme val="minor"/>
      </rPr>
      <t>03租金1层</t>
    </r>
    <phoneticPr fontId="134" type="noConversion"/>
  </si>
  <si>
    <t>103租金2层</t>
    <phoneticPr fontId="134" type="noConversion"/>
  </si>
  <si>
    <t>102、105因房屋并未全部出租，未用租约信息</t>
    <phoneticPr fontId="134" type="noConversion"/>
  </si>
  <si>
    <t>层高</t>
    <phoneticPr fontId="134" type="noConversion"/>
  </si>
  <si>
    <t>面宽</t>
    <phoneticPr fontId="134" type="noConversion"/>
  </si>
  <si>
    <t>进深</t>
    <phoneticPr fontId="134" type="noConversion"/>
  </si>
  <si>
    <t>租户</t>
    <phoneticPr fontId="134" type="noConversion"/>
  </si>
  <si>
    <r>
      <t>1</t>
    </r>
    <r>
      <rPr>
        <sz val="11"/>
        <color theme="1"/>
        <rFont val="宋体"/>
        <family val="3"/>
        <charset val="134"/>
        <scheme val="minor"/>
      </rPr>
      <t>02-01</t>
    </r>
    <phoneticPr fontId="134" type="noConversion"/>
  </si>
  <si>
    <t>约90</t>
    <phoneticPr fontId="134" type="noConversion"/>
  </si>
  <si>
    <t>空置</t>
    <phoneticPr fontId="134" type="noConversion"/>
  </si>
  <si>
    <t>102-02</t>
    <phoneticPr fontId="134" type="noConversion"/>
  </si>
  <si>
    <t>约10.4</t>
    <phoneticPr fontId="134" type="noConversion"/>
  </si>
  <si>
    <t>米罗造型美发</t>
    <phoneticPr fontId="134" type="noConversion"/>
  </si>
  <si>
    <t>102-03</t>
    <phoneticPr fontId="134" type="noConversion"/>
  </si>
  <si>
    <t>1层楼梯间、1层分割出的2层、房本2层</t>
    <phoneticPr fontId="134" type="noConversion"/>
  </si>
  <si>
    <t>105-01</t>
    <phoneticPr fontId="134" type="noConversion"/>
  </si>
  <si>
    <t>105-02</t>
    <phoneticPr fontId="134" type="noConversion"/>
  </si>
  <si>
    <t>慢芽酸奶</t>
    <phoneticPr fontId="134" type="noConversion"/>
  </si>
  <si>
    <t>105-03</t>
    <phoneticPr fontId="134" type="noConversion"/>
  </si>
  <si>
    <r>
      <t>约1</t>
    </r>
    <r>
      <rPr>
        <sz val="11"/>
        <color theme="1"/>
        <rFont val="宋体"/>
        <family val="3"/>
        <charset val="134"/>
        <scheme val="minor"/>
      </rPr>
      <t>0.4</t>
    </r>
    <phoneticPr fontId="134" type="noConversion"/>
  </si>
  <si>
    <t>遨游旅行</t>
    <phoneticPr fontId="134" type="noConversion"/>
  </si>
  <si>
    <t>105-04</t>
    <phoneticPr fontId="134" type="noConversion"/>
  </si>
  <si>
    <r>
      <t>分割2层</t>
    </r>
    <r>
      <rPr>
        <sz val="11"/>
        <color theme="1"/>
        <rFont val="宋体"/>
        <family val="3"/>
        <charset val="134"/>
        <scheme val="minor"/>
      </rPr>
      <t>2.287、房本2层3.18</t>
    </r>
    <phoneticPr fontId="134" type="noConversion"/>
  </si>
  <si>
    <r>
      <t>1</t>
    </r>
    <r>
      <rPr>
        <sz val="11"/>
        <color theme="1"/>
        <rFont val="宋体"/>
        <family val="3"/>
        <charset val="134"/>
        <scheme val="minor"/>
      </rPr>
      <t>03-01</t>
    </r>
    <phoneticPr fontId="134" type="noConversion"/>
  </si>
  <si>
    <t>汇聚堂大药房</t>
    <phoneticPr fontId="134" type="noConversion"/>
  </si>
  <si>
    <r>
      <t>1</t>
    </r>
    <r>
      <rPr>
        <sz val="11"/>
        <color theme="1"/>
        <rFont val="宋体"/>
        <family val="3"/>
        <charset val="134"/>
        <scheme val="minor"/>
      </rPr>
      <t>03-02</t>
    </r>
    <phoneticPr fontId="134" type="noConversion"/>
  </si>
  <si>
    <t>稻香村</t>
    <phoneticPr fontId="134" type="noConversion"/>
  </si>
  <si>
    <t>1层楼梯间、103号1层分割出的2层、103号房本2层</t>
    <phoneticPr fontId="134" type="noConversion"/>
  </si>
  <si>
    <r>
      <t>1</t>
    </r>
    <r>
      <rPr>
        <sz val="11"/>
        <color theme="1"/>
        <rFont val="宋体"/>
        <family val="3"/>
        <charset val="134"/>
        <scheme val="minor"/>
      </rPr>
      <t>20-01</t>
    </r>
    <phoneticPr fontId="134" type="noConversion"/>
  </si>
  <si>
    <t>京（2025）石不动产权第0001235号</t>
    <phoneticPr fontId="134" type="noConversion"/>
  </si>
  <si>
    <t>北京潇湘之旭商业管理有限公司</t>
    <phoneticPr fontId="134" type="noConversion"/>
  </si>
  <si>
    <t>石景山区古城西路66号院1号楼1至2层102</t>
    <phoneticPr fontId="134" type="noConversion"/>
  </si>
  <si>
    <r>
      <t>6</t>
    </r>
    <r>
      <rPr>
        <sz val="11"/>
        <color theme="1"/>
        <rFont val="宋体"/>
        <family val="3"/>
        <charset val="134"/>
        <scheme val="minor"/>
      </rPr>
      <t>6-1-102</t>
    </r>
    <phoneticPr fontId="134"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</si>
  <si>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</si>
  <si>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</si>
  <si>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</si>
  <si>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</si>
  <si>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t>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</si>
  <si>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</si>
  <si>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</si>
  <si>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</si>
  <si>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</si>
  <si>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</si>
  <si>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</si>
  <si>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</si>
  <si>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</si>
  <si>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</si>
  <si>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1-2</t>
    </r>
    <r>
      <rPr>
        <sz val="11"/>
        <color indexed="8"/>
        <rFont val="宋体"/>
        <family val="3"/>
        <charset val="134"/>
      </rPr>
      <t>层</t>
    </r>
    <phoneticPr fontId="3" type="noConversion"/>
  </si>
  <si>
    <t>配套商业</t>
    <phoneticPr fontId="3" type="noConversion"/>
  </si>
  <si>
    <t>钢混</t>
    <phoneticPr fontId="30"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</si>
  <si>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</si>
  <si>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</si>
  <si>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</si>
  <si>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</si>
  <si>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</si>
  <si>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1层约5米</t>
    <phoneticPr fontId="3" type="noConversion"/>
  </si>
  <si>
    <t>精装修</t>
    <phoneticPr fontId="3" type="noConversion"/>
  </si>
  <si>
    <t>普通装修</t>
    <phoneticPr fontId="3" type="noConversion"/>
  </si>
  <si>
    <t>简单装修</t>
    <phoneticPr fontId="3" type="noConversion"/>
  </si>
  <si>
    <t>部分简单装修、部分毛坯</t>
    <phoneticPr fontId="3" type="noConversion"/>
  </si>
  <si>
    <t>毛坯</t>
    <phoneticPr fontId="3" type="noConversion"/>
  </si>
  <si>
    <r>
      <t>35-45%(</t>
    </r>
    <r>
      <rPr>
        <sz val="11"/>
        <color indexed="10"/>
        <rFont val="宋体"/>
        <family val="3"/>
        <charset val="134"/>
      </rPr>
      <t>含）</t>
    </r>
    <phoneticPr fontId="3"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</si>
  <si>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</si>
  <si>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</si>
  <si>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</si>
  <si>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1</t>
    </r>
    <r>
      <rPr>
        <sz val="11"/>
        <color indexed="8"/>
        <rFont val="宋体"/>
        <family val="3"/>
        <charset val="134"/>
      </rPr>
      <t>层面积占比</t>
    </r>
    <phoneticPr fontId="3" type="noConversion"/>
  </si>
  <si>
    <r>
      <t>45-55%(</t>
    </r>
    <r>
      <rPr>
        <sz val="11"/>
        <color indexed="8"/>
        <rFont val="宋体"/>
        <family val="3"/>
        <charset val="134"/>
      </rPr>
      <t>含）</t>
    </r>
    <phoneticPr fontId="3" type="noConversion"/>
  </si>
  <si>
    <t>较好</t>
  </si>
  <si>
    <t>毛坯</t>
  </si>
  <si>
    <t>1层约5米</t>
  </si>
  <si>
    <t>不可餐饮</t>
  </si>
  <si>
    <t>七通</t>
  </si>
  <si>
    <t>古城现代嘉园</t>
    <phoneticPr fontId="3" type="noConversion"/>
  </si>
  <si>
    <r>
      <t>20-30</t>
    </r>
    <r>
      <rPr>
        <sz val="11"/>
        <color indexed="8"/>
        <rFont val="宋体"/>
        <family val="3"/>
        <charset val="134"/>
      </rPr>
      <t>（含）</t>
    </r>
    <phoneticPr fontId="3" type="noConversion"/>
  </si>
  <si>
    <t>正常</t>
  </si>
  <si>
    <t>一般</t>
  </si>
  <si>
    <t>临街</t>
  </si>
  <si>
    <t>较好</t>
    <phoneticPr fontId="30" type="noConversion"/>
  </si>
  <si>
    <t>较小</t>
  </si>
  <si>
    <t>较大</t>
  </si>
  <si>
    <t>1-2层</t>
  </si>
  <si>
    <t>配套商业</t>
  </si>
  <si>
    <t>部分简单装修、部分毛坯</t>
  </si>
  <si>
    <r>
      <t>55-65%(</t>
    </r>
    <r>
      <rPr>
        <sz val="11"/>
        <color indexed="8"/>
        <rFont val="宋体"/>
        <family val="3"/>
        <charset val="134"/>
      </rPr>
      <t>含）</t>
    </r>
    <phoneticPr fontId="30" type="noConversion"/>
  </si>
  <si>
    <t>比较法-商业</t>
  </si>
  <si>
    <t>楼面单价</t>
  </si>
  <si>
    <t>自定义</t>
  </si>
  <si>
    <t>1号楼102</t>
    <phoneticPr fontId="134" type="noConversion"/>
  </si>
  <si>
    <t>作废</t>
    <phoneticPr fontId="134" type="noConversion"/>
  </si>
  <si>
    <t>F01</t>
    <phoneticPr fontId="134" type="noConversion"/>
  </si>
  <si>
    <t>3号楼102</t>
    <phoneticPr fontId="134" type="noConversion"/>
  </si>
  <si>
    <t>最新替换</t>
    <phoneticPr fontId="134" type="noConversion"/>
  </si>
  <si>
    <t>价值汇总</t>
    <phoneticPr fontId="134" type="noConversion"/>
  </si>
  <si>
    <r>
      <t>6</t>
    </r>
    <r>
      <rPr>
        <sz val="11"/>
        <color theme="1"/>
        <rFont val="宋体"/>
        <family val="3"/>
        <charset val="134"/>
        <scheme val="minor"/>
      </rPr>
      <t>6-1-102</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</si>
</sst>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92D050"/>
        <bgColor rgb="FF000000"/>
      </patternFill>
    </fill>
    <fill>
      <patternFill patternType="solid">
        <fgColor rgb="FFFFFF00"/>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0" fillId="9" borderId="0" xfId="0" applyFill="1" applyAlignment="1"/>
    <xf numFmtId="0" fontId="95" fillId="9" borderId="0" xfId="0" applyFont="1" applyFill="1" applyAlignment="1"/>
    <xf numFmtId="0" fontId="0" fillId="16" borderId="0" xfId="0" applyFill="1" applyAlignment="1"/>
    <xf numFmtId="0" fontId="95" fillId="16" borderId="0" xfId="0" applyFont="1" applyFill="1" applyAlignment="1"/>
    <xf numFmtId="0" fontId="0" fillId="5" borderId="0" xfId="0" applyFill="1" applyAlignment="1"/>
    <xf numFmtId="0" fontId="95" fillId="5" borderId="0" xfId="0" applyFont="1" applyFill="1" applyAlignment="1"/>
    <xf numFmtId="0" fontId="0" fillId="16" borderId="0" xfId="0" applyFill="1">
      <alignment vertical="center"/>
    </xf>
    <xf numFmtId="0" fontId="0" fillId="9" borderId="0" xfId="0" applyFill="1">
      <alignment vertical="center"/>
    </xf>
    <xf numFmtId="0" fontId="95" fillId="0" borderId="1" xfId="0" applyFont="1" applyBorder="1">
      <alignment vertical="center"/>
    </xf>
    <xf numFmtId="0" fontId="0" fillId="0" borderId="1" xfId="0" applyBorder="1">
      <alignment vertical="center"/>
    </xf>
    <xf numFmtId="0" fontId="95" fillId="5" borderId="0" xfId="0" applyFont="1" applyFill="1">
      <alignment vertical="center"/>
    </xf>
    <xf numFmtId="14" fontId="0" fillId="0" borderId="0" xfId="0" applyNumberFormat="1">
      <alignment vertical="center"/>
    </xf>
    <xf numFmtId="0" fontId="274" fillId="0" borderId="0" xfId="0" applyFont="1">
      <alignment vertical="center"/>
    </xf>
    <xf numFmtId="0" fontId="114" fillId="0" borderId="0" xfId="0" applyFont="1">
      <alignment vertical="center"/>
    </xf>
    <xf numFmtId="0" fontId="274" fillId="0" borderId="1" xfId="0" applyFont="1" applyBorder="1">
      <alignment vertical="center"/>
    </xf>
    <xf numFmtId="0" fontId="114" fillId="0" borderId="1" xfId="0" applyFont="1" applyBorder="1">
      <alignment vertical="center"/>
    </xf>
    <xf numFmtId="14" fontId="114" fillId="0" borderId="1" xfId="0" applyNumberFormat="1" applyFont="1" applyBorder="1">
      <alignment vertical="center"/>
    </xf>
    <xf numFmtId="0" fontId="274" fillId="22" borderId="1" xfId="0" applyFont="1" applyFill="1" applyBorder="1">
      <alignment vertical="center"/>
    </xf>
    <xf numFmtId="0" fontId="114" fillId="22" borderId="1" xfId="0" applyFont="1" applyFill="1" applyBorder="1">
      <alignment vertical="center"/>
    </xf>
    <xf numFmtId="14" fontId="114" fillId="22" borderId="1" xfId="0" applyNumberFormat="1" applyFont="1" applyFill="1" applyBorder="1">
      <alignment vertical="center"/>
    </xf>
    <xf numFmtId="0" fontId="274" fillId="23" borderId="0" xfId="0" applyFont="1" applyFill="1">
      <alignment vertical="center"/>
    </xf>
    <xf numFmtId="14" fontId="114" fillId="0" borderId="0" xfId="0" applyNumberFormat="1" applyFont="1">
      <alignment vertical="center"/>
    </xf>
    <xf numFmtId="0" fontId="123" fillId="0" borderId="0" xfId="0" applyFont="1">
      <alignment vertical="center"/>
    </xf>
    <xf numFmtId="9" fontId="114" fillId="0" borderId="0" xfId="0" applyNumberFormat="1" applyFont="1">
      <alignment vertical="center"/>
    </xf>
    <xf numFmtId="176" fontId="114" fillId="0" borderId="0" xfId="0" applyNumberFormat="1" applyFont="1">
      <alignment vertical="center"/>
    </xf>
    <xf numFmtId="14" fontId="274" fillId="0" borderId="0" xfId="0" applyNumberFormat="1" applyFont="1">
      <alignment vertical="center"/>
    </xf>
    <xf numFmtId="0" fontId="114" fillId="23" borderId="0" xfId="0" applyFont="1" applyFill="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0" fillId="0" borderId="0" xfId="0"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0" borderId="0" xfId="0" applyFont="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273" fillId="0" borderId="1" xfId="0" applyFont="1" applyBorder="1">
      <alignment vertical="center"/>
    </xf>
    <xf numFmtId="0" fontId="95" fillId="9" borderId="0" xfId="0" applyFont="1" applyFill="1">
      <alignment vertical="center"/>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14" fontId="0" fillId="0" borderId="0" xfId="0" applyNumberFormat="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0" fillId="5" borderId="0" xfId="0" applyFill="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3" fillId="0" borderId="0" xfId="0" applyFont="1">
      <alignment vertical="center"/>
    </xf>
    <xf numFmtId="0" fontId="273" fillId="16" borderId="0" xfId="0" applyFont="1" applyFill="1">
      <alignment vertical="center"/>
    </xf>
    <xf numFmtId="0" fontId="95" fillId="5" borderId="0" xfId="0" applyFont="1" applyFill="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21</xdr:row>
      <xdr:rowOff>144780</xdr:rowOff>
    </xdr:from>
    <xdr:to>
      <xdr:col>10</xdr:col>
      <xdr:colOff>496798</xdr:colOff>
      <xdr:row>45</xdr:row>
      <xdr:rowOff>96442</xdr:rowOff>
    </xdr:to>
    <xdr:pic>
      <xdr:nvPicPr>
        <xdr:cNvPr id="5" name="图片 4">
          <a:extLst>
            <a:ext uri="{FF2B5EF4-FFF2-40B4-BE49-F238E27FC236}">
              <a16:creationId xmlns:a16="http://schemas.microsoft.com/office/drawing/2014/main" id="{66FCCA8A-CE0F-4F88-A1FE-7CD35C771138}"/>
            </a:ext>
          </a:extLst>
        </xdr:cNvPr>
        <xdr:cNvPicPr>
          <a:picLocks noChangeAspect="1"/>
        </xdr:cNvPicPr>
      </xdr:nvPicPr>
      <xdr:blipFill>
        <a:blip xmlns:r="http://schemas.openxmlformats.org/officeDocument/2006/relationships" r:embed="rId1"/>
        <a:stretch>
          <a:fillRect/>
        </a:stretch>
      </xdr:blipFill>
      <xdr:spPr>
        <a:xfrm>
          <a:off x="7620" y="3619500"/>
          <a:ext cx="6775678" cy="43407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18421</xdr:colOff>
      <xdr:row>5</xdr:row>
      <xdr:rowOff>83820</xdr:rowOff>
    </xdr:from>
    <xdr:to>
      <xdr:col>29</xdr:col>
      <xdr:colOff>533737</xdr:colOff>
      <xdr:row>31</xdr:row>
      <xdr:rowOff>115247</xdr:rowOff>
    </xdr:to>
    <xdr:pic>
      <xdr:nvPicPr>
        <xdr:cNvPr id="2" name="图片 1">
          <a:extLst>
            <a:ext uri="{FF2B5EF4-FFF2-40B4-BE49-F238E27FC236}">
              <a16:creationId xmlns:a16="http://schemas.microsoft.com/office/drawing/2014/main" id="{FE807129-E1A4-4F3E-9F71-59AAB26B5CF1}"/>
            </a:ext>
          </a:extLst>
        </xdr:cNvPr>
        <xdr:cNvPicPr>
          <a:picLocks noChangeAspect="1"/>
        </xdr:cNvPicPr>
      </xdr:nvPicPr>
      <xdr:blipFill>
        <a:blip xmlns:r="http://schemas.openxmlformats.org/officeDocument/2006/relationships" r:embed="rId1"/>
        <a:stretch>
          <a:fillRect/>
        </a:stretch>
      </xdr:blipFill>
      <xdr:spPr>
        <a:xfrm>
          <a:off x="12903841" y="2133600"/>
          <a:ext cx="7830516" cy="54111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2-68-3-105&#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2025-1-0394-F02-68-3-105&#21830;&#19994;&#27979;&#31639;&#34920;&#65288;&#25104;&#20132;&#20215;&#26696;&#20363;&#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F03\&#26368;&#32456;\2025-1-0394-F03-66-1-103&#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F03\&#26368;&#32456;\2025-1-0394-F03-66-1-103&#21830;&#19994;&#27979;&#31639;&#34920;&#65288;&#25104;&#20132;&#20215;&#26696;&#20363;&#6528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F01\&#26368;&#32456;\2025-1-0394-F01-68-3-102&#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F01\&#26368;&#32456;\2025-1-0394-F01-68-3-102&#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960</v>
          </cell>
        </row>
        <row r="102">
          <cell r="H102">
            <v>29775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收益法 (元)1层"/>
      <sheetName val="收益法2层"/>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711</v>
          </cell>
        </row>
        <row r="102">
          <cell r="H102">
            <v>29334</v>
          </cell>
        </row>
      </sheetData>
      <sheetData sheetId="18"/>
      <sheetData sheetId="19"/>
      <sheetData sheetId="20"/>
      <sheetData sheetId="21"/>
      <sheetData sheetId="22"/>
      <sheetData sheetId="23"/>
      <sheetData sheetId="24">
        <row r="6">
          <cell r="B6">
            <v>100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收益法 (元)1层"/>
      <sheetName val="收益法2层"/>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B6">
            <v>100</v>
          </cell>
          <cell r="D6">
            <v>5.6</v>
          </cell>
          <cell r="H6">
            <v>47589</v>
          </cell>
        </row>
        <row r="7">
          <cell r="B7">
            <v>62</v>
          </cell>
          <cell r="D7">
            <v>6.62</v>
          </cell>
        </row>
        <row r="43">
          <cell r="B43">
            <v>20</v>
          </cell>
        </row>
        <row r="71">
          <cell r="B71">
            <v>40</v>
          </cell>
        </row>
        <row r="100">
          <cell r="B100">
            <v>100</v>
          </cell>
        </row>
        <row r="128">
          <cell r="B128">
            <v>62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Sheet2"/>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Sheet1"/>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832</v>
          </cell>
          <cell r="E14">
            <v>33857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北京市石景山区古城西路66号院1号楼1至2层102房地产抵押价值预评估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受贵公司委托，我公司对北京市石景山区古城西路66号院1号楼1至2层102房地产抵押价值进行了预评估。</v>
      </c>
    </row>
    <row r="7" spans="1:2">
      <c r="A7" s="1119" t="s">
        <v>566</v>
      </c>
      <c r="B7" s="1120" t="str">
        <f>'预评函-1'!A7</f>
        <v>估价对象为北京市石景山区古城西路66号院1号楼1至2层102房地产，为北京潇湘之旭商业管理有限公司所有。根据《国有土地使用证》[]，估价对象（分摊）出让国有建设用地使用权面积为0平方米，建筑面积为242.17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石景山区古城西路66号院1号楼1至2层102房地产,属北京潇湘之旭商业管理有限公司开发建设的商业项目，该项目尚在开发建设中。根据《国有土地使用证》[]，估价对象（分摊）出让国有建设用地使用权面积为0平方米，规划建筑面积为242.17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华茗控股集团有限公司拟使用北京市石景山区古城西路66号院1号楼1至2层102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2025年6月3日（评估专业人员实地查勘之日）</v>
      </c>
    </row>
    <row r="13" spans="1:2">
      <c r="A13" s="1119" t="s">
        <v>529</v>
      </c>
      <c r="B13" s="1120" t="str">
        <f>'预评函-1'!A18</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700</v>
      </c>
    </row>
    <row r="21" spans="1:2">
      <c r="A21" s="1119" t="s">
        <v>537</v>
      </c>
      <c r="B21" s="1120">
        <f ca="1">'预评函-2'!D7</f>
        <v>28915</v>
      </c>
    </row>
    <row r="22" spans="1:2">
      <c r="A22" s="1119" t="s">
        <v>538</v>
      </c>
      <c r="B22" s="1120" t="str">
        <f ca="1">'预评函-2'!D6</f>
        <v>柒佰万元整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700</v>
      </c>
    </row>
    <row r="31" spans="1:2">
      <c r="A31" s="1119" t="s">
        <v>576</v>
      </c>
      <c r="B31" s="1120">
        <f ca="1">'预评函-2'!D15</f>
        <v>28915</v>
      </c>
    </row>
    <row r="32" spans="1:2">
      <c r="A32" s="1119" t="s">
        <v>543</v>
      </c>
      <c r="B32" s="1120" t="str">
        <f ca="1">'预评函-2'!D14</f>
        <v>柒佰万元整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北京市石景山区古城西路66号院1号楼1至2层102房地产</v>
      </c>
    </row>
    <row r="42" spans="1:2" ht="31.2">
      <c r="A42" s="1119" t="s">
        <v>590</v>
      </c>
      <c r="B42" s="1120" t="str">
        <f>'预评函-3'!B2</f>
        <v>建筑面积</v>
      </c>
    </row>
    <row r="43" spans="1:2">
      <c r="A43" s="1119" t="s">
        <v>591</v>
      </c>
      <c r="B43" s="1120">
        <f>'预评函-3'!B4</f>
        <v>242.17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66号院1号楼1至2层102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447" t="s">
        <v>385</v>
      </c>
      <c r="C54" s="1445" t="s">
        <v>583</v>
      </c>
    </row>
    <row r="55" spans="1:4">
      <c r="A55" s="3253"/>
      <c r="B55" s="1447" t="s">
        <v>386</v>
      </c>
      <c r="C55" s="1445" t="s">
        <v>584</v>
      </c>
    </row>
    <row r="56" spans="1:4">
      <c r="A56" s="3253"/>
      <c r="B56" s="1447" t="s">
        <v>387</v>
      </c>
      <c r="C56" s="1445" t="s">
        <v>588</v>
      </c>
    </row>
    <row r="57" spans="1:4">
      <c r="A57" s="325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4" t="s">
        <v>2580</v>
      </c>
      <c r="J2" s="3254"/>
      <c r="K2" s="3254"/>
      <c r="L2" s="3254"/>
      <c r="M2" s="3254"/>
      <c r="N2" s="3254"/>
      <c r="O2" s="3254"/>
      <c r="P2" s="3254"/>
      <c r="Q2" s="3254"/>
      <c r="R2" s="3254"/>
    </row>
    <row r="3" spans="1:18">
      <c r="A3" s="2760" t="s">
        <v>2501</v>
      </c>
      <c r="B3" s="2761">
        <f>项目基本情况!D3</f>
        <v>45811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1.54</v>
      </c>
      <c r="D5" s="2765">
        <f>IF(ISERROR(ROUND(POWER(1+E5,A5-C5)*(POWER(1+E5,C5)-1)/(POWER(1+E5,A5)-1),3)),0,ROUND(POWER(1+E5,A5-C5)*(POWER(1+E5,C5)-1)/(POWER(1+E5,A5)-1),4))</f>
        <v>7.3999999999999996E-2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11.55</v>
      </c>
      <c r="D6" s="2765">
        <f>IF(ISERROR(ROUND(POWER(1+E6,A6-C6)*(POWER(1+E6,C6)-1)/(POWER(1+E6,A6)-1),3)),0,ROUND(POWER(1+E6,A6-C6)*(POWER(1+E6,C6)-1)/(POWER(1+E6,A6)-1),4))</f>
        <v>0.4239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31.56</v>
      </c>
      <c r="D7" s="2765">
        <f>IF(ISERROR(ROUND(POWER(1+E7,A7-C7)*(POWER(1+E7,C7)-1)/(POWER(1+E7,A7)-1),3)),0,ROUND(POWER(1+E7,A7-C7)*(POWER(1+E7,C7)-1)/(POWER(1+E7,A7)-1),4))</f>
        <v>0.75870000000000004</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B7" sqref="B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55" t="str">
        <f>IF(B10="北京市","北京市",C10)&amp;F10&amp;IF(结果表!G1="在建","出让国有建设用地使用权及在建建筑物",IF(结果表!G1="土地","出让国有建设用地使用权",))&amp;B9&amp;"预评估"</f>
        <v>北京市石景山区古城西路66号院1号楼1至2层102房地产抵押价值预评估</v>
      </c>
      <c r="C1" s="3256"/>
      <c r="D1" s="3256"/>
      <c r="E1" s="3256"/>
      <c r="F1" s="3256"/>
      <c r="G1" s="3256"/>
      <c r="H1" s="3256"/>
      <c r="I1" s="3257"/>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北京市石景山区古城西路66号院1号楼1至2层102房地产抵押价值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北京市石景山区古城西路66号院1号楼1至2层102房地产</v>
      </c>
      <c r="T2" s="1618"/>
      <c r="U2" s="1618"/>
      <c r="V2" s="1618"/>
      <c r="W2" s="1618"/>
      <c r="X2" s="1618"/>
      <c r="Y2" s="1618"/>
      <c r="Z2" s="1618"/>
      <c r="AA2" s="1618"/>
      <c r="AB2" s="1618"/>
    </row>
    <row r="3" spans="1:30">
      <c r="A3" s="294" t="s">
        <v>2170</v>
      </c>
      <c r="B3" s="2185">
        <v>45811</v>
      </c>
      <c r="C3" s="2186" t="s">
        <v>2171</v>
      </c>
      <c r="D3" s="2185">
        <f>B3</f>
        <v>45811</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3414</v>
      </c>
      <c r="C4" s="2188">
        <f ca="1">SUMIF(注册房地产估价师,B4,估价师及机构信息!B3:B24)</f>
        <v>1419970001</v>
      </c>
      <c r="D4" s="2187" t="s">
        <v>3415</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3"/>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ht="36">
      <c r="A7" s="2194" t="s">
        <v>2175</v>
      </c>
      <c r="B7" s="3162" t="s">
        <v>3421</v>
      </c>
      <c r="C7" s="2196"/>
      <c r="D7" s="2197"/>
      <c r="E7" s="2439"/>
      <c r="F7" s="2440"/>
      <c r="G7" s="2440"/>
      <c r="H7" s="2440"/>
      <c r="I7" s="2440"/>
      <c r="J7" s="2243"/>
      <c r="K7" s="2400"/>
      <c r="L7" s="2397"/>
      <c r="M7" s="2397"/>
      <c r="N7" s="2243"/>
      <c r="O7" s="1670"/>
      <c r="P7" s="2243"/>
      <c r="Q7" s="2243"/>
      <c r="R7" s="2243"/>
    </row>
    <row r="8" spans="1:30">
      <c r="A8" s="2198" t="s">
        <v>2176</v>
      </c>
      <c r="B8" s="2199" t="s">
        <v>3412</v>
      </c>
      <c r="C8" s="2200"/>
      <c r="D8" s="3258" t="s">
        <v>2177</v>
      </c>
      <c r="E8" s="2201" t="s">
        <v>3413</v>
      </c>
      <c r="F8" s="2202"/>
      <c r="G8" s="2440"/>
      <c r="H8" s="2440"/>
      <c r="I8" s="2440"/>
      <c r="J8" s="2243"/>
      <c r="K8" s="2398"/>
      <c r="L8" s="2397"/>
      <c r="M8" s="2397"/>
      <c r="N8" s="2243"/>
      <c r="O8" s="1670"/>
      <c r="P8" s="2243"/>
      <c r="Q8" s="2243"/>
      <c r="R8" s="2243"/>
    </row>
    <row r="9" spans="1:30" ht="13.8" thickBot="1">
      <c r="A9" s="2203" t="s">
        <v>2178</v>
      </c>
      <c r="B9" s="2204" t="s">
        <v>3413</v>
      </c>
      <c r="C9" s="2205"/>
      <c r="D9" s="3259"/>
      <c r="E9" s="2204" t="s">
        <v>43</v>
      </c>
      <c r="F9" s="2206"/>
      <c r="G9" s="2441"/>
      <c r="H9" s="2441"/>
      <c r="I9" s="2441"/>
      <c r="J9" s="2243"/>
      <c r="K9" s="2400"/>
      <c r="L9" s="2397"/>
      <c r="M9" s="2397"/>
      <c r="N9" s="2243"/>
      <c r="O9" s="1670"/>
      <c r="P9" s="2243"/>
      <c r="Q9" s="2243"/>
      <c r="R9" s="2243"/>
    </row>
    <row r="10" spans="1:30" ht="13.8" thickTop="1">
      <c r="A10" s="2207" t="s">
        <v>2179</v>
      </c>
      <c r="B10" s="2208" t="s">
        <v>3416</v>
      </c>
      <c r="C10" s="2209"/>
      <c r="D10" s="2193"/>
      <c r="E10" s="2210" t="s">
        <v>2180</v>
      </c>
      <c r="F10" s="3160" t="s">
        <v>3418</v>
      </c>
      <c r="G10" s="2442"/>
      <c r="H10" s="2443"/>
      <c r="I10" s="2444"/>
      <c r="J10" s="2243"/>
      <c r="K10" s="2400"/>
      <c r="L10" s="2397"/>
      <c r="M10" s="2397"/>
      <c r="N10" s="2243"/>
      <c r="O10" s="1670"/>
      <c r="P10" s="2243"/>
      <c r="Q10" s="2243"/>
      <c r="R10" s="2243"/>
    </row>
    <row r="11" spans="1:30" ht="36">
      <c r="A11" s="2211" t="s">
        <v>2181</v>
      </c>
      <c r="B11" s="2212" t="s">
        <v>3417</v>
      </c>
      <c r="C11" s="3161" t="s">
        <v>3420</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v>55459</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26.43</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65"/>
      <c r="C16" s="3266"/>
      <c r="D16" s="3267"/>
      <c r="E16" s="2220" t="s">
        <v>2194</v>
      </c>
      <c r="F16" s="3268"/>
      <c r="G16" s="3269"/>
      <c r="H16" s="3269"/>
      <c r="I16" s="3270"/>
      <c r="J16" s="2243"/>
      <c r="K16" s="2401"/>
      <c r="L16" s="1670"/>
      <c r="M16" s="1670"/>
      <c r="N16" s="2243"/>
      <c r="O16" s="1670"/>
      <c r="P16" s="2243"/>
      <c r="Q16" s="2243"/>
      <c r="R16" s="2243"/>
    </row>
    <row r="17" spans="1:28">
      <c r="A17" s="305" t="s">
        <v>2195</v>
      </c>
      <c r="B17" s="294" t="s">
        <v>2196</v>
      </c>
      <c r="C17" s="8">
        <f>'数据-汇总表'!E3</f>
        <v>242.17</v>
      </c>
      <c r="D17" s="1256" t="s">
        <v>2197</v>
      </c>
      <c r="E17" s="3271" t="s">
        <v>2198</v>
      </c>
      <c r="F17" s="3272"/>
      <c r="G17" s="3272"/>
      <c r="H17" s="3272"/>
      <c r="I17" s="327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74" t="s">
        <v>2202</v>
      </c>
      <c r="F18" s="3275"/>
      <c r="G18" s="3275"/>
      <c r="H18" s="3275"/>
      <c r="I18" s="3276"/>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3419</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61" t="s">
        <v>2206</v>
      </c>
      <c r="C20" s="3262"/>
      <c r="D20" s="3263" t="s">
        <v>2207</v>
      </c>
      <c r="E20" s="3264"/>
      <c r="F20" s="2428" t="s">
        <v>1056</v>
      </c>
      <c r="G20" s="2440"/>
      <c r="H20" s="2440"/>
      <c r="I20" s="2440"/>
      <c r="J20" s="2243"/>
      <c r="K20" s="326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6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6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78"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7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7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79"/>
      <c r="B30" s="294" t="s">
        <v>2218</v>
      </c>
      <c r="C30" s="3280"/>
      <c r="D30" s="3281"/>
      <c r="E30" s="2440"/>
      <c r="F30" s="2440"/>
      <c r="G30" s="2440"/>
      <c r="H30" s="2440"/>
      <c r="I30" s="2440"/>
      <c r="J30" s="2243"/>
      <c r="K30" s="2400"/>
      <c r="L30" s="2397"/>
      <c r="M30" s="2397"/>
      <c r="N30" s="2243"/>
      <c r="O30" s="1670"/>
      <c r="P30" s="2243"/>
      <c r="Q30" s="2243"/>
      <c r="R30" s="2243"/>
      <c r="S30" s="2243"/>
      <c r="T30" s="2243"/>
      <c r="U30" s="2243"/>
      <c r="V30" s="2243"/>
    </row>
    <row r="31" spans="1:28">
      <c r="A31" s="3282"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8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8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77" t="s">
        <v>2228</v>
      </c>
      <c r="T34" s="315" t="str">
        <f>NUMBERSTRING(7-K34,1)&amp;"通"</f>
        <v>七通</v>
      </c>
      <c r="U34" s="2243"/>
      <c r="V34" s="2243"/>
    </row>
    <row r="35" spans="1:30">
      <c r="A35" s="2234"/>
      <c r="B35" s="3277" t="s">
        <v>2229</v>
      </c>
      <c r="C35" s="3277"/>
      <c r="D35" s="3277"/>
      <c r="E35" s="327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7"/>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179</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242.17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242.17</v>
      </c>
      <c r="H5" s="13">
        <f t="shared" ref="H5:AT5" si="0">SUM(H13:H656)</f>
        <v>242.17</v>
      </c>
      <c r="I5" s="13">
        <f t="shared" si="0"/>
        <v>242.17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242.17</v>
      </c>
      <c r="BA5" s="15">
        <f t="shared" si="1"/>
        <v>242.17</v>
      </c>
      <c r="BB5" s="15">
        <f t="shared" si="1"/>
        <v>242.17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102</v>
      </c>
      <c r="D13" s="1513" t="s">
        <v>3424</v>
      </c>
      <c r="E13" s="13">
        <f>IF($C$3="是",ROUND($A$3*G13/$B$3,2),ROUND($A$3*(G13-AT13)/$B$3,2))</f>
        <v>0</v>
      </c>
      <c r="F13" s="29"/>
      <c r="G13" s="30">
        <f>H13+AC13+AT13</f>
        <v>242.17</v>
      </c>
      <c r="H13" s="17">
        <f>SUMIF(I$12:AB$12,"总值",I13:AB13)</f>
        <v>242.17</v>
      </c>
      <c r="I13" s="1514">
        <v>242.17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v>
      </c>
      <c r="AY13" s="1260">
        <f>ROUND($AY$6*AZ13/$AZ$5,2)</f>
        <v>0</v>
      </c>
      <c r="AZ13" s="13">
        <f>BA13+BL13</f>
        <v>242.17</v>
      </c>
      <c r="BA13" s="13">
        <f>SUM(BB13:BK13)</f>
        <v>242.17</v>
      </c>
      <c r="BB13" s="13">
        <f>IF($D13="是",I13-J13,0)</f>
        <v>242.17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3" t="s">
        <v>1131</v>
      </c>
      <c r="B2" s="3293"/>
      <c r="C2" s="3293"/>
      <c r="D2" s="748" t="s">
        <v>1107</v>
      </c>
      <c r="E2" s="1523" t="s">
        <v>1108</v>
      </c>
      <c r="F2" s="2437"/>
      <c r="G2" s="2430"/>
      <c r="H2" s="2431"/>
      <c r="I2" s="2146" t="s">
        <v>1132</v>
      </c>
      <c r="J2" s="2437"/>
      <c r="K2" s="2437"/>
      <c r="L2" s="2437"/>
      <c r="M2" s="2437"/>
      <c r="N2" s="2438"/>
      <c r="O2" s="2437"/>
      <c r="P2" s="2437"/>
    </row>
    <row r="3" spans="1:16" ht="15" thickBot="1">
      <c r="A3" s="3294" t="s">
        <v>1105</v>
      </c>
      <c r="B3" s="3294"/>
      <c r="C3" s="3294"/>
      <c r="D3" s="41">
        <f>'数据-基础表'!AY6</f>
        <v>0</v>
      </c>
      <c r="E3" s="41">
        <f>'数据-基础表'!AZ5</f>
        <v>242.17</v>
      </c>
      <c r="F3" s="2437"/>
      <c r="G3" s="42"/>
      <c r="H3" s="43" t="s">
        <v>1106</v>
      </c>
      <c r="I3" s="802" t="e">
        <f>ROUND('数据-基础表'!B3/'数据-基础表'!A3,2)</f>
        <v>#DIV/0!</v>
      </c>
      <c r="J3" s="2437"/>
      <c r="K3" s="2437"/>
      <c r="L3" s="2437"/>
      <c r="M3" s="2437"/>
      <c r="N3" s="2438"/>
      <c r="O3" s="2437"/>
      <c r="P3" s="2437"/>
    </row>
    <row r="4" spans="1:16" ht="14.4">
      <c r="A4" s="3295"/>
      <c r="B4" s="3296"/>
      <c r="C4" s="329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98" t="s">
        <v>1110</v>
      </c>
      <c r="C5" s="329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98" t="s">
        <v>1111</v>
      </c>
      <c r="C6" s="3298"/>
      <c r="D6" s="43">
        <f>ROUND($D$3*E6/$E$3,2)</f>
        <v>0</v>
      </c>
      <c r="E6" s="44">
        <f>E3-E5</f>
        <v>242.17</v>
      </c>
      <c r="F6" s="2437"/>
      <c r="G6" s="1529" t="s">
        <v>1112</v>
      </c>
      <c r="H6" s="45" t="s">
        <v>1113</v>
      </c>
      <c r="I6" s="2433" t="e">
        <f>ROUND(F31/D31,2)</f>
        <v>#DIV/0!</v>
      </c>
      <c r="J6" s="2437"/>
      <c r="K6" s="2437"/>
      <c r="L6" s="2437"/>
      <c r="M6" s="2437"/>
      <c r="N6" s="2437"/>
      <c r="O6" s="2437"/>
      <c r="P6" s="2437"/>
    </row>
    <row r="7" spans="1:16" ht="15" thickBot="1">
      <c r="A7" s="3290"/>
      <c r="B7" s="3291"/>
      <c r="C7" s="3292"/>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242.17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242.17</v>
      </c>
      <c r="F16" s="2437"/>
      <c r="G16" s="2437"/>
      <c r="H16" s="1531" t="s">
        <v>1135</v>
      </c>
      <c r="I16" s="1532"/>
      <c r="J16" s="1071"/>
      <c r="K16" s="3287" t="s">
        <v>1135</v>
      </c>
      <c r="L16" s="3288"/>
      <c r="M16" s="3288"/>
      <c r="N16" s="3288"/>
      <c r="O16" s="3288"/>
      <c r="P16" s="3289"/>
    </row>
    <row r="17" spans="1:19" ht="14.4">
      <c r="A17" s="1533" t="s">
        <v>1136</v>
      </c>
      <c r="B17" s="1534" t="s">
        <v>1137</v>
      </c>
      <c r="C17" s="1535" t="s">
        <v>1138</v>
      </c>
      <c r="D17" s="1536" t="s">
        <v>1126</v>
      </c>
      <c r="E17" s="1537" t="s">
        <v>1127</v>
      </c>
      <c r="F17" s="1538"/>
      <c r="G17" s="1539"/>
      <c r="H17" s="1540" t="s">
        <v>1139</v>
      </c>
      <c r="I17" s="1541" t="s">
        <v>1124</v>
      </c>
      <c r="J17" s="1071"/>
      <c r="K17" s="3284" t="s">
        <v>1140</v>
      </c>
      <c r="L17" s="3285"/>
      <c r="M17" s="3286"/>
      <c r="N17" s="3284" t="s">
        <v>1141</v>
      </c>
      <c r="O17" s="3285"/>
      <c r="P17" s="328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'数据-基础表'!C13</f>
        <v>102</v>
      </c>
      <c r="D19" s="43">
        <f>ROUND($D$3*E19/$E$3,2)</f>
        <v>0</v>
      </c>
      <c r="E19" s="51">
        <f t="shared" ref="E19:E26" si="1">SUM(F19:G19)</f>
        <v>242.17</v>
      </c>
      <c r="F19" s="2555">
        <f>'数据-基础表'!G13</f>
        <v>242.17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242.17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242.17</v>
      </c>
      <c r="F27" s="1072">
        <f>IF(SUM(F19:F26)=E8,SUM(F19:F26),"地上面积有误")</f>
        <v>242.17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242.17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242.17</v>
      </c>
      <c r="F31" s="644">
        <f>F27+F30</f>
        <v>242.17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102</v>
      </c>
      <c r="B6" s="1587" t="str">
        <f>IF(A6=0,"","经营性")</f>
        <v>经营性</v>
      </c>
      <c r="C6" s="1588" t="s">
        <v>673</v>
      </c>
      <c r="D6" s="805">
        <f>SUMIF(项目基本情况!C$12:I$12,C6,项目基本情况!C$14:I$14)</f>
        <v>40</v>
      </c>
      <c r="E6" s="804">
        <f>IF(B6="","",SUMIF(项目基本情况!C$12:I$12,C6,项目基本情况!C$13:I$13))</f>
        <v>55459</v>
      </c>
      <c r="F6" s="61">
        <f>SUMIF(项目基本情况!C$12:I$12,C6,项目基本情况!C$15:I$15)</f>
        <v>26.43</v>
      </c>
      <c r="G6" s="62">
        <f>IF(ISERROR(ROUND(POWER(1+H6,D6-F6)*(POWER(1+H6,F6)-1)/(POWER(1+H6,D6)-1),3)),0,ROUND(POWER(1+H6,D6-F6)*(POWER(1+H6,F6)-1)/(POWER(1+H6,D6)-1),3))</f>
        <v>0.84499999999999997</v>
      </c>
      <c r="H6" s="691">
        <v>0.05</v>
      </c>
      <c r="I6" s="691">
        <v>5.5E-2</v>
      </c>
      <c r="J6" s="63">
        <v>7.0000000000000007E-2</v>
      </c>
      <c r="K6" s="970">
        <f>SUMIF('数据-汇总表'!C$19:C$33,A6,'数据-汇总表'!E$19:E$33)</f>
        <v>242.17</v>
      </c>
      <c r="L6" s="692">
        <v>4000</v>
      </c>
      <c r="M6" s="64">
        <f t="shared" ref="M6:M14" si="0">ROUND(K6*L6/10000,0)</f>
        <v>97</v>
      </c>
      <c r="N6" s="690">
        <f>N21</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f>信息!O20</f>
        <v>4.67</v>
      </c>
      <c r="V6" s="67">
        <v>0.02</v>
      </c>
      <c r="W6" s="67">
        <v>0.15</v>
      </c>
      <c r="X6" s="979"/>
      <c r="Y6" s="68">
        <f>N6</f>
        <v>0.82</v>
      </c>
      <c r="Z6" s="69"/>
      <c r="AA6" s="63"/>
      <c r="AB6" s="63"/>
      <c r="AC6" s="979"/>
      <c r="AD6" s="70"/>
      <c r="AE6" s="980">
        <f ca="1">IF(AN6="",0,SUMIF(INDIRECT("'"&amp;AN6&amp;"'"&amp;"!E:E"),$AE$5,INDIRECT("'"&amp;AN6&amp;"'"&amp;"!F:F")))</f>
        <v>26.43</v>
      </c>
      <c r="AF6" s="74"/>
      <c r="AG6" s="130">
        <f>IF(AF6="",0,AE6-AF6)</f>
        <v>0</v>
      </c>
      <c r="AH6" s="71"/>
      <c r="AI6" s="73">
        <v>365</v>
      </c>
      <c r="AJ6" s="74"/>
      <c r="AK6" s="75">
        <v>5.0000000000000001E-3</v>
      </c>
      <c r="AL6" s="76">
        <v>1E-3</v>
      </c>
      <c r="AM6" s="77">
        <v>5.0000000000000001E-3</v>
      </c>
      <c r="AN6" s="1589" t="s">
        <v>3432</v>
      </c>
      <c r="AO6" s="50">
        <f ca="1">SUMIF(INDIRECT("'"&amp;AN6&amp;"'"&amp;"!A:A"),"总价",INDIRECT("'"&amp;AN6&amp;"'"&amp;"!B:B"))</f>
        <v>484.62810000000002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0.84499999999999997</v>
      </c>
      <c r="H16" s="84">
        <f>ROUND(SUMPRODUCT(H6:H13,K6:K13)/SUMPRODUCT((H6:H13&gt;0)*(K6:K13)),3)</f>
        <v>0.05</v>
      </c>
      <c r="I16" s="85"/>
      <c r="J16" s="85"/>
      <c r="K16" s="86">
        <f>SUM(K6:K15)</f>
        <v>242.17</v>
      </c>
      <c r="L16" s="87">
        <f>ROUND(M16*10000/SUM(K6:K14),0)</f>
        <v>4005</v>
      </c>
      <c r="M16" s="87">
        <f>SUM(M6:M14)</f>
        <v>97</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4" t="s">
        <v>3428</v>
      </c>
      <c r="N18" s="2446">
        <v>2012</v>
      </c>
      <c r="O18" s="3164" t="s">
        <v>3429</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4" t="s">
        <v>3430</v>
      </c>
      <c r="N19" s="2446">
        <f>ROUND(1-(1-0)*(2025-N18)/60,2)</f>
        <v>0.78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4" t="s">
        <v>3431</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4" t="s">
        <v>458</v>
      </c>
      <c r="N21" s="2446">
        <f>ROUND((N19+N20)/2,2)</f>
        <v>0.82</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3" t="s">
        <v>3427</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99" t="s">
        <v>2286</v>
      </c>
      <c r="B1" s="3300"/>
      <c r="C1" s="3300"/>
      <c r="D1" s="3300"/>
      <c r="E1" s="3300"/>
      <c r="F1" s="3300"/>
      <c r="G1" s="330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242.17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45811</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700</v>
      </c>
      <c r="C5" s="2298">
        <f ca="1">IF(B5=D14,结果表!H102,ROUND(B5*10000/$B$1,0))</f>
        <v>28915</v>
      </c>
      <c r="D5" s="2298" t="e">
        <f ca="1">ROUND(B5*10000/$B$2,0)</f>
        <v>#DIV/0!</v>
      </c>
      <c r="E5" s="2459"/>
      <c r="F5" s="2460"/>
      <c r="G5" s="2460"/>
      <c r="H5" s="2460"/>
      <c r="I5" s="2460"/>
      <c r="J5" s="2460"/>
      <c r="K5" s="2460"/>
    </row>
    <row r="6" spans="1:11" ht="15.6">
      <c r="A6" s="2298" t="s">
        <v>656</v>
      </c>
      <c r="B6" s="2298">
        <f ca="1">SUM(G14:G23)</f>
        <v>700</v>
      </c>
      <c r="C6" s="2298">
        <f ca="1">IF(B6=G14,结果表!H108,ROUND(B6*10000/$B$1,0))</f>
        <v>28915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242.17</v>
      </c>
      <c r="C14" s="2304"/>
      <c r="D14" s="2304">
        <f ca="1">结果表!H101</f>
        <v>700</v>
      </c>
      <c r="E14" s="2304">
        <f ca="1">结果表!H102</f>
        <v>28915</v>
      </c>
      <c r="F14" s="2304" t="e">
        <f ca="1">ROUND(D14*10000/C14,0)</f>
        <v>#DIV/0!</v>
      </c>
      <c r="G14" s="2304">
        <f ca="1">结果表!H107</f>
        <v>700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102</v>
      </c>
      <c r="D1" s="646"/>
      <c r="E1" s="646"/>
      <c r="F1" s="1621" t="s">
        <v>1263</v>
      </c>
      <c r="G1" s="1453" t="s">
        <v>3423</v>
      </c>
      <c r="H1" s="1621" t="str">
        <f>IF(G1="现房","——","估价对象范围")</f>
        <v>——</v>
      </c>
      <c r="I1" s="1622"/>
    </row>
    <row r="2" spans="1:12" ht="21.75" customHeight="1" thickBot="1">
      <c r="A2" s="3368" t="str">
        <f>项目基本情况!S2</f>
        <v>北京市石景山区古城西路66号院1号楼1至2层102房地产</v>
      </c>
      <c r="B2" s="3369"/>
      <c r="C2" s="3369"/>
      <c r="D2" s="3369"/>
      <c r="E2" s="3369"/>
      <c r="F2" s="3369"/>
      <c r="G2" s="3369"/>
      <c r="H2" s="3369"/>
      <c r="I2" s="3370"/>
    </row>
    <row r="3" spans="1:12" ht="13.2">
      <c r="A3" s="3372" t="s">
        <v>1264</v>
      </c>
      <c r="B3" s="3373"/>
      <c r="C3" s="3373"/>
      <c r="D3" s="3373"/>
      <c r="E3" s="3373"/>
      <c r="F3" s="3373"/>
      <c r="G3" s="3373"/>
      <c r="H3" s="3373"/>
      <c r="I3" s="3373"/>
    </row>
    <row r="4" spans="1:12" ht="14.4">
      <c r="A4" s="1624" t="s">
        <v>1265</v>
      </c>
      <c r="B4" s="1625" t="s">
        <v>1266</v>
      </c>
      <c r="C4" s="1626" t="s">
        <v>3655</v>
      </c>
      <c r="D4" s="1626" t="s">
        <v>3432</v>
      </c>
      <c r="E4" s="3377" t="s">
        <v>1267</v>
      </c>
      <c r="F4" s="3378"/>
      <c r="G4" s="3378"/>
      <c r="H4" s="3378"/>
      <c r="I4" s="337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6" t="s">
        <v>1268</v>
      </c>
      <c r="B5" s="3371">
        <v>25</v>
      </c>
      <c r="C5" s="3374"/>
      <c r="D5" s="3362"/>
      <c r="E5" s="123" t="s">
        <v>1269</v>
      </c>
      <c r="F5" s="1627"/>
      <c r="G5" s="1627"/>
      <c r="H5" s="1627"/>
      <c r="I5" s="1281"/>
    </row>
    <row r="6" spans="1:12" ht="13.2">
      <c r="A6" s="3316"/>
      <c r="B6" s="3371"/>
      <c r="C6" s="3376"/>
      <c r="D6" s="3362"/>
      <c r="E6" s="123" t="s">
        <v>1270</v>
      </c>
      <c r="F6" s="1627"/>
      <c r="G6" s="1627"/>
      <c r="H6" s="1627"/>
      <c r="I6" s="1281"/>
    </row>
    <row r="7" spans="1:12" ht="13.2">
      <c r="A7" s="3316"/>
      <c r="B7" s="3371"/>
      <c r="C7" s="3375"/>
      <c r="D7" s="3362"/>
      <c r="E7" s="123" t="s">
        <v>1271</v>
      </c>
      <c r="F7" s="1627"/>
      <c r="G7" s="1627"/>
      <c r="H7" s="1627"/>
      <c r="I7" s="1281"/>
    </row>
    <row r="8" spans="1:12" ht="13.2">
      <c r="A8" s="3316" t="s">
        <v>1272</v>
      </c>
      <c r="B8" s="3371">
        <v>15</v>
      </c>
      <c r="C8" s="3374"/>
      <c r="D8" s="3362"/>
      <c r="E8" s="123" t="s">
        <v>1273</v>
      </c>
      <c r="F8" s="1627"/>
      <c r="G8" s="1627"/>
      <c r="H8" s="1627"/>
      <c r="I8" s="1281"/>
    </row>
    <row r="9" spans="1:12" ht="13.2">
      <c r="A9" s="3316"/>
      <c r="B9" s="3371"/>
      <c r="C9" s="3375"/>
      <c r="D9" s="3362"/>
      <c r="E9" s="123" t="s">
        <v>1274</v>
      </c>
      <c r="F9" s="1627"/>
      <c r="G9" s="1627"/>
      <c r="H9" s="1627"/>
      <c r="I9" s="1281"/>
    </row>
    <row r="10" spans="1:12" ht="13.2">
      <c r="A10" s="3316" t="s">
        <v>1275</v>
      </c>
      <c r="B10" s="3371">
        <v>15</v>
      </c>
      <c r="C10" s="3374"/>
      <c r="D10" s="3362"/>
      <c r="E10" s="123" t="s">
        <v>1276</v>
      </c>
      <c r="F10" s="1627"/>
      <c r="G10" s="1627"/>
      <c r="H10" s="1627"/>
      <c r="I10" s="1281"/>
    </row>
    <row r="11" spans="1:12" ht="13.2">
      <c r="A11" s="3316"/>
      <c r="B11" s="3371"/>
      <c r="C11" s="3375"/>
      <c r="D11" s="3362"/>
      <c r="E11" s="123" t="s">
        <v>1277</v>
      </c>
      <c r="F11" s="1627"/>
      <c r="G11" s="1627"/>
      <c r="H11" s="1627"/>
      <c r="I11" s="1281"/>
    </row>
    <row r="12" spans="1:12" ht="13.2">
      <c r="A12" s="3316" t="s">
        <v>1278</v>
      </c>
      <c r="B12" s="3371">
        <v>15</v>
      </c>
      <c r="C12" s="3374"/>
      <c r="D12" s="3362"/>
      <c r="E12" s="123" t="s">
        <v>1279</v>
      </c>
      <c r="F12" s="1627"/>
      <c r="G12" s="1627"/>
      <c r="H12" s="1627"/>
      <c r="I12" s="1281"/>
    </row>
    <row r="13" spans="1:12" ht="13.2">
      <c r="A13" s="3316"/>
      <c r="B13" s="3371"/>
      <c r="C13" s="3375"/>
      <c r="D13" s="3362"/>
      <c r="E13" s="123" t="s">
        <v>1280</v>
      </c>
      <c r="F13" s="1627"/>
      <c r="G13" s="1627"/>
      <c r="H13" s="1627"/>
      <c r="I13" s="1281"/>
    </row>
    <row r="14" spans="1:12" ht="13.2">
      <c r="A14" s="3316" t="s">
        <v>1281</v>
      </c>
      <c r="B14" s="3371">
        <v>30</v>
      </c>
      <c r="C14" s="3374">
        <v>7</v>
      </c>
      <c r="D14" s="3362">
        <v>3</v>
      </c>
      <c r="E14" s="123" t="s">
        <v>1282</v>
      </c>
      <c r="F14" s="1627"/>
      <c r="G14" s="1627"/>
      <c r="H14" s="1627"/>
      <c r="I14" s="1281"/>
    </row>
    <row r="15" spans="1:12" ht="13.2">
      <c r="A15" s="3316"/>
      <c r="B15" s="3371"/>
      <c r="C15" s="3376"/>
      <c r="D15" s="3362"/>
      <c r="E15" s="123" t="s">
        <v>1283</v>
      </c>
      <c r="F15" s="1627"/>
      <c r="G15" s="1627"/>
      <c r="H15" s="1627"/>
      <c r="I15" s="1281"/>
    </row>
    <row r="16" spans="1:12" ht="13.2">
      <c r="A16" s="3316"/>
      <c r="B16" s="3371"/>
      <c r="C16" s="3375"/>
      <c r="D16" s="336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93" t="s">
        <v>2131</v>
      </c>
      <c r="F18" s="3394"/>
      <c r="G18" s="3394"/>
      <c r="H18" s="3394"/>
      <c r="I18" s="3394"/>
      <c r="K18" s="294" t="s">
        <v>1289</v>
      </c>
      <c r="L18" s="294">
        <f>IF(C1="",'数据-汇总表'!E3,SUMIF(项目类型,C1,'数据-汇总表'!E17:E26)+SUMIF(项目类型,C1,'数据-汇总表'!I17:I26))</f>
        <v>242.17</v>
      </c>
      <c r="M18" s="294">
        <f>IF(C1="",'数据-汇总表'!E3,SUMIF(项目类型,C1,'数据-汇总表'!E17:E26))</f>
        <v>242.17</v>
      </c>
    </row>
    <row r="19" spans="1:36" ht="14.4">
      <c r="A19" s="1630" t="s">
        <v>1290</v>
      </c>
      <c r="B19" s="1631" t="s">
        <v>1291</v>
      </c>
      <c r="C19" s="126">
        <f ca="1">SUMIF(INDIRECT("'"&amp;C4&amp;"'"&amp;"!A:A"),结果表!B19,INDIRECT("'"&amp;C4&amp;"'"&amp;"!B:B"))</f>
        <v>792.62239999999997</v>
      </c>
      <c r="D19" s="127">
        <f ca="1">SUMIF(INDIRECT("'"&amp;D4&amp;"'"&amp;"!A:A"),结果表!B19,INDIRECT("'"&amp;D4&amp;"'"&amp;"!B:B"))</f>
        <v>484.62810000000002</v>
      </c>
      <c r="E19" s="1630" t="s">
        <v>1292</v>
      </c>
      <c r="F19" s="1631" t="s">
        <v>1291</v>
      </c>
      <c r="G19" s="128">
        <f ca="1">ROUND(C19*$C$18+D19*$D$18,0)</f>
        <v>700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32730</v>
      </c>
      <c r="D20" s="130">
        <f ca="1">SUMIF(INDIRECT("'"&amp;D4&amp;"'"&amp;"!A:A"),结果表!B20,INDIRECT("'"&amp;D4&amp;"'"&amp;"!B:B"))</f>
        <v>20012</v>
      </c>
      <c r="E20" s="1633"/>
      <c r="F20" s="43" t="s">
        <v>1295</v>
      </c>
      <c r="G20" s="131">
        <f ca="1">ROUND(C20*$C$18+D20*$D$18,0)</f>
        <v>28915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0.63552711862972844</v>
      </c>
      <c r="E22" s="121"/>
      <c r="F22" s="121"/>
      <c r="G22" s="121"/>
      <c r="H22" s="121"/>
      <c r="I22" s="121"/>
    </row>
    <row r="23" spans="1:36" ht="13.8" thickBot="1">
      <c r="A23" s="646"/>
      <c r="B23" s="646"/>
      <c r="C23" s="646"/>
      <c r="D23" s="646"/>
      <c r="E23" s="121"/>
      <c r="F23" s="121"/>
      <c r="G23" s="121"/>
      <c r="H23" s="121"/>
      <c r="I23" s="121"/>
    </row>
    <row r="24" spans="1:36" ht="14.4">
      <c r="A24" s="3386" t="s">
        <v>1299</v>
      </c>
      <c r="B24" s="1631" t="s">
        <v>1291</v>
      </c>
      <c r="C24" s="128">
        <f>IF(B30=0,0,D30)</f>
        <v>0</v>
      </c>
      <c r="D24" s="1637"/>
      <c r="E24" s="121"/>
      <c r="F24" s="121"/>
      <c r="G24" s="121"/>
      <c r="H24" s="121"/>
      <c r="I24" s="121"/>
    </row>
    <row r="25" spans="1:36" ht="14.4">
      <c r="A25" s="338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28915</v>
      </c>
      <c r="D32" s="1641" t="s">
        <v>3656</v>
      </c>
      <c r="E32" s="121"/>
      <c r="F32" s="121"/>
      <c r="G32" s="121"/>
      <c r="H32" s="121"/>
      <c r="I32" s="121"/>
    </row>
    <row r="33" spans="1:15" ht="14.4">
      <c r="A33" s="740" t="s">
        <v>1306</v>
      </c>
      <c r="B33" s="123"/>
      <c r="C33" s="1642" t="s">
        <v>3657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63" t="s">
        <v>1312</v>
      </c>
      <c r="B36" s="1652" t="s">
        <v>1313</v>
      </c>
      <c r="C36" s="137"/>
      <c r="D36" s="1653"/>
      <c r="E36" s="1567"/>
      <c r="F36" s="1654"/>
      <c r="G36" s="121"/>
      <c r="H36" s="121"/>
      <c r="I36" s="121"/>
    </row>
    <row r="37" spans="1:15" ht="15" thickBot="1">
      <c r="A37" s="3364"/>
      <c r="B37" s="1555" t="s">
        <v>1314</v>
      </c>
      <c r="C37" s="139"/>
      <c r="D37" s="1071"/>
      <c r="E37" s="1071"/>
      <c r="F37" s="1654"/>
      <c r="G37" s="121"/>
      <c r="H37" s="121"/>
      <c r="I37" s="121"/>
    </row>
    <row r="38" spans="1:15" ht="15" thickBot="1">
      <c r="A38" s="336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83" t="s">
        <v>1326</v>
      </c>
      <c r="B45" s="3384"/>
      <c r="C45" s="3385"/>
      <c r="D45" s="147">
        <f ca="1">ROUND(H101*F45,0)</f>
        <v>700</v>
      </c>
      <c r="E45" s="148" t="s">
        <v>1327</v>
      </c>
      <c r="F45" s="149">
        <v>1</v>
      </c>
      <c r="G45" s="150" t="s">
        <v>1328</v>
      </c>
      <c r="H45" s="121"/>
      <c r="I45" s="121"/>
      <c r="J45" s="3303" t="s">
        <v>1329</v>
      </c>
      <c r="K45" s="3303"/>
      <c r="L45" s="3303"/>
      <c r="M45" s="3303"/>
      <c r="N45" s="3303"/>
      <c r="O45" s="3303"/>
    </row>
    <row r="46" spans="1:15" ht="14.25" customHeight="1">
      <c r="A46" s="3380" t="s">
        <v>1330</v>
      </c>
      <c r="B46" s="3381"/>
      <c r="C46" s="3381"/>
      <c r="D46" s="3381"/>
      <c r="E46" s="3381"/>
      <c r="F46" s="3381"/>
      <c r="G46" s="3382"/>
      <c r="H46" s="1668"/>
      <c r="I46" s="151"/>
      <c r="J46" s="2308">
        <v>1</v>
      </c>
      <c r="K46" s="3304" t="s">
        <v>1331</v>
      </c>
      <c r="L46" s="3304"/>
      <c r="M46" s="3305"/>
      <c r="N46" s="3305"/>
      <c r="O46" s="3305"/>
    </row>
    <row r="47" spans="1:15" ht="12" customHeight="1">
      <c r="A47" s="152" t="s">
        <v>1332</v>
      </c>
      <c r="B47" s="153"/>
      <c r="C47" s="154"/>
      <c r="D47" s="1024" t="s">
        <v>1333</v>
      </c>
      <c r="E47" s="294" t="s">
        <v>1334</v>
      </c>
      <c r="F47" s="155" t="s">
        <v>1335</v>
      </c>
      <c r="G47" s="2331" t="s">
        <v>1336</v>
      </c>
      <c r="H47" s="2332"/>
      <c r="I47" s="151"/>
      <c r="J47" s="2308">
        <v>2</v>
      </c>
      <c r="K47" s="3304" t="s">
        <v>1337</v>
      </c>
      <c r="L47" s="3304"/>
      <c r="M47" s="3306">
        <f>'数据-取费表'!B2</f>
        <v>45811</v>
      </c>
      <c r="N47" s="3306"/>
      <c r="O47" s="3306"/>
    </row>
    <row r="48" spans="1:15" ht="26.4">
      <c r="A48" s="3366" t="s">
        <v>1338</v>
      </c>
      <c r="B48" s="3367"/>
      <c r="C48" s="336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04" t="s">
        <v>1340</v>
      </c>
      <c r="L48" s="3304"/>
      <c r="M48" s="3307">
        <f ca="1">H101</f>
        <v>700</v>
      </c>
      <c r="N48" s="3307"/>
      <c r="O48" s="3307"/>
    </row>
    <row r="49" spans="1:35" ht="25.5" customHeight="1">
      <c r="A49" s="2152" t="s">
        <v>1341</v>
      </c>
      <c r="B49" s="3352" t="s">
        <v>1342</v>
      </c>
      <c r="C49" s="3352"/>
      <c r="D49" s="1478">
        <v>0</v>
      </c>
      <c r="E49" s="316" t="s">
        <v>1343</v>
      </c>
      <c r="F49" s="2231" t="s">
        <v>28</v>
      </c>
      <c r="G49" s="3335"/>
      <c r="H49" s="2134" t="s">
        <v>2134</v>
      </c>
      <c r="I49" s="2135"/>
      <c r="J49" s="2308">
        <v>4</v>
      </c>
      <c r="K49" s="3304" t="str">
        <f>IF(项目基本情况!E8="房地产抵押价值","房地产抵押价值","抵押担保权已注销时的房地产抵押价值")</f>
        <v>房地产抵押价值</v>
      </c>
      <c r="L49" s="3304"/>
      <c r="M49" s="3307">
        <f ca="1">IF(项目基本情况!E8="房地产抵押价值",H107,H109)</f>
        <v>700</v>
      </c>
      <c r="N49" s="3307"/>
      <c r="O49" s="3307"/>
    </row>
    <row r="50" spans="1:35" ht="25.5" customHeight="1">
      <c r="A50" s="2336"/>
      <c r="B50" s="3352" t="s">
        <v>1344</v>
      </c>
      <c r="C50" s="3352"/>
      <c r="D50" s="2189"/>
      <c r="E50" s="323"/>
      <c r="F50" s="2231"/>
      <c r="G50" s="3336"/>
      <c r="H50" s="2136" t="s">
        <v>2135</v>
      </c>
      <c r="I50" s="2135"/>
      <c r="J50" s="3303" t="s">
        <v>1345</v>
      </c>
      <c r="K50" s="3303"/>
      <c r="L50" s="3303"/>
      <c r="M50" s="3303"/>
      <c r="N50" s="3303"/>
      <c r="O50" s="3303"/>
    </row>
    <row r="51" spans="1:35" ht="20.399999999999999" customHeight="1">
      <c r="A51" s="2337"/>
      <c r="B51" s="3352" t="s">
        <v>1346</v>
      </c>
      <c r="C51" s="3352"/>
      <c r="D51" s="1024"/>
      <c r="E51" s="319"/>
      <c r="F51" s="2231"/>
      <c r="G51" s="3337"/>
      <c r="H51" s="2136" t="s">
        <v>2136</v>
      </c>
      <c r="I51" s="2135"/>
      <c r="J51" s="2309" t="s">
        <v>1347</v>
      </c>
      <c r="K51" s="3304" t="s">
        <v>1348</v>
      </c>
      <c r="L51" s="3304"/>
      <c r="M51" s="2309" t="s">
        <v>1349</v>
      </c>
      <c r="N51" s="2309" t="s">
        <v>1350</v>
      </c>
      <c r="O51" s="2309" t="s">
        <v>1351</v>
      </c>
    </row>
    <row r="52" spans="1:35" ht="24" customHeight="1">
      <c r="A52" s="2153" t="s">
        <v>1352</v>
      </c>
      <c r="B52" s="3352" t="s">
        <v>1353</v>
      </c>
      <c r="C52" s="3352"/>
      <c r="D52" s="1024">
        <f ca="1">ROUND(D45*'数据-取费表'!B41/(1+'数据-取费表'!C42),0)</f>
        <v>37</v>
      </c>
      <c r="E52" s="1256" t="s">
        <v>1354</v>
      </c>
      <c r="F52" s="2338">
        <f>'数据-取费表'!B41</f>
        <v>5.6000000000000001E-2</v>
      </c>
      <c r="G52" s="2339"/>
      <c r="H52" s="2329"/>
      <c r="I52" s="1669"/>
      <c r="J52" s="2308">
        <v>1</v>
      </c>
      <c r="K52" s="3329" t="s">
        <v>1355</v>
      </c>
      <c r="L52" s="3329"/>
      <c r="M52" s="2310" t="b">
        <f>D48</f>
        <v>0</v>
      </c>
      <c r="N52" s="2308" t="str">
        <f>E48</f>
        <v>销售额×税（费）率</v>
      </c>
      <c r="O52" s="2311">
        <f>F48</f>
        <v>5.6000000000000001E-2</v>
      </c>
    </row>
    <row r="53" spans="1:35" ht="12" customHeight="1">
      <c r="A53" s="2153" t="s">
        <v>1356</v>
      </c>
      <c r="B53" s="3353" t="s">
        <v>2291</v>
      </c>
      <c r="C53" s="3354"/>
      <c r="D53" s="1024">
        <f ca="1">ROUND(D45*'数据-取费表'!B41/(1+'数据-取费表'!C42),0)</f>
        <v>37</v>
      </c>
      <c r="E53" s="1256" t="s">
        <v>1354</v>
      </c>
      <c r="F53" s="2338">
        <f>'数据-取费表'!B41</f>
        <v>5.6000000000000001E-2</v>
      </c>
      <c r="G53" s="2339"/>
      <c r="H53" s="2329"/>
      <c r="I53" s="1669"/>
      <c r="J53" s="2308">
        <v>2</v>
      </c>
      <c r="K53" s="3329" t="s">
        <v>1357</v>
      </c>
      <c r="L53" s="3329"/>
      <c r="M53" s="2310">
        <f t="shared" ref="M53:O54" ca="1" si="0">D55</f>
        <v>0</v>
      </c>
      <c r="N53" s="2308" t="str">
        <f t="shared" si="0"/>
        <v>销售额×税（费）率</v>
      </c>
      <c r="O53" s="2311" t="str">
        <f t="shared" si="0"/>
        <v>免征</v>
      </c>
    </row>
    <row r="54" spans="1:35" ht="12" customHeight="1">
      <c r="A54" s="2153" t="s">
        <v>1358</v>
      </c>
      <c r="B54" s="3353" t="s">
        <v>2292</v>
      </c>
      <c r="C54" s="3354"/>
      <c r="D54" s="1024">
        <f ca="1">C68</f>
        <v>37</v>
      </c>
      <c r="E54" s="319" t="s">
        <v>1359</v>
      </c>
      <c r="F54" s="2338">
        <f>'数据-取费表'!B41</f>
        <v>5.6000000000000001E-2</v>
      </c>
      <c r="G54" s="2339"/>
      <c r="H54" s="2340"/>
      <c r="I54" s="1669"/>
      <c r="J54" s="2308">
        <v>3</v>
      </c>
      <c r="K54" s="3329" t="s">
        <v>1360</v>
      </c>
      <c r="L54" s="3329"/>
      <c r="M54" s="2310">
        <f t="shared" ca="1" si="0"/>
        <v>396</v>
      </c>
      <c r="N54" s="2308" t="str">
        <f t="shared" si="0"/>
        <v>增值额×税（费）率</v>
      </c>
      <c r="O54" s="2312" t="str">
        <f t="shared" si="0"/>
        <v>免征</v>
      </c>
    </row>
    <row r="55" spans="1:35" ht="24" customHeight="1">
      <c r="A55" s="3389" t="s">
        <v>1361</v>
      </c>
      <c r="B55" s="3367"/>
      <c r="C55" s="3367"/>
      <c r="D55" s="12">
        <f ca="1">IF(H55="个人住宅",0,ROUND(D45*I55,0))</f>
        <v>0</v>
      </c>
      <c r="E55" s="1256" t="s">
        <v>1362</v>
      </c>
      <c r="F55" s="2338" t="str">
        <f>IF(H55="正常",I55,"免征")</f>
        <v>免征</v>
      </c>
      <c r="G55" s="2339"/>
      <c r="H55" s="2335"/>
      <c r="I55" s="157">
        <f>'数据-取费表'!B49</f>
        <v>5.0000000000000001E-4</v>
      </c>
      <c r="J55" s="2308">
        <f>IF(H59="非个人房产","",4)</f>
        <v>4</v>
      </c>
      <c r="K55" s="3329" t="str">
        <f>IF(H59="非个人房产","——","个人所得税")</f>
        <v>个人所得税</v>
      </c>
      <c r="L55" s="3329"/>
      <c r="M55" s="2313">
        <f ca="1">D59</f>
        <v>7</v>
      </c>
      <c r="N55" s="1883" t="str">
        <f>E59</f>
        <v>差额计税</v>
      </c>
      <c r="O55" s="2314">
        <f>F59</f>
        <v>0.01</v>
      </c>
    </row>
    <row r="56" spans="1:35" ht="25.2">
      <c r="A56" s="3389" t="s">
        <v>1363</v>
      </c>
      <c r="B56" s="3367"/>
      <c r="C56" s="3367"/>
      <c r="D56" s="12">
        <f ca="1">IF(H56="个人住宅",D57,D58)</f>
        <v>396</v>
      </c>
      <c r="E56" s="1256" t="s">
        <v>1364</v>
      </c>
      <c r="F56" s="2338" t="str">
        <f>IF(H56="正常",F58,"免征")</f>
        <v>免征</v>
      </c>
      <c r="G56" s="2341" t="s">
        <v>1365</v>
      </c>
      <c r="H56" s="2342"/>
      <c r="I56" s="1670"/>
      <c r="J56" s="2308" t="str">
        <f>IF(项目基本情况!K6="上海银行",IF(J55="",4,J55+1),"")</f>
        <v/>
      </c>
      <c r="K56" s="3310" t="str">
        <f>IF(项目基本情况!K6="上海银行","其他处置费用","")</f>
        <v/>
      </c>
      <c r="L56" s="3311"/>
      <c r="M56" s="2310" t="str">
        <f>IF(项目基本情况!K6="上海银行",M69,"")</f>
        <v/>
      </c>
      <c r="N56" s="3310" t="str">
        <f>IF(项目基本情况!K6="上海银行","包含处置中涉及的律师、诉讼、拍卖、评估等费用","")</f>
        <v/>
      </c>
      <c r="O56" s="3313"/>
    </row>
    <row r="57" spans="1:35" ht="13.2">
      <c r="A57" s="2153" t="s">
        <v>1341</v>
      </c>
      <c r="B57" s="3353" t="s">
        <v>1366</v>
      </c>
      <c r="C57" s="3354"/>
      <c r="D57" s="1478">
        <v>0</v>
      </c>
      <c r="E57" s="316" t="s">
        <v>1343</v>
      </c>
      <c r="F57" s="294"/>
      <c r="G57" s="2339"/>
      <c r="H57" s="2343"/>
      <c r="I57" s="1670"/>
      <c r="J57" s="3329">
        <f>IF(AND(J55="",J56=""),4,IF(项目基本情况!K6="上海银行",结果表!J56+1,结果表!J55+1))</f>
        <v>5</v>
      </c>
      <c r="K57" s="3329" t="s">
        <v>1367</v>
      </c>
      <c r="L57" s="2315" t="s">
        <v>1368</v>
      </c>
      <c r="M57" s="2316"/>
      <c r="N57" s="2317">
        <f ca="1">SUMIF(M52:M56,"&lt;9e307")</f>
        <v>403</v>
      </c>
      <c r="O57" s="2318"/>
      <c r="P57" s="2462">
        <f ca="1">N57/M49</f>
        <v>0.57571428571428573</v>
      </c>
    </row>
    <row r="58" spans="1:35" ht="25.2">
      <c r="A58" s="2153" t="s">
        <v>1352</v>
      </c>
      <c r="B58" s="3353" t="s">
        <v>1369</v>
      </c>
      <c r="C58" s="3352"/>
      <c r="D58" s="12">
        <f ca="1">IF(H58="转让取得",C81,C97)</f>
        <v>396</v>
      </c>
      <c r="E58" s="1256" t="s">
        <v>1364</v>
      </c>
      <c r="F58" s="294" t="s">
        <v>28</v>
      </c>
      <c r="G58" s="2339"/>
      <c r="H58" s="2342"/>
      <c r="I58" s="1670"/>
      <c r="J58" s="3329"/>
      <c r="K58" s="3329"/>
      <c r="L58" s="2315" t="s">
        <v>1370</v>
      </c>
      <c r="M58" s="2319"/>
      <c r="N58" s="2320" t="str">
        <f ca="1">NUMBERSTRING(INT(N57*10000),2)&amp;"元整"</f>
        <v>肆佰零叁万元整</v>
      </c>
      <c r="O58" s="2321"/>
    </row>
    <row r="59" spans="1:35" ht="24.6" thickBot="1">
      <c r="A59" s="3333" t="s">
        <v>1371</v>
      </c>
      <c r="B59" s="3334"/>
      <c r="C59" s="3334"/>
      <c r="D59" s="2344">
        <f ca="1">IF(H59="非个人房产","——",IF(H59="个人住宅（满五唯一有凭证）",0,IF(H59="个人其他（无凭证）",ROUND(D45*F59,0),ROUND(C67*F59,0))))</f>
        <v>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31">
        <f>J57+1</f>
        <v>6</v>
      </c>
      <c r="K59" s="3329" t="s">
        <v>1372</v>
      </c>
      <c r="L59" s="2308" t="s">
        <v>1368</v>
      </c>
      <c r="M59" s="2322"/>
      <c r="N59" s="2323">
        <f ca="1">M49-N57</f>
        <v>297</v>
      </c>
      <c r="O59" s="2324"/>
    </row>
    <row r="60" spans="1:35" ht="12" customHeight="1">
      <c r="A60" s="1671"/>
      <c r="B60" s="646"/>
      <c r="C60" s="646"/>
      <c r="D60" s="646"/>
      <c r="E60" s="1466"/>
      <c r="F60" s="1670"/>
      <c r="G60" s="1670"/>
      <c r="H60" s="151"/>
      <c r="I60" s="121"/>
      <c r="J60" s="3332"/>
      <c r="K60" s="3329"/>
      <c r="L60" s="2315" t="s">
        <v>1370</v>
      </c>
      <c r="M60" s="2319"/>
      <c r="N60" s="2320" t="str">
        <f ca="1">NUMBERSTRING(INT(N59*10000),2)&amp;"元整"</f>
        <v>贰佰玖拾柒万元整</v>
      </c>
      <c r="O60" s="2321"/>
    </row>
    <row r="61" spans="1:35" ht="13.8" thickBot="1">
      <c r="A61" s="3388" t="s">
        <v>1373</v>
      </c>
      <c r="B61" s="3388"/>
      <c r="C61" s="3388"/>
      <c r="D61" s="3388"/>
      <c r="E61" s="3388"/>
      <c r="F61" s="1670"/>
      <c r="G61" s="1670"/>
      <c r="H61" s="151"/>
      <c r="I61" s="121"/>
      <c r="J61" s="2308">
        <f>J59+1</f>
        <v>7</v>
      </c>
      <c r="K61" s="3329" t="s">
        <v>1374</v>
      </c>
      <c r="L61" s="3329"/>
      <c r="M61" s="2325"/>
      <c r="N61" s="2326">
        <f ca="1">ROUND(N59*10000/'数据-汇总表'!E3,0)</f>
        <v>12264</v>
      </c>
      <c r="O61" s="2327"/>
    </row>
    <row r="62" spans="1:35" ht="13.2">
      <c r="A62" s="3348" t="s">
        <v>1375</v>
      </c>
      <c r="B62" s="3349"/>
      <c r="C62" s="1865"/>
      <c r="D62" s="1865" t="s">
        <v>1376</v>
      </c>
      <c r="E62" s="158" t="s">
        <v>1377</v>
      </c>
      <c r="F62" s="1670"/>
      <c r="G62" s="1670"/>
      <c r="H62" s="151"/>
      <c r="I62" s="121"/>
    </row>
    <row r="63" spans="1:35" ht="13.2">
      <c r="A63" s="165" t="s">
        <v>330</v>
      </c>
      <c r="B63" s="159" t="s">
        <v>1378</v>
      </c>
      <c r="C63" s="2348">
        <f ca="1">ROUND((C64+C65)/(1+'数据-取费表'!C42),0)</f>
        <v>667</v>
      </c>
      <c r="D63" s="159"/>
      <c r="E63" s="160"/>
      <c r="F63" s="1670"/>
      <c r="G63" s="1670"/>
      <c r="H63" s="151"/>
      <c r="I63" s="121"/>
      <c r="J63" s="3312" t="s">
        <v>1379</v>
      </c>
      <c r="K63" s="1245" t="s">
        <v>1380</v>
      </c>
      <c r="L63" s="1245">
        <f ca="1">IF(M49&gt;10000,M49*0.5%,IF(AND(M49&gt;1000,M49&lt;=10000),M49*1%,IF(AND(M49&gt;100,M49&lt;=1000),M49*3%,IF(AND(M49&gt;10,M49&lt;=100),M49*5%,M49*8%))))</f>
        <v>21</v>
      </c>
      <c r="M63" s="294">
        <f ca="1">ROUND(L63,1)</f>
        <v>21</v>
      </c>
      <c r="N63" s="2328"/>
      <c r="Z63" s="1623"/>
      <c r="AI63" s="1561"/>
    </row>
    <row r="64" spans="1:35" ht="14.25" customHeight="1">
      <c r="A64" s="161" t="s">
        <v>325</v>
      </c>
      <c r="B64" s="162" t="s">
        <v>1381</v>
      </c>
      <c r="C64" s="2349">
        <f ca="1">D45</f>
        <v>700</v>
      </c>
      <c r="D64" s="162" t="s">
        <v>26</v>
      </c>
      <c r="E64" s="164"/>
      <c r="F64" s="1670"/>
      <c r="G64" s="1670"/>
      <c r="H64" s="151"/>
      <c r="I64" s="121"/>
      <c r="J64" s="3312"/>
      <c r="K64" s="1245" t="s">
        <v>1382</v>
      </c>
      <c r="L64" s="1245">
        <f ca="1">IF(M49&gt;2000,M49*0.5%,IF(AND(M49&gt;1000,M49&lt;=2000),M49*0.6%,IF(AND(M49&gt;500,M49&lt;=1000),M49*0.7%,IF(AND(M49&gt;200,M49&lt;=500),M49*0.8%,IF(AND(M49&gt;100,M49&lt;=200),M49*0.9%,IF(AND(M49&gt;50,M49&lt;=100),M49*1%,IF(AND(M49&gt;20,M49&lt;=50),M49*1.5%,IF(AND(M49&gt;10,M49&lt;=20),M49*2%,IF(AND(M49&gt;1,M49&lt;=10),M49*2.5%)))))))))</f>
        <v>4.8999999999999995</v>
      </c>
      <c r="M64" s="294">
        <f t="shared" ref="M64:M65" ca="1" si="1">ROUND(L64,1)</f>
        <v>4.9000000000000004</v>
      </c>
      <c r="N64" s="2329" t="s">
        <v>1383</v>
      </c>
      <c r="Z64" s="1623"/>
      <c r="AI64" s="1561"/>
    </row>
    <row r="65" spans="1:35" ht="14.25" customHeight="1">
      <c r="A65" s="161" t="s">
        <v>326</v>
      </c>
      <c r="B65" s="162" t="s">
        <v>1384</v>
      </c>
      <c r="C65" s="2350"/>
      <c r="D65" s="162"/>
      <c r="E65" s="164"/>
      <c r="F65" s="1670"/>
      <c r="G65" s="1670"/>
      <c r="H65" s="151"/>
      <c r="I65" s="121"/>
      <c r="J65" s="3312"/>
      <c r="K65" s="1245" t="s">
        <v>1385</v>
      </c>
      <c r="L65" s="1245">
        <f ca="1">IF(M49&gt;1000,M49*0.1%,IF(AND(M49&gt;500,M49&lt;=1000),M49*0.5%,IF(AND(M49&gt;50,M49&lt;=500),M49*1%,IF(AND(M49&gt;1,M49&lt;=50),M49*1.5%))))</f>
        <v>3.5</v>
      </c>
      <c r="M65" s="294">
        <f t="shared" ca="1" si="1"/>
        <v>3.5</v>
      </c>
      <c r="N65" s="2329" t="s">
        <v>1383</v>
      </c>
      <c r="Z65" s="1623"/>
      <c r="AI65" s="1561"/>
    </row>
    <row r="66" spans="1:35" ht="14.25" customHeight="1">
      <c r="A66" s="165" t="s">
        <v>327</v>
      </c>
      <c r="B66" s="166" t="s">
        <v>1386</v>
      </c>
      <c r="C66" s="2351"/>
      <c r="D66" s="166" t="s">
        <v>26</v>
      </c>
      <c r="E66" s="1251" t="s">
        <v>671</v>
      </c>
      <c r="F66" s="1670"/>
      <c r="G66" s="1670"/>
      <c r="H66" s="151"/>
      <c r="I66" s="121"/>
      <c r="J66" s="3312"/>
      <c r="K66" s="1245" t="s">
        <v>1387</v>
      </c>
      <c r="L66" s="1245">
        <f ca="1">M49*0.5%</f>
        <v>3.5</v>
      </c>
      <c r="M66" s="294">
        <f ca="1">IF(L66&gt;0.5,0.5,ROUND(L66,0))</f>
        <v>0.5</v>
      </c>
      <c r="N66" s="2329" t="s">
        <v>1388</v>
      </c>
      <c r="Z66" s="1623"/>
      <c r="AI66" s="1561"/>
    </row>
    <row r="67" spans="1:35" ht="14.25" customHeight="1">
      <c r="A67" s="165" t="s">
        <v>328</v>
      </c>
      <c r="B67" s="166" t="s">
        <v>1389</v>
      </c>
      <c r="C67" s="2352">
        <f ca="1">C63-C66</f>
        <v>667</v>
      </c>
      <c r="D67" s="162" t="s">
        <v>26</v>
      </c>
      <c r="E67" s="164"/>
      <c r="F67" s="1670"/>
      <c r="G67" s="1670"/>
      <c r="H67" s="151"/>
      <c r="I67" s="121"/>
      <c r="J67" s="3312"/>
      <c r="K67" s="1245" t="s">
        <v>1390</v>
      </c>
      <c r="L67" s="1245">
        <f ca="1">IF(M49&gt;=10000,(8.25+(M49-10000)*0.01%),IF(AND(M49&gt;=8000,M49&lt;10000),(7.85+(M49-8000)*0.02%),IF(AND(M49&gt;=5000,M49&lt;8000),(6.65+(M49-5000)*0.04%),IF(AND(M49&gt;=2000,M49&lt;5000),(4.25+(PM49-2000)*0.08%),IF(AND(M49&gt;=1000,M49&lt;2000),(2.75+(M49-1000)*0.15%),IF(AND(M49&gt;=100,M49&lt;1000),(0.5+(M49-100)*0.25%),IF(AND(M49&gt;0,M49&lt;100),M49*0.5%)))))))</f>
        <v>2</v>
      </c>
      <c r="M67" s="294">
        <f ca="1">ROUND(L67*0.9,1)</f>
        <v>1.8</v>
      </c>
      <c r="N67" s="2328"/>
      <c r="Z67" s="1623"/>
      <c r="AI67" s="1561"/>
    </row>
    <row r="68" spans="1:35" ht="14.25" customHeight="1" thickBot="1">
      <c r="A68" s="168" t="s">
        <v>329</v>
      </c>
      <c r="B68" s="169" t="s">
        <v>1391</v>
      </c>
      <c r="C68" s="2353">
        <f ca="1">IF(C67&lt;=0,0,ROUND(C67*D68,0))</f>
        <v>37</v>
      </c>
      <c r="D68" s="2354">
        <f>'数据-取费表'!B41</f>
        <v>5.6000000000000001E-2</v>
      </c>
      <c r="E68" s="170"/>
      <c r="F68" s="1670"/>
      <c r="G68" s="1670"/>
      <c r="H68" s="151"/>
      <c r="I68" s="121"/>
      <c r="J68" s="3312"/>
      <c r="K68" s="1245" t="s">
        <v>1392</v>
      </c>
      <c r="L68" s="1245">
        <f ca="1">IF(M49&gt;10000,M49*0.5%,IF(AND(M49&gt;5000,M49&lt;=10000),M49*1%,IF(AND(M49&gt;1000,M49&lt;=5000),M49*2%,IF(AND(M49&gt;200,M49&lt;=1000),M49*3%,M49*5%))))</f>
        <v>21</v>
      </c>
      <c r="M68" s="294">
        <f ca="1">ROUND(L68,1)</f>
        <v>21</v>
      </c>
      <c r="N68" s="2328"/>
      <c r="Z68" s="1623"/>
      <c r="AI68" s="1561"/>
    </row>
    <row r="69" spans="1:35" ht="16.5" customHeight="1">
      <c r="A69" s="1672"/>
      <c r="B69" s="1673"/>
      <c r="C69" s="1674"/>
      <c r="D69" s="1675"/>
      <c r="E69" s="1676"/>
      <c r="F69" s="1466"/>
      <c r="G69" s="1466"/>
      <c r="H69" s="1467"/>
      <c r="I69" s="646"/>
      <c r="J69" s="3312"/>
      <c r="K69" s="1245" t="s">
        <v>1393</v>
      </c>
      <c r="L69" s="1245"/>
      <c r="M69" s="294">
        <f ca="1">ROUND(SUM(M63:M68),0)</f>
        <v>53</v>
      </c>
      <c r="N69" s="2330">
        <f ca="1">M69/M49</f>
        <v>7.571428571428572E-2</v>
      </c>
      <c r="Z69" s="1623"/>
      <c r="AI69" s="1561"/>
    </row>
    <row r="70" spans="1:35" s="642" customFormat="1" ht="14.4" thickBot="1">
      <c r="A70" s="3356" t="s">
        <v>1394</v>
      </c>
      <c r="B70" s="3357"/>
      <c r="C70" s="3357"/>
      <c r="D70" s="3357"/>
      <c r="E70" s="3357"/>
      <c r="F70" s="3357"/>
      <c r="G70" s="3357"/>
      <c r="H70" s="335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48" t="s">
        <v>1375</v>
      </c>
      <c r="B71" s="334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667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53" t="s">
        <v>1402</v>
      </c>
      <c r="F76" s="3352"/>
      <c r="G76" s="3352"/>
      <c r="H76" s="335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4</v>
      </c>
      <c r="D78" s="2361">
        <f>'数据-取费表'!B43</f>
        <v>6.000000000000001E-3</v>
      </c>
      <c r="E78" s="3345" t="s">
        <v>1406</v>
      </c>
      <c r="F78" s="3346"/>
      <c r="G78" s="3346"/>
      <c r="H78" s="334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663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396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6" t="s">
        <v>1410</v>
      </c>
      <c r="B83" s="3357"/>
      <c r="C83" s="3357"/>
      <c r="D83" s="3357"/>
      <c r="E83" s="3357"/>
      <c r="F83" s="3357"/>
      <c r="G83" s="3357"/>
      <c r="H83" s="335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48" t="s">
        <v>1375</v>
      </c>
      <c r="B84" s="334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667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14" t="s">
        <v>2129</v>
      </c>
      <c r="H90" s="331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45" t="s">
        <v>1419</v>
      </c>
      <c r="F91" s="3346"/>
      <c r="G91" s="334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45" t="s">
        <v>1422</v>
      </c>
      <c r="F92" s="3346"/>
      <c r="G92" s="3346"/>
      <c r="H92" s="3347"/>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4</v>
      </c>
      <c r="D93" s="2361">
        <f>'数据-取费表'!B43</f>
        <v>6.000000000000001E-3</v>
      </c>
      <c r="E93" s="3345" t="s">
        <v>1406</v>
      </c>
      <c r="F93" s="3346"/>
      <c r="G93" s="3346"/>
      <c r="H93" s="334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90" t="s">
        <v>1426</v>
      </c>
      <c r="F94" s="3391"/>
      <c r="G94" s="3391"/>
      <c r="H94" s="33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663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396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5" t="s">
        <v>1428</v>
      </c>
      <c r="B100" s="3296"/>
      <c r="C100" s="3296"/>
      <c r="D100" s="3330"/>
      <c r="E100" s="3296" t="s">
        <v>1429</v>
      </c>
      <c r="F100" s="3296"/>
      <c r="G100" s="3296"/>
      <c r="H100" s="3330"/>
      <c r="I100" s="121"/>
    </row>
    <row r="101" spans="1:35" ht="18.75" customHeight="1">
      <c r="A101" s="3338" t="s">
        <v>1430</v>
      </c>
      <c r="B101" s="3339"/>
      <c r="C101" s="2369" t="str">
        <f>C4</f>
        <v>比较法-商业</v>
      </c>
      <c r="D101" s="2370" t="str">
        <f>D4</f>
        <v>收益法 (元)</v>
      </c>
      <c r="E101" s="3308" t="s">
        <v>1431</v>
      </c>
      <c r="F101" s="3309"/>
      <c r="G101" s="1687" t="s">
        <v>1432</v>
      </c>
      <c r="H101" s="2379">
        <f ca="1">H118</f>
        <v>700</v>
      </c>
      <c r="I101" s="121"/>
    </row>
    <row r="102" spans="1:35" ht="18.75" customHeight="1">
      <c r="A102" s="3340" t="s">
        <v>1433</v>
      </c>
      <c r="B102" s="2368" t="s">
        <v>1432</v>
      </c>
      <c r="C102" s="2369">
        <f ca="1">IF(D32="楼面单价",ROUND(C19,0),C19)</f>
        <v>793</v>
      </c>
      <c r="D102" s="2370">
        <f ca="1">IF(D32="楼面单价",ROUND(D19,0),D19)</f>
        <v>485</v>
      </c>
      <c r="E102" s="3308"/>
      <c r="F102" s="3309"/>
      <c r="G102" s="1687" t="s">
        <v>1434</v>
      </c>
      <c r="H102" s="2339">
        <f ca="1">I118</f>
        <v>28915</v>
      </c>
      <c r="I102" s="121"/>
    </row>
    <row r="103" spans="1:35" ht="42.75" customHeight="1">
      <c r="A103" s="3340"/>
      <c r="B103" s="2368" t="s">
        <v>1434</v>
      </c>
      <c r="C103" s="2371">
        <f ca="1">C20</f>
        <v>32730</v>
      </c>
      <c r="D103" s="2372">
        <f ca="1">D20</f>
        <v>20012</v>
      </c>
      <c r="E103" s="3301" t="s">
        <v>1435</v>
      </c>
      <c r="F103" s="3302"/>
      <c r="G103" s="1688" t="s">
        <v>1436</v>
      </c>
      <c r="H103" s="2379">
        <f>IF(D36="正常操作",H104+H105+H106,H105+H106)</f>
        <v>0</v>
      </c>
      <c r="I103" s="121"/>
    </row>
    <row r="104" spans="1:35" ht="18.75" customHeight="1">
      <c r="A104" s="3340" t="s">
        <v>1437</v>
      </c>
      <c r="B104" s="2373" t="s">
        <v>1432</v>
      </c>
      <c r="C104" s="2374">
        <f ca="1">H118</f>
        <v>700</v>
      </c>
      <c r="D104" s="2375"/>
      <c r="E104" s="1555" t="s">
        <v>1438</v>
      </c>
      <c r="F104" s="1548"/>
      <c r="G104" s="1688" t="s">
        <v>1436</v>
      </c>
      <c r="H104" s="2380">
        <f>IF(D36="同一抵押权人同一抵押物续贷",C36&amp;"（续贷，未扣减，详见特别提示）",C36)</f>
        <v>0</v>
      </c>
      <c r="I104" s="121"/>
    </row>
    <row r="105" spans="1:35" ht="18.75" customHeight="1" thickBot="1">
      <c r="A105" s="3350"/>
      <c r="B105" s="2376" t="s">
        <v>1434</v>
      </c>
      <c r="C105" s="2377">
        <f ca="1">I118</f>
        <v>28915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1" t="str">
        <f>IF(项目基本情况!E8="已注销","——","3.房地产抵押价值")</f>
        <v>3.房地产抵押价值</v>
      </c>
      <c r="F107" s="3309"/>
      <c r="G107" s="1687" t="s">
        <v>1432</v>
      </c>
      <c r="H107" s="2379">
        <f ca="1">IF(E107="——","——",H101-H103)</f>
        <v>700</v>
      </c>
      <c r="I107" s="121"/>
    </row>
    <row r="108" spans="1:35" ht="18.75" customHeight="1">
      <c r="A108" s="121"/>
      <c r="B108" s="121"/>
      <c r="C108" s="121"/>
      <c r="D108" s="121"/>
      <c r="E108" s="3341"/>
      <c r="F108" s="3309"/>
      <c r="G108" s="1687" t="s">
        <v>1434</v>
      </c>
      <c r="H108" s="2339">
        <f ca="1">IF(H107=H101,H102,ROUND(H107*10000/'数据-汇总表'!E3,0))</f>
        <v>28915</v>
      </c>
      <c r="I108" s="121"/>
    </row>
    <row r="109" spans="1:35" ht="18.75" customHeight="1">
      <c r="A109" s="121"/>
      <c r="B109" s="121"/>
      <c r="C109" s="121"/>
      <c r="D109" s="121"/>
      <c r="E109" s="3341" t="str">
        <f>IF(项目基本情况!E8="已注销及未注销","4.抵押担保权已注销时的房地产抵押价值",IF(项目基本情况!E8="已注销","3.抵押担保权已注销时的房地产抵押价值","——"))</f>
        <v>——</v>
      </c>
      <c r="F109" s="3309"/>
      <c r="G109" s="1687" t="s">
        <v>1432</v>
      </c>
      <c r="H109" s="2382" t="str">
        <f>IF(E109="——","——",H101-H105-H106)</f>
        <v>——</v>
      </c>
      <c r="I109" s="121"/>
    </row>
    <row r="110" spans="1:35" ht="18.75" customHeight="1">
      <c r="A110" s="121"/>
      <c r="B110" s="121"/>
      <c r="C110" s="121"/>
      <c r="D110" s="121"/>
      <c r="E110" s="3341"/>
      <c r="F110" s="3309"/>
      <c r="G110" s="1687" t="s">
        <v>1434</v>
      </c>
      <c r="H110" s="2339"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28"/>
      <c r="G111" s="1687" t="s">
        <v>1432</v>
      </c>
      <c r="H111" s="2379" t="str">
        <f>IF(E111="——","——",N59)</f>
        <v>——</v>
      </c>
      <c r="I111" s="121"/>
    </row>
    <row r="112" spans="1:35" ht="18.75" customHeight="1" thickBot="1">
      <c r="A112" s="121"/>
      <c r="B112" s="121"/>
      <c r="C112" s="121"/>
      <c r="D112" s="121"/>
      <c r="E112" s="3343"/>
      <c r="F112" s="3344"/>
      <c r="G112" s="1690" t="s">
        <v>1434</v>
      </c>
      <c r="H112" s="2383" t="str">
        <f>IF(E111="——","——",N61)</f>
        <v>——</v>
      </c>
      <c r="I112" s="121"/>
    </row>
    <row r="113" spans="1:27" ht="18.75" customHeight="1">
      <c r="A113" s="121"/>
      <c r="B113" s="121"/>
      <c r="C113" s="121"/>
      <c r="D113" s="121"/>
      <c r="E113" s="3351" t="s">
        <v>1440</v>
      </c>
      <c r="F113" s="3351"/>
      <c r="G113" s="3351"/>
      <c r="H113" s="3351"/>
      <c r="I113" s="121"/>
    </row>
    <row r="114" spans="1:27" ht="3.75" customHeight="1">
      <c r="A114" s="646"/>
      <c r="B114" s="646"/>
      <c r="C114" s="646"/>
      <c r="D114" s="646"/>
      <c r="E114" s="1671"/>
      <c r="F114" s="1671"/>
      <c r="G114" s="1671"/>
      <c r="H114" s="1671"/>
      <c r="I114" s="646"/>
    </row>
    <row r="115" spans="1:27" ht="18.75" customHeight="1">
      <c r="A115" s="3359" t="s">
        <v>1442</v>
      </c>
      <c r="B115" s="3360"/>
      <c r="C115" s="3360"/>
      <c r="D115" s="3360"/>
      <c r="E115" s="3360"/>
      <c r="F115" s="3360"/>
      <c r="G115" s="3360"/>
      <c r="H115" s="3360"/>
      <c r="I115" s="3361"/>
    </row>
    <row r="116" spans="1:27" ht="27" customHeight="1">
      <c r="A116" s="3316" t="s">
        <v>1443</v>
      </c>
      <c r="B116" s="3320" t="s">
        <v>1444</v>
      </c>
      <c r="C116" s="3320" t="s">
        <v>1445</v>
      </c>
      <c r="D116" s="3326" t="s">
        <v>1446</v>
      </c>
      <c r="E116" s="3327"/>
      <c r="F116" s="3358" t="s">
        <v>1447</v>
      </c>
      <c r="G116" s="3358"/>
      <c r="H116" s="3316" t="s">
        <v>1448</v>
      </c>
      <c r="I116" s="3316"/>
    </row>
    <row r="117" spans="1:27" ht="18.75" customHeight="1">
      <c r="A117" s="3316"/>
      <c r="B117" s="3321"/>
      <c r="C117" s="3321"/>
      <c r="D117" s="2150" t="s">
        <v>1449</v>
      </c>
      <c r="E117" s="2150" t="s">
        <v>1450</v>
      </c>
      <c r="F117" s="2150" t="s">
        <v>1449</v>
      </c>
      <c r="G117" s="2150" t="s">
        <v>1451</v>
      </c>
      <c r="H117" s="2150" t="s">
        <v>1449</v>
      </c>
      <c r="I117" s="2150" t="s">
        <v>1451</v>
      </c>
    </row>
    <row r="118" spans="1:27" ht="24.75" customHeight="1">
      <c r="A118" s="2384" t="str">
        <f>项目基本情况!S2</f>
        <v>北京市石景山区古城西路66号院1号楼1至2层102房地产</v>
      </c>
      <c r="B118" s="2150">
        <f>M18</f>
        <v>242.17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700</v>
      </c>
      <c r="I118" s="2150">
        <f ca="1">ROUND(IF(D32="楼面单价",C32,H118*10000/B118),0)</f>
        <v>28915</v>
      </c>
    </row>
    <row r="119" spans="1:27" ht="18.75" customHeight="1">
      <c r="A119" s="3316" t="s">
        <v>1452</v>
      </c>
      <c r="B119" s="3316"/>
      <c r="C119" s="3316"/>
      <c r="D119" s="3322" t="str">
        <f>NUMBERSTRING(INT(D118*10000),2)&amp;"元整"</f>
        <v>零元整</v>
      </c>
      <c r="E119" s="3323"/>
      <c r="F119" s="3322" t="str">
        <f>NUMBERSTRING(INT(F118*10000),2)&amp;"元整"</f>
        <v>零元整</v>
      </c>
      <c r="G119" s="3323"/>
      <c r="H119" s="3322" t="str">
        <f ca="1">NUMBERSTRING(INT(H118*10000),2)&amp;"元整"</f>
        <v>柒佰万元整</v>
      </c>
      <c r="I119" s="3323"/>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4"/>
      <c r="C121" s="3323"/>
      <c r="D121" s="3322" t="str">
        <f>IF(D120=0,"零元整",NUMBERSTRING(INT(D120*10000),2)&amp;"元整")</f>
        <v>零元整</v>
      </c>
      <c r="E121" s="3324"/>
      <c r="F121" s="3324"/>
      <c r="G121" s="3324"/>
      <c r="H121" s="3324"/>
      <c r="I121" s="3323"/>
      <c r="AA121" s="684"/>
    </row>
    <row r="122" spans="1:27" ht="18.75" customHeight="1">
      <c r="A122" s="3328" t="str">
        <f>IF(项目基本情况!B9="房地产市场价值","",MID(E107,3,LEN(E107)-2))</f>
        <v>房地产抵押价值</v>
      </c>
      <c r="B122" s="3328"/>
      <c r="C122" s="3328"/>
      <c r="D122" s="3317">
        <f ca="1">H107</f>
        <v>700</v>
      </c>
      <c r="E122" s="3318"/>
      <c r="F122" s="3318"/>
      <c r="G122" s="3318"/>
      <c r="H122" s="3318"/>
      <c r="I122" s="3319"/>
      <c r="AA122" s="684"/>
    </row>
    <row r="123" spans="1:27" ht="18.75" customHeight="1">
      <c r="A123" s="3316" t="s">
        <v>1452</v>
      </c>
      <c r="B123" s="3316"/>
      <c r="C123" s="3316"/>
      <c r="D123" s="3322" t="str">
        <f ca="1">NUMBERSTRING(INT(D122*10000),2)&amp;"元整"</f>
        <v>柒佰万元整</v>
      </c>
      <c r="E123" s="3324"/>
      <c r="F123" s="3324"/>
      <c r="G123" s="3324"/>
      <c r="H123" s="3324"/>
      <c r="I123" s="3323"/>
      <c r="AA123" s="684"/>
    </row>
    <row r="124" spans="1:27" ht="18.75" customHeight="1">
      <c r="A124" s="3328" t="str">
        <f>IF(项目基本情况!B9="房地产市场价值","",MID(E109,3,LEN(E109)-2))</f>
        <v/>
      </c>
      <c r="B124" s="3328"/>
      <c r="C124" s="3328"/>
      <c r="D124" s="3317" t="str">
        <f>H109</f>
        <v>——</v>
      </c>
      <c r="E124" s="3318"/>
      <c r="F124" s="3318"/>
      <c r="G124" s="3318"/>
      <c r="H124" s="3318"/>
      <c r="I124" s="3319"/>
      <c r="AA124" s="684"/>
    </row>
    <row r="125" spans="1:27" ht="18.75" customHeight="1">
      <c r="A125" s="3316" t="s">
        <v>1452</v>
      </c>
      <c r="B125" s="3316"/>
      <c r="C125" s="3316"/>
      <c r="D125" s="3322" t="e">
        <f>NUMBERSTRING(INT(D124*10000),2)&amp;"元整"</f>
        <v>#VALUE!</v>
      </c>
      <c r="E125" s="3324"/>
      <c r="F125" s="3324"/>
      <c r="G125" s="3324"/>
      <c r="H125" s="3324"/>
      <c r="I125" s="3323"/>
      <c r="AA125" s="684"/>
    </row>
    <row r="126" spans="1:27" ht="18.75" customHeight="1">
      <c r="A126" s="3328" t="str">
        <f>IF(项目基本情况!B9="房地产市场价值","",MID(E111,3,LEN(E111)-2))</f>
        <v/>
      </c>
      <c r="B126" s="3328"/>
      <c r="C126" s="3328"/>
      <c r="D126" s="3317" t="str">
        <f>H111</f>
        <v>——</v>
      </c>
      <c r="E126" s="3318"/>
      <c r="F126" s="3318"/>
      <c r="G126" s="3318"/>
      <c r="H126" s="3318"/>
      <c r="I126" s="3319"/>
      <c r="AA126" s="684"/>
    </row>
    <row r="127" spans="1:27" ht="18.75" customHeight="1">
      <c r="A127" s="3316" t="s">
        <v>1452</v>
      </c>
      <c r="B127" s="3316"/>
      <c r="C127" s="3316"/>
      <c r="D127" s="3322" t="e">
        <f>NUMBERSTRING(INT(D126*10000),2)&amp;"元整"</f>
        <v>#VALUE!</v>
      </c>
      <c r="E127" s="3324"/>
      <c r="F127" s="3324"/>
      <c r="G127" s="3324"/>
      <c r="H127" s="3324"/>
      <c r="I127" s="3323"/>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5038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242.17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242.17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242.17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95" t="s">
        <v>1544</v>
      </c>
    </row>
    <row r="43" spans="1:7" ht="13.5" customHeight="1">
      <c r="A43" s="734" t="s">
        <v>347</v>
      </c>
      <c r="B43" s="207" t="s">
        <v>1545</v>
      </c>
      <c r="C43" s="230">
        <f ca="1">ROUND(IF('数据-取费表'!B22&lt;=1,C39*F22*'数据-取费表'!B21/2,C39*(POWER((1+F22),'数据-取费表'!B21/2)-1)),0)</f>
        <v>0</v>
      </c>
      <c r="D43" s="230"/>
      <c r="E43" s="230"/>
      <c r="F43" s="231"/>
      <c r="G43" s="3396"/>
    </row>
    <row r="44" spans="1:7" ht="13.5" customHeight="1">
      <c r="A44" s="734" t="s">
        <v>348</v>
      </c>
      <c r="B44" s="207" t="s">
        <v>1546</v>
      </c>
      <c r="C44" s="230">
        <f ca="1">ROUND(IF('数据-取费表'!B22&lt;=1,C40*F22*'数据-取费表'!B21/2,C40*(POWER((1+F22),'数据-取费表'!B21/2)-1)),4)</f>
        <v>5.9999999999999995E-4</v>
      </c>
      <c r="D44" s="230"/>
      <c r="E44" s="230"/>
      <c r="F44" s="231"/>
      <c r="G44" s="3397"/>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142</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3" t="str">
        <f>项目基本情况!B1</f>
        <v>北京市石景山区古城西路66号院1号楼1至2层102房地产抵押价值预评估</v>
      </c>
      <c r="C37" s="3213"/>
      <c r="D37" s="3213"/>
      <c r="E37" s="3213"/>
      <c r="F37" s="3213"/>
      <c r="G37" s="3213"/>
      <c r="H37" s="3213"/>
      <c r="I37" s="321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128.9513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5325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48434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48434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48434</v>
      </c>
      <c r="D10" s="795">
        <f ca="1">IF(B1="",'数据-汇总表'!E6,IF(INDIRECT("'数据-取费表'!c"&amp;$G$1)="住宅",INDIRECT("'数据-取费表'!s"&amp;$G$1),INDIRECT("'数据-取费表'!k"&amp;$G$1)+INDIRECT("'数据-取费表'!s"&amp;$G$1)))</f>
        <v>242.17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48434</v>
      </c>
      <c r="D19" s="204">
        <f ca="1">D9+D10</f>
        <v>242.17</v>
      </c>
      <c r="E19" s="203">
        <f>'数据-取费表'!B31</f>
        <v>200</v>
      </c>
      <c r="F19" s="223"/>
      <c r="G19" s="1714"/>
    </row>
    <row r="20" spans="1:7" s="206" customFormat="1" ht="13.5" customHeight="1">
      <c r="A20" s="247" t="s">
        <v>1574</v>
      </c>
      <c r="B20" s="202" t="s">
        <v>1575</v>
      </c>
      <c r="C20" s="224">
        <f ca="1">ROUND((C5+C19)*F20,0)</f>
        <v>1937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5958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2950</v>
      </c>
      <c r="D24" s="230"/>
      <c r="E24" s="230"/>
      <c r="F24" s="231"/>
      <c r="G24" s="232" t="s">
        <v>1586</v>
      </c>
    </row>
    <row r="25" spans="1:7" s="206" customFormat="1" ht="24">
      <c r="A25" s="734" t="s">
        <v>1476</v>
      </c>
      <c r="B25" s="207" t="s">
        <v>1587</v>
      </c>
      <c r="C25" s="230">
        <f ca="1">ROUND(IF('数据-取费表'!B22&lt;=1,C20*F22*'数据-取费表'!B22/2,C20*(POWER((1+F22),'数据-取费表'!B22/2)-1)),0)</f>
        <v>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14821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14821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129546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1084922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968680</v>
      </c>
      <c r="D34" s="209"/>
      <c r="E34" s="212"/>
      <c r="F34" s="249"/>
      <c r="G34" s="211"/>
    </row>
    <row r="35" spans="1:7" ht="13.5" customHeight="1">
      <c r="A35" s="734" t="s">
        <v>351</v>
      </c>
      <c r="B35" s="207" t="s">
        <v>1527</v>
      </c>
      <c r="C35" s="212">
        <f ca="1">ROUND(C34*F35,0)</f>
        <v>48434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48434</v>
      </c>
      <c r="D37" s="209">
        <f ca="1">D19</f>
        <v>242.17</v>
      </c>
      <c r="E37" s="241">
        <f>'数据-取费表'!B35</f>
        <v>200</v>
      </c>
      <c r="F37" s="251"/>
      <c r="G37" s="253"/>
    </row>
    <row r="38" spans="1:7" ht="13.5" customHeight="1">
      <c r="A38" s="734" t="s">
        <v>354</v>
      </c>
      <c r="B38" s="207" t="s">
        <v>1533</v>
      </c>
      <c r="C38" s="212">
        <f ca="1">ROUND(C34*F38,0)</f>
        <v>19374</v>
      </c>
      <c r="D38" s="212"/>
      <c r="E38" s="212"/>
      <c r="F38" s="251">
        <f>'数据-取费表'!B36</f>
        <v>0.02</v>
      </c>
      <c r="G38" s="211" t="s">
        <v>1528</v>
      </c>
    </row>
    <row r="39" spans="1:7" s="206" customFormat="1" ht="13.5" customHeight="1">
      <c r="A39" s="247" t="s">
        <v>1534</v>
      </c>
      <c r="B39" s="202" t="s">
        <v>1535</v>
      </c>
      <c r="C39" s="224">
        <f ca="1">ROUND(C33*F20,0)</f>
        <v>21698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33199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32548</v>
      </c>
      <c r="D42" s="230"/>
      <c r="E42" s="230"/>
      <c r="F42" s="231"/>
      <c r="G42" s="3395" t="s">
        <v>1591</v>
      </c>
    </row>
    <row r="43" spans="1:7" ht="13.5" customHeight="1">
      <c r="A43" s="734" t="s">
        <v>347</v>
      </c>
      <c r="B43" s="207" t="s">
        <v>1545</v>
      </c>
      <c r="C43" s="230">
        <f ca="1">ROUND(IF('数据-取费表'!B22&lt;=1,C39*F22*'数据-取费表'!B20/2,C39*(POWER((1+F22),'数据-取费表'!B20/2)-1)),0)</f>
        <v>651</v>
      </c>
      <c r="D43" s="230"/>
      <c r="E43" s="230"/>
      <c r="F43" s="231"/>
      <c r="G43" s="3396"/>
    </row>
    <row r="44" spans="1:7" ht="13.5" customHeight="1">
      <c r="A44" s="734" t="s">
        <v>348</v>
      </c>
      <c r="B44" s="207" t="s">
        <v>1546</v>
      </c>
      <c r="C44" s="230">
        <f ca="1">ROUND(IF('数据-取费表'!B22&lt;=1,C40*F22*'数据-取费表'!B20/2,C40*(POWER((1+F22),'数据-取费表'!B20/2)-1)),4)</f>
        <v>5.9999999999999995E-4</v>
      </c>
      <c r="D44" s="230"/>
      <c r="E44" s="230"/>
      <c r="F44" s="231"/>
      <c r="G44" s="3397"/>
    </row>
    <row r="45" spans="1:7" s="206" customFormat="1" ht="13.5" customHeight="1">
      <c r="A45" s="247" t="s">
        <v>1547</v>
      </c>
      <c r="B45" s="236" t="s">
        <v>1513</v>
      </c>
      <c r="C45" s="237">
        <f ca="1">C46</f>
        <v>165993</v>
      </c>
      <c r="D45" s="227">
        <f ca="1">C47</f>
        <v>3.0000000000000001E-3</v>
      </c>
      <c r="E45" s="228" t="s">
        <v>1539</v>
      </c>
      <c r="F45" s="238">
        <f ca="1">F27</f>
        <v>0.15</v>
      </c>
      <c r="G45" s="239" t="s">
        <v>1548</v>
      </c>
    </row>
    <row r="46" spans="1:7" s="206" customFormat="1" ht="13.5" customHeight="1">
      <c r="A46" s="734" t="s">
        <v>346</v>
      </c>
      <c r="B46" s="240" t="s">
        <v>1549</v>
      </c>
      <c r="C46" s="241">
        <f ca="1">ROUND((C33+C39)*F27,0)</f>
        <v>165993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1414594</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1159967</v>
      </c>
      <c r="D51" s="224"/>
      <c r="E51" s="224"/>
      <c r="F51" s="256"/>
      <c r="G51" s="226" t="s">
        <v>1560</v>
      </c>
    </row>
    <row r="52" spans="1:7" s="200" customFormat="1" ht="16.8" thickBot="1">
      <c r="A52" s="257" t="s">
        <v>1561</v>
      </c>
      <c r="B52" s="258"/>
      <c r="C52" s="259">
        <f ca="1">C31+C51</f>
        <v>1289513</v>
      </c>
      <c r="D52" s="258"/>
      <c r="E52" s="258"/>
      <c r="F52" s="258"/>
      <c r="G52" s="260"/>
    </row>
    <row r="55" spans="1:7" ht="15">
      <c r="B55" s="262" t="s">
        <v>1562</v>
      </c>
      <c r="C55" s="263"/>
    </row>
    <row r="56" spans="1:7">
      <c r="B56" s="265" t="s">
        <v>802</v>
      </c>
      <c r="C56" s="267">
        <f ca="1">1-C57</f>
        <v>9.9999999999999978E-2</v>
      </c>
    </row>
    <row r="57" spans="1:7">
      <c r="B57" s="265" t="s">
        <v>803</v>
      </c>
      <c r="C57" s="266">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v>
      </c>
      <c r="C2" s="268" t="s">
        <v>1595</v>
      </c>
      <c r="D2" s="268"/>
      <c r="E2" s="2565"/>
      <c r="F2" s="2565"/>
      <c r="G2" s="2565"/>
      <c r="H2" s="2565"/>
      <c r="I2" s="2565"/>
      <c r="J2" s="2565"/>
      <c r="K2" s="2565"/>
    </row>
    <row r="3" spans="1:33" ht="18" customHeight="1" thickBot="1">
      <c r="A3" s="195" t="s">
        <v>1464</v>
      </c>
      <c r="B3" s="196">
        <f ca="1">ROUND(B2*10000/IF(C1="",'数据-汇总表'!E3,INDIRECT("'数据-取费表'!K"&amp;$K$1)),0)</f>
        <v>-248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242.17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242.17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242.17</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0" t="s">
        <v>694</v>
      </c>
      <c r="C6" s="1011">
        <f ca="1">ROUND(F6*F8*F7*(1-F9)/10000,0)</f>
        <v>0</v>
      </c>
      <c r="D6" s="147" t="s">
        <v>2109</v>
      </c>
      <c r="E6" s="294" t="s">
        <v>696</v>
      </c>
      <c r="F6" s="295">
        <f ca="1">INDIRECT("'数据-取费表'!u"&amp;$G$1)</f>
        <v>0</v>
      </c>
      <c r="G6" s="1292"/>
      <c r="H6" s="1006" t="s">
        <v>398</v>
      </c>
      <c r="I6" s="3400" t="s">
        <v>694</v>
      </c>
      <c r="J6" s="293">
        <f ca="1">ROUND(M6*M8*M7*(1-M9)/10000,0)</f>
        <v>0</v>
      </c>
      <c r="K6" s="147" t="s">
        <v>2108</v>
      </c>
      <c r="L6" s="294" t="s">
        <v>696</v>
      </c>
      <c r="M6" s="295">
        <f ca="1">INDIRECT("'数据-取费表'!z"&amp;$G$1)</f>
        <v>0</v>
      </c>
    </row>
    <row r="7" spans="1:37" ht="18" customHeight="1">
      <c r="A7" s="1010"/>
      <c r="B7" s="3401"/>
      <c r="C7" s="1012"/>
      <c r="D7" s="299"/>
      <c r="E7" s="1013" t="s">
        <v>697</v>
      </c>
      <c r="F7" s="295">
        <f ca="1">IF(INDIRECT("'数据-取费表'!ah"&amp;$G$1)="",INDIRECT("'数据-取费表'!k"&amp;$G$1),INDIRECT("'数据-取费表'!ah"&amp;$G$1))</f>
        <v>0</v>
      </c>
      <c r="G7" s="1292"/>
      <c r="H7" s="296"/>
      <c r="I7" s="3401"/>
      <c r="J7" s="298"/>
      <c r="K7" s="299"/>
      <c r="L7" s="294" t="s">
        <v>697</v>
      </c>
      <c r="M7" s="295">
        <f ca="1">F7</f>
        <v>0</v>
      </c>
    </row>
    <row r="8" spans="1:37" ht="18" customHeight="1">
      <c r="A8" s="296"/>
      <c r="B8" s="3401"/>
      <c r="C8" s="298"/>
      <c r="D8" s="299"/>
      <c r="E8" s="294" t="s">
        <v>698</v>
      </c>
      <c r="F8" s="295">
        <f ca="1">INDIRECT("'数据-取费表'!ai"&amp;$G$1)</f>
        <v>0</v>
      </c>
      <c r="G8" s="1292"/>
      <c r="H8" s="296"/>
      <c r="I8" s="3401"/>
      <c r="J8" s="298"/>
      <c r="K8" s="299"/>
      <c r="L8" s="294" t="s">
        <v>698</v>
      </c>
      <c r="M8" s="295">
        <f ca="1">INDIRECT("'数据-取费表'!ai"&amp;$G$1)</f>
        <v>0</v>
      </c>
    </row>
    <row r="9" spans="1:37" ht="18" customHeight="1">
      <c r="A9" s="296"/>
      <c r="B9" s="3402"/>
      <c r="C9" s="298"/>
      <c r="D9" s="299"/>
      <c r="E9" s="294" t="s">
        <v>699</v>
      </c>
      <c r="F9" s="304">
        <f ca="1">INDIRECT("'数据-取费表'!w"&amp;$G$1)</f>
        <v>0</v>
      </c>
      <c r="G9" s="1292"/>
      <c r="H9" s="296"/>
      <c r="I9" s="340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98" t="s">
        <v>837</v>
      </c>
      <c r="L53" s="339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31" zoomScale="70" zoomScaleNormal="70" zoomScaleSheetLayoutView="70" workbookViewId="0">
      <selection activeCell="I8" sqref="I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8.6640625" style="347" customWidth="1"/>
    <col min="6" max="6" width="12.21875" style="347" customWidth="1"/>
    <col min="7" max="7" width="17.33203125" style="347" customWidth="1"/>
    <col min="8" max="8" width="12.21875" style="347" customWidth="1"/>
    <col min="9" max="9" width="17.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102</v>
      </c>
      <c r="E1" s="3122" t="s">
        <v>3433</v>
      </c>
      <c r="F1" s="1735" t="s">
        <v>3434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792.62239999999997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32730</v>
      </c>
      <c r="C3" s="344" t="s">
        <v>1768</v>
      </c>
      <c r="D3" s="343">
        <f>IF(D1="",'数据-汇总表'!E3,SUMIF('数据-汇总表'!$C19:$C33,D1,'数据-汇总表'!$E19:$E33))</f>
        <v>242.17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9" t="s">
        <v>1771</v>
      </c>
      <c r="S4" s="3410"/>
      <c r="T4" s="3409" t="s">
        <v>1772</v>
      </c>
      <c r="U4" s="3410"/>
      <c r="V4" s="3406" t="s">
        <v>1773</v>
      </c>
      <c r="W4" s="3406"/>
      <c r="X4" s="1265"/>
      <c r="Y4" s="3409" t="s">
        <v>1775</v>
      </c>
      <c r="Z4" s="3410"/>
      <c r="AA4" s="3403" t="s">
        <v>1771</v>
      </c>
      <c r="AB4" s="3406" t="s">
        <v>1772</v>
      </c>
      <c r="AC4" s="3403" t="s">
        <v>1773</v>
      </c>
    </row>
    <row r="5" spans="1:29" ht="13.8" customHeight="1">
      <c r="A5" s="348"/>
      <c r="B5" s="349"/>
      <c r="C5" s="3413" t="s">
        <v>3643</v>
      </c>
      <c r="D5" s="3414"/>
      <c r="E5" s="3413" t="s">
        <v>3643</v>
      </c>
      <c r="F5" s="3414"/>
      <c r="G5" s="3413" t="s">
        <v>3643</v>
      </c>
      <c r="H5" s="3414"/>
      <c r="I5" s="3413" t="s">
        <v>3643</v>
      </c>
      <c r="J5" s="3414"/>
      <c r="K5" s="537"/>
      <c r="L5" s="2484"/>
      <c r="M5" s="2485"/>
      <c r="N5" s="2485"/>
      <c r="O5" s="2485"/>
      <c r="P5" s="3426"/>
      <c r="Q5" s="3427"/>
      <c r="R5" s="3411"/>
      <c r="S5" s="3412"/>
      <c r="T5" s="3411"/>
      <c r="U5" s="3412"/>
      <c r="V5" s="3406"/>
      <c r="W5" s="3406"/>
      <c r="X5" s="1265"/>
      <c r="Y5" s="3411"/>
      <c r="Z5" s="3412"/>
      <c r="AA5" s="3404"/>
      <c r="AB5" s="3406"/>
      <c r="AC5" s="3404"/>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11"/>
      <c r="S6" s="3412"/>
      <c r="T6" s="3430"/>
      <c r="U6" s="3431"/>
      <c r="V6" s="3406"/>
      <c r="W6" s="3406"/>
      <c r="X6" s="1265"/>
      <c r="Y6" s="3430"/>
      <c r="Z6" s="3431"/>
      <c r="AA6" s="3405"/>
      <c r="AB6" s="3406"/>
      <c r="AC6" s="3405"/>
    </row>
    <row r="7" spans="1:29" s="102" customFormat="1" ht="15" thickBot="1">
      <c r="A7" s="352" t="s">
        <v>1679</v>
      </c>
      <c r="B7" s="353"/>
      <c r="C7" s="354">
        <f>'数据-取费表'!B2</f>
        <v>45811</v>
      </c>
      <c r="D7" s="355">
        <v>100</v>
      </c>
      <c r="E7" s="356">
        <f>'中指成交案例+三套价值汇总'!A9</f>
        <v>45587.333831018521</v>
      </c>
      <c r="F7" s="357">
        <f>SUMIF(58:58,YEAR(E7)&amp;"-"&amp;MONTH(E7),59:59)</f>
        <v>100</v>
      </c>
      <c r="G7" s="356">
        <f>'中指成交案例+三套价值汇总'!A11</f>
        <v>45587.333831018521</v>
      </c>
      <c r="H7" s="355">
        <f>SUMIF(58:58,YEAR(G7)&amp;"-"&amp;MONTH(G7),59:59)</f>
        <v>100</v>
      </c>
      <c r="I7" s="356">
        <f>'中指成交案例+三套价值汇总'!A14</f>
        <v>45573.333831018521</v>
      </c>
      <c r="J7" s="355">
        <f>SUMIF(58:58,YEAR(I7)&amp;"-"&amp;MONTH(I7),59:59)</f>
        <v>100</v>
      </c>
      <c r="K7" s="38"/>
      <c r="L7" s="2486"/>
      <c r="M7" s="2438"/>
      <c r="N7" s="2438"/>
      <c r="O7" s="2438"/>
      <c r="P7" s="3407" t="s">
        <v>1680</v>
      </c>
      <c r="Q7" s="3432"/>
      <c r="R7" s="664" t="s">
        <v>14</v>
      </c>
      <c r="S7" s="665">
        <f t="shared" ref="S7:S15" si="0">F7</f>
        <v>100</v>
      </c>
      <c r="T7" s="664" t="s">
        <v>14</v>
      </c>
      <c r="U7" s="665">
        <f t="shared" ref="U7:U15" si="1">H7</f>
        <v>100</v>
      </c>
      <c r="V7" s="664" t="s">
        <v>14</v>
      </c>
      <c r="W7" s="665">
        <f t="shared" ref="W7:W15" si="2">J7</f>
        <v>100</v>
      </c>
      <c r="X7" s="666"/>
      <c r="Y7" s="3407" t="s">
        <v>1680</v>
      </c>
      <c r="Z7" s="3408"/>
      <c r="AA7" s="50">
        <f>D7/F7</f>
        <v>1</v>
      </c>
      <c r="AB7" s="50">
        <f>D7/H7</f>
        <v>1</v>
      </c>
      <c r="AC7" s="50">
        <f>D7/J7</f>
        <v>1</v>
      </c>
    </row>
    <row r="8" spans="1:29" s="102" customFormat="1" ht="15" thickBot="1">
      <c r="A8" s="352" t="s">
        <v>1681</v>
      </c>
      <c r="B8" s="353"/>
      <c r="C8" s="358" t="s">
        <v>3645</v>
      </c>
      <c r="D8" s="355">
        <v>100</v>
      </c>
      <c r="E8" s="358" t="s">
        <v>3645</v>
      </c>
      <c r="F8" s="357">
        <f>SUMIF(61:61,E8,62:62)-SUMIF(61:61,C8,62:62)+100</f>
        <v>100</v>
      </c>
      <c r="G8" s="358" t="s">
        <v>3645</v>
      </c>
      <c r="H8" s="355">
        <f>SUMIF(61:61,G8,62:62)-SUMIF(61:61,C8,62:62)+100</f>
        <v>100</v>
      </c>
      <c r="I8" s="358" t="s">
        <v>3645</v>
      </c>
      <c r="J8" s="355">
        <f>SUMIF(61:61,I8,62:62)-SUMIF(61:61,C8,62:62)+100</f>
        <v>100</v>
      </c>
      <c r="K8" s="38"/>
      <c r="L8" s="2486"/>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ht="14.4">
      <c r="A9" s="359" t="s">
        <v>1684</v>
      </c>
      <c r="B9" s="60" t="s">
        <v>1685</v>
      </c>
      <c r="C9" s="3209" t="s">
        <v>2607</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8.8">
      <c r="A10" s="363"/>
      <c r="B10" s="364" t="s">
        <v>1688</v>
      </c>
      <c r="C10" s="3130" t="s">
        <v>3644</v>
      </c>
      <c r="D10" s="119">
        <v>100</v>
      </c>
      <c r="E10" s="3130" t="s">
        <v>3644</v>
      </c>
      <c r="F10" s="364">
        <f>SUMIF(65:65,E10,66:66)-SUMIF(65:65,C10,66:66)+100</f>
        <v>100</v>
      </c>
      <c r="G10" s="3130" t="s">
        <v>3644</v>
      </c>
      <c r="H10" s="119">
        <f>SUMIF(65:65,G10,66:66)-SUMIF(65:65,C10,66:66)+100</f>
        <v>100</v>
      </c>
      <c r="I10" s="3130" t="s">
        <v>3644</v>
      </c>
      <c r="J10" s="119">
        <f>SUMIF(65:65,I10,66:66)-SUMIF(65:65,C10,66:66)+100</f>
        <v>100</v>
      </c>
      <c r="K10" s="38"/>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19"/>
      <c r="Q11" s="530" t="str">
        <f t="shared" si="6"/>
        <v>容积率</v>
      </c>
      <c r="R11" s="664" t="s">
        <v>14</v>
      </c>
      <c r="S11" s="665">
        <f t="shared" si="0"/>
        <v>100</v>
      </c>
      <c r="T11" s="664" t="s">
        <v>14</v>
      </c>
      <c r="U11" s="665">
        <f t="shared" si="1"/>
        <v>100</v>
      </c>
      <c r="V11" s="664" t="s">
        <v>14</v>
      </c>
      <c r="W11" s="665">
        <f t="shared" si="2"/>
        <v>100</v>
      </c>
      <c r="X11" s="666"/>
      <c r="Y11" s="337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9"/>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9"/>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9"/>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33" t="s">
        <v>1691</v>
      </c>
      <c r="Q15" s="1263" t="str">
        <f t="shared" si="6"/>
        <v>商业繁华度</v>
      </c>
      <c r="R15" s="667" t="s">
        <v>14</v>
      </c>
      <c r="S15" s="668">
        <f t="shared" si="0"/>
        <v>100</v>
      </c>
      <c r="T15" s="667" t="s">
        <v>14</v>
      </c>
      <c r="U15" s="668">
        <f t="shared" si="1"/>
        <v>100</v>
      </c>
      <c r="V15" s="667" t="s">
        <v>14</v>
      </c>
      <c r="W15" s="668">
        <f t="shared" si="2"/>
        <v>100</v>
      </c>
      <c r="X15" s="1265"/>
      <c r="Y15" s="3435" t="s">
        <v>1691</v>
      </c>
      <c r="Z15" s="1264" t="str">
        <f t="shared" si="7"/>
        <v>商业繁华度</v>
      </c>
      <c r="AA15" s="1264">
        <f t="shared" si="3"/>
        <v>1</v>
      </c>
      <c r="AB15" s="1264">
        <f t="shared" si="4"/>
        <v>1</v>
      </c>
      <c r="AC15" s="1264">
        <f t="shared" si="5"/>
        <v>1</v>
      </c>
    </row>
    <row r="16" spans="1:29" ht="15">
      <c r="A16" s="367"/>
      <c r="B16" s="385"/>
      <c r="C16" s="386" t="s">
        <v>3646</v>
      </c>
      <c r="D16" s="387"/>
      <c r="E16" s="386" t="s">
        <v>3646</v>
      </c>
      <c r="F16" s="388"/>
      <c r="G16" s="386" t="s">
        <v>3646</v>
      </c>
      <c r="H16" s="389"/>
      <c r="I16" s="386" t="s">
        <v>3646</v>
      </c>
      <c r="J16" s="387"/>
      <c r="K16" s="541"/>
      <c r="L16" s="2490"/>
      <c r="M16" s="2485"/>
      <c r="N16" s="2485"/>
      <c r="O16" s="2485"/>
      <c r="P16" s="3434"/>
      <c r="Q16" s="1263"/>
      <c r="R16" s="667"/>
      <c r="S16" s="668"/>
      <c r="T16" s="667"/>
      <c r="U16" s="668"/>
      <c r="V16" s="667"/>
      <c r="W16" s="668"/>
      <c r="X16" s="1265"/>
      <c r="Y16" s="343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34"/>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t="s">
        <v>3638</v>
      </c>
      <c r="D18" s="389"/>
      <c r="E18" s="1755" t="s">
        <v>3638</v>
      </c>
      <c r="F18" s="392"/>
      <c r="G18" s="1755" t="s">
        <v>3638</v>
      </c>
      <c r="H18" s="387"/>
      <c r="I18" s="1755" t="s">
        <v>3638</v>
      </c>
      <c r="J18" s="387"/>
      <c r="K18" s="541"/>
      <c r="L18" s="2490"/>
      <c r="M18" s="2485"/>
      <c r="N18" s="2485"/>
      <c r="O18" s="2485"/>
      <c r="P18" s="3434"/>
      <c r="Q18" s="1263"/>
      <c r="R18" s="667"/>
      <c r="S18" s="668"/>
      <c r="T18" s="667"/>
      <c r="U18" s="668"/>
      <c r="V18" s="667"/>
      <c r="W18" s="668"/>
      <c r="X18" s="1265"/>
      <c r="Y18" s="343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34"/>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t="s">
        <v>3638</v>
      </c>
      <c r="D20" s="387"/>
      <c r="E20" s="386" t="s">
        <v>3638</v>
      </c>
      <c r="F20" s="388"/>
      <c r="G20" s="386" t="s">
        <v>3638</v>
      </c>
      <c r="H20" s="387"/>
      <c r="I20" s="386" t="s">
        <v>3638</v>
      </c>
      <c r="J20" s="387"/>
      <c r="K20" s="541"/>
      <c r="L20" s="2490"/>
      <c r="M20" s="2485"/>
      <c r="N20" s="2485"/>
      <c r="O20" s="2485"/>
      <c r="P20" s="3434"/>
      <c r="Q20" s="1263"/>
      <c r="R20" s="667"/>
      <c r="S20" s="668"/>
      <c r="T20" s="667"/>
      <c r="U20" s="668"/>
      <c r="V20" s="667"/>
      <c r="W20" s="668"/>
      <c r="X20" s="1265"/>
      <c r="Y20" s="343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34"/>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t="s">
        <v>3642</v>
      </c>
      <c r="D22" s="387"/>
      <c r="E22" s="1755" t="s">
        <v>3642</v>
      </c>
      <c r="F22" s="388"/>
      <c r="G22" s="1755" t="s">
        <v>3642</v>
      </c>
      <c r="H22" s="387"/>
      <c r="I22" s="1755" t="s">
        <v>3642</v>
      </c>
      <c r="J22" s="387"/>
      <c r="K22" s="1064"/>
      <c r="L22" s="2490"/>
      <c r="M22" s="2485"/>
      <c r="N22" s="2485"/>
      <c r="O22" s="2485"/>
      <c r="P22" s="3434"/>
      <c r="Q22" s="1263"/>
      <c r="R22" s="667"/>
      <c r="S22" s="668"/>
      <c r="T22" s="667"/>
      <c r="U22" s="668"/>
      <c r="V22" s="667"/>
      <c r="W22" s="668"/>
      <c r="X22" s="1265"/>
      <c r="Y22" s="343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34"/>
      <c r="Q23" s="1263" t="str">
        <f>B23</f>
        <v>自然及人文环境</v>
      </c>
      <c r="R23" s="667" t="s">
        <v>14</v>
      </c>
      <c r="S23" s="668">
        <f>F23</f>
        <v>100</v>
      </c>
      <c r="T23" s="667" t="s">
        <v>14</v>
      </c>
      <c r="U23" s="668">
        <f>H23</f>
        <v>100</v>
      </c>
      <c r="V23" s="667" t="s">
        <v>14</v>
      </c>
      <c r="W23" s="668">
        <f>J23</f>
        <v>100</v>
      </c>
      <c r="X23" s="1265"/>
      <c r="Y23" s="3436"/>
      <c r="Z23" s="1264" t="str">
        <f>Q23</f>
        <v>自然及人文环境</v>
      </c>
      <c r="AA23" s="1264">
        <f t="shared" si="3"/>
        <v>1</v>
      </c>
      <c r="AB23" s="1264">
        <f t="shared" si="4"/>
        <v>1</v>
      </c>
      <c r="AC23" s="1264">
        <f t="shared" si="5"/>
        <v>1</v>
      </c>
    </row>
    <row r="24" spans="1:29" ht="15">
      <c r="A24" s="367"/>
      <c r="B24" s="395"/>
      <c r="C24" s="386" t="s">
        <v>3638</v>
      </c>
      <c r="D24" s="387"/>
      <c r="E24" s="386" t="s">
        <v>3638</v>
      </c>
      <c r="F24" s="388"/>
      <c r="G24" s="386" t="s">
        <v>3638</v>
      </c>
      <c r="H24" s="387"/>
      <c r="I24" s="386" t="s">
        <v>3638</v>
      </c>
      <c r="J24" s="387"/>
      <c r="K24" s="541"/>
      <c r="L24" s="2490"/>
      <c r="M24" s="2485"/>
      <c r="N24" s="2485"/>
      <c r="O24" s="2485"/>
      <c r="P24" s="3434"/>
      <c r="Q24" s="1263"/>
      <c r="R24" s="667"/>
      <c r="S24" s="668"/>
      <c r="T24" s="667"/>
      <c r="U24" s="668"/>
      <c r="V24" s="667"/>
      <c r="W24" s="668"/>
      <c r="X24" s="1265"/>
      <c r="Y24" s="3436"/>
      <c r="Z24" s="1264"/>
      <c r="AA24" s="1264">
        <v>1</v>
      </c>
      <c r="AB24" s="1264">
        <v>1</v>
      </c>
      <c r="AC24" s="1264">
        <v>1</v>
      </c>
    </row>
    <row r="25" spans="1:29" ht="15">
      <c r="A25" s="367"/>
      <c r="B25" s="364" t="s">
        <v>1780</v>
      </c>
      <c r="C25" s="542" t="s">
        <v>3647</v>
      </c>
      <c r="D25" s="374">
        <v>100</v>
      </c>
      <c r="E25" s="542" t="s">
        <v>3647</v>
      </c>
      <c r="F25" s="400">
        <f>SUMIF(86:86,E25,87:87)-SUMIF(86:86,C25,87:87)+100</f>
        <v>100</v>
      </c>
      <c r="G25" s="542" t="s">
        <v>3647</v>
      </c>
      <c r="H25" s="374">
        <f>SUMIF(86:86,G25,87:87)-SUMIF(86:86,C25,87:87)+100</f>
        <v>100</v>
      </c>
      <c r="I25" s="542" t="s">
        <v>3647</v>
      </c>
      <c r="J25" s="374">
        <f>SUMIF(86:86,I25,87:87)-SUMIF(86:86,C25,87:87)+100</f>
        <v>100</v>
      </c>
      <c r="K25" s="538">
        <v>4</v>
      </c>
      <c r="L25" s="2490"/>
      <c r="M25" s="2485"/>
      <c r="N25" s="2485"/>
      <c r="O25" s="2485"/>
      <c r="P25" s="3434"/>
      <c r="Q25" s="1263" t="str">
        <f t="shared" ref="Q25:Q46" si="11">B25</f>
        <v>临街状况</v>
      </c>
      <c r="R25" s="667" t="s">
        <v>14</v>
      </c>
      <c r="S25" s="668">
        <f>F25</f>
        <v>100</v>
      </c>
      <c r="T25" s="667" t="s">
        <v>14</v>
      </c>
      <c r="U25" s="668">
        <f>H25</f>
        <v>100</v>
      </c>
      <c r="V25" s="667" t="s">
        <v>14</v>
      </c>
      <c r="W25" s="668">
        <f>J25</f>
        <v>100</v>
      </c>
      <c r="X25" s="1265"/>
      <c r="Y25" s="3436"/>
      <c r="Z25" s="1264" t="str">
        <f>Q25</f>
        <v>临街状况</v>
      </c>
      <c r="AA25" s="1264">
        <f t="shared" si="3"/>
        <v>1</v>
      </c>
      <c r="AB25" s="1264">
        <f t="shared" si="4"/>
        <v>1</v>
      </c>
      <c r="AC25" s="1264">
        <f t="shared" si="5"/>
        <v>1</v>
      </c>
    </row>
    <row r="26" spans="1:29" ht="15">
      <c r="A26" s="367"/>
      <c r="B26" s="1066" t="s">
        <v>1781</v>
      </c>
      <c r="C26" s="3210" t="s">
        <v>3648</v>
      </c>
      <c r="D26" s="374">
        <v>100</v>
      </c>
      <c r="E26" s="3210" t="s">
        <v>3648</v>
      </c>
      <c r="F26" s="400">
        <f>SUMIF(88:88,E26,89:89)-SUMIF(88:88,C26,89:89)+100</f>
        <v>100</v>
      </c>
      <c r="G26" s="3210" t="s">
        <v>3648</v>
      </c>
      <c r="H26" s="374">
        <f>SUMIF(88:88,G26,89:89)-SUMIF(88:88,C26,89:89)+100</f>
        <v>100</v>
      </c>
      <c r="I26" s="3210" t="s">
        <v>3648</v>
      </c>
      <c r="J26" s="374">
        <f>SUMIF(88:88,I26,89:89)-SUMIF(88:88,C26,89:89)+100</f>
        <v>100</v>
      </c>
      <c r="K26" s="539"/>
      <c r="L26" s="2490"/>
      <c r="M26" s="2485"/>
      <c r="N26" s="2485"/>
      <c r="O26" s="2485"/>
      <c r="P26" s="3434"/>
      <c r="Q26" s="1263" t="str">
        <f t="shared" si="11"/>
        <v>平面位置/可视性</v>
      </c>
      <c r="R26" s="667" t="s">
        <v>14</v>
      </c>
      <c r="S26" s="668">
        <f>F26</f>
        <v>100</v>
      </c>
      <c r="T26" s="667" t="s">
        <v>14</v>
      </c>
      <c r="U26" s="668">
        <f>H26</f>
        <v>100</v>
      </c>
      <c r="V26" s="667" t="s">
        <v>14</v>
      </c>
      <c r="W26" s="668">
        <f>J26</f>
        <v>100</v>
      </c>
      <c r="X26" s="1265"/>
      <c r="Y26" s="3436"/>
      <c r="Z26" s="1264" t="str">
        <f>Q26</f>
        <v>平面位置/可视性</v>
      </c>
      <c r="AA26" s="1264">
        <f t="shared" si="3"/>
        <v>1</v>
      </c>
      <c r="AB26" s="1264">
        <f t="shared" si="4"/>
        <v>1</v>
      </c>
      <c r="AC26" s="1264">
        <f t="shared" si="5"/>
        <v>1</v>
      </c>
    </row>
    <row r="27" spans="1:29" s="102" customFormat="1" ht="15">
      <c r="A27" s="370"/>
      <c r="B27" s="390" t="s">
        <v>1782</v>
      </c>
      <c r="C27" s="1807" t="s">
        <v>3649</v>
      </c>
      <c r="D27" s="401">
        <v>100</v>
      </c>
      <c r="E27" s="1807" t="s">
        <v>3650</v>
      </c>
      <c r="F27" s="395">
        <f>SUMIF(90:90,E27,91:91)-SUMIF(90:90,C27,91:91)+100</f>
        <v>110</v>
      </c>
      <c r="G27" s="1807" t="s">
        <v>3650</v>
      </c>
      <c r="H27" s="401">
        <f>SUMIF(90:90,G27,91:91)-SUMIF(90:90,C27,91:91)+100</f>
        <v>110</v>
      </c>
      <c r="I27" s="1807" t="s">
        <v>3646</v>
      </c>
      <c r="J27" s="401">
        <f>SUMIF(90:90,I27,91:91)-SUMIF(90:90,C27,91:91)+100</f>
        <v>105</v>
      </c>
      <c r="K27" s="538">
        <v>5</v>
      </c>
      <c r="L27" s="2486"/>
      <c r="M27" s="2438"/>
      <c r="N27" s="2438"/>
      <c r="O27" s="2438"/>
      <c r="P27" s="3434"/>
      <c r="Q27" s="530" t="str">
        <f t="shared" si="11"/>
        <v>人流量</v>
      </c>
      <c r="R27" s="664" t="s">
        <v>14</v>
      </c>
      <c r="S27" s="665">
        <f>F27</f>
        <v>110</v>
      </c>
      <c r="T27" s="664" t="s">
        <v>14</v>
      </c>
      <c r="U27" s="665">
        <f>H27</f>
        <v>110</v>
      </c>
      <c r="V27" s="664" t="s">
        <v>14</v>
      </c>
      <c r="W27" s="665">
        <f>J27</f>
        <v>105</v>
      </c>
      <c r="X27" s="666"/>
      <c r="Y27" s="3436"/>
      <c r="Z27" s="50" t="str">
        <f>Q27</f>
        <v>人流量</v>
      </c>
      <c r="AA27" s="1264">
        <f>D27/F27</f>
        <v>0.90909090909090906</v>
      </c>
      <c r="AB27" s="1264">
        <f>D27/H27</f>
        <v>0.90909090909090906</v>
      </c>
      <c r="AC27" s="1264">
        <f>D27/J27</f>
        <v>0.95238095238095233</v>
      </c>
    </row>
    <row r="28" spans="1:29" ht="15">
      <c r="A28" s="367"/>
      <c r="B28" s="364" t="s">
        <v>1783</v>
      </c>
      <c r="C28" s="542" t="s">
        <v>3651</v>
      </c>
      <c r="D28" s="374">
        <v>100</v>
      </c>
      <c r="E28" s="542" t="s">
        <v>3651</v>
      </c>
      <c r="F28" s="400">
        <f>SUMIF(92:92,E28,93:93)-SUMIF(92:92,C28,93:93)+100</f>
        <v>100</v>
      </c>
      <c r="G28" s="542" t="s">
        <v>3651</v>
      </c>
      <c r="H28" s="374">
        <f>SUMIF(92:92,G28,93:93)-SUMIF(92:92,C28,93:93)+100</f>
        <v>100</v>
      </c>
      <c r="I28" s="542" t="s">
        <v>3651</v>
      </c>
      <c r="J28" s="374">
        <f>SUMIF(92:92,I28,93:93)-SUMIF(92:92,C28,93:93)+100</f>
        <v>100</v>
      </c>
      <c r="K28" s="539"/>
      <c r="L28" s="2490"/>
      <c r="M28" s="2485"/>
      <c r="N28" s="2485"/>
      <c r="O28" s="2485"/>
      <c r="P28" s="343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4"/>
      <c r="Q29" s="1263">
        <f t="shared" si="11"/>
        <v>111</v>
      </c>
      <c r="R29" s="667" t="s">
        <v>14</v>
      </c>
      <c r="S29" s="668">
        <f t="shared" si="12"/>
        <v>100</v>
      </c>
      <c r="T29" s="667" t="s">
        <v>14</v>
      </c>
      <c r="U29" s="668">
        <f t="shared" si="13"/>
        <v>100</v>
      </c>
      <c r="V29" s="667" t="s">
        <v>14</v>
      </c>
      <c r="W29" s="668">
        <f t="shared" si="14"/>
        <v>100</v>
      </c>
      <c r="X29" s="1265"/>
      <c r="Y29" s="343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4"/>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4"/>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264">
        <f t="shared" si="5"/>
        <v>1</v>
      </c>
    </row>
    <row r="32" spans="1:29" ht="15">
      <c r="A32" s="379" t="s">
        <v>1694</v>
      </c>
      <c r="B32" s="60" t="s">
        <v>1784</v>
      </c>
      <c r="C32" s="1764" t="s">
        <v>3652</v>
      </c>
      <c r="D32" s="405">
        <v>100</v>
      </c>
      <c r="E32" s="1764" t="s">
        <v>3652</v>
      </c>
      <c r="F32" s="400">
        <f>SUMIF(100:100,E32,101:101)-SUMIF(100:100,C32,101:101)+100</f>
        <v>100</v>
      </c>
      <c r="G32" s="1764" t="s">
        <v>3652</v>
      </c>
      <c r="H32" s="374">
        <f>SUMIF(100:100,G32,101:101)-SUMIF(100:100,C32,101:101)+100</f>
        <v>100</v>
      </c>
      <c r="I32" s="1764" t="s">
        <v>3652</v>
      </c>
      <c r="J32" s="405">
        <f>SUMIF(100:100,I32,101:101)-SUMIF(100:100,C32,101:101)+100</f>
        <v>100</v>
      </c>
      <c r="K32" s="538">
        <v>2</v>
      </c>
      <c r="L32" s="2490"/>
      <c r="M32" s="2485"/>
      <c r="N32" s="2485"/>
      <c r="O32" s="2485"/>
      <c r="P32" s="3437" t="s">
        <v>1696</v>
      </c>
      <c r="Q32" s="1263" t="str">
        <f t="shared" si="11"/>
        <v>商业类型</v>
      </c>
      <c r="R32" s="667" t="s">
        <v>14</v>
      </c>
      <c r="S32" s="668">
        <f t="shared" si="12"/>
        <v>100</v>
      </c>
      <c r="T32" s="667" t="s">
        <v>14</v>
      </c>
      <c r="U32" s="668">
        <f t="shared" si="13"/>
        <v>100</v>
      </c>
      <c r="V32" s="667" t="s">
        <v>14</v>
      </c>
      <c r="W32" s="668">
        <f t="shared" si="14"/>
        <v>100</v>
      </c>
      <c r="X32" s="1265"/>
      <c r="Y32" s="344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242.17</v>
      </c>
      <c r="D33" s="119">
        <v>100</v>
      </c>
      <c r="E33" s="369">
        <f>'中指成交案例+三套价值汇总'!K9</f>
        <v>145.44999999999999</v>
      </c>
      <c r="F33" s="364">
        <f>LOOKUP(E33,103:103,104:104)-LOOKUP(C33,103:103,104:104)+100</f>
        <v>102</v>
      </c>
      <c r="G33" s="368">
        <f>'中指成交案例+三套价值汇总'!K11</f>
        <v>151.93</v>
      </c>
      <c r="H33" s="119">
        <f>LOOKUP(G33,103:103,104:104)-LOOKUP(C33,103:103,104:104)+100</f>
        <v>101</v>
      </c>
      <c r="I33" s="368">
        <f>'中指成交案例+三套价值汇总'!K14</f>
        <v>111.77</v>
      </c>
      <c r="J33" s="119">
        <f>LOOKUP(I33,103:103,104:104)-LOOKUP(C33,103:103,104:104)+100</f>
        <v>102</v>
      </c>
      <c r="K33" s="539"/>
      <c r="L33" s="2489"/>
      <c r="M33" s="2491"/>
      <c r="N33" s="2491"/>
      <c r="O33" s="2491"/>
      <c r="P33" s="3438"/>
      <c r="Q33" s="531" t="str">
        <f t="shared" si="11"/>
        <v>项目建筑规模</v>
      </c>
      <c r="R33" s="669" t="s">
        <v>14</v>
      </c>
      <c r="S33" s="670">
        <f t="shared" si="12"/>
        <v>102</v>
      </c>
      <c r="T33" s="669" t="s">
        <v>14</v>
      </c>
      <c r="U33" s="670">
        <f t="shared" si="13"/>
        <v>101</v>
      </c>
      <c r="V33" s="669" t="s">
        <v>14</v>
      </c>
      <c r="W33" s="670">
        <f t="shared" si="14"/>
        <v>102</v>
      </c>
      <c r="X33" s="671"/>
      <c r="Y33" s="3440"/>
      <c r="Z33" s="672" t="str">
        <f t="shared" si="15"/>
        <v>项目建筑规模</v>
      </c>
      <c r="AA33" s="1264">
        <f t="shared" si="3"/>
        <v>0.98039215686274506</v>
      </c>
      <c r="AB33" s="1264">
        <f t="shared" si="4"/>
        <v>0.99009900990099009</v>
      </c>
      <c r="AC33" s="1264">
        <f t="shared" si="5"/>
        <v>0.98039215686274506</v>
      </c>
    </row>
    <row r="34" spans="1:29" ht="15">
      <c r="A34" s="409"/>
      <c r="B34" s="364" t="s">
        <v>1698</v>
      </c>
      <c r="C34" s="399" t="s">
        <v>3473</v>
      </c>
      <c r="D34" s="374">
        <v>100</v>
      </c>
      <c r="E34" s="399" t="s">
        <v>3473</v>
      </c>
      <c r="F34" s="400">
        <f>SUMIF(105:105,E34,106:106)-SUMIF(105:105,C34,106:106)+100</f>
        <v>100</v>
      </c>
      <c r="G34" s="399" t="s">
        <v>3473</v>
      </c>
      <c r="H34" s="374">
        <f>SUMIF(105:105,G34,106:106)-SUMIF(105:105,C34,106:106)+100</f>
        <v>100</v>
      </c>
      <c r="I34" s="399" t="s">
        <v>3473</v>
      </c>
      <c r="J34" s="374">
        <f>SUMIF(105:105,I34,106:106)-SUMIF(105:105,C34,106:106)+100</f>
        <v>100</v>
      </c>
      <c r="K34" s="538">
        <v>2</v>
      </c>
      <c r="L34" s="2490"/>
      <c r="M34" s="2485"/>
      <c r="N34" s="2485"/>
      <c r="O34" s="2485"/>
      <c r="P34" s="3438"/>
      <c r="Q34" s="1263" t="str">
        <f t="shared" si="11"/>
        <v>建筑结构</v>
      </c>
      <c r="R34" s="667" t="s">
        <v>14</v>
      </c>
      <c r="S34" s="668">
        <f t="shared" si="12"/>
        <v>100</v>
      </c>
      <c r="T34" s="667" t="s">
        <v>14</v>
      </c>
      <c r="U34" s="668">
        <f t="shared" si="13"/>
        <v>100</v>
      </c>
      <c r="V34" s="667" t="s">
        <v>14</v>
      </c>
      <c r="W34" s="668">
        <f t="shared" si="14"/>
        <v>100</v>
      </c>
      <c r="X34" s="1265"/>
      <c r="Y34" s="344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8"/>
      <c r="Q35" s="1263" t="str">
        <f t="shared" si="11"/>
        <v>公共部分装修</v>
      </c>
      <c r="R35" s="667" t="s">
        <v>14</v>
      </c>
      <c r="S35" s="668">
        <f t="shared" si="12"/>
        <v>100</v>
      </c>
      <c r="T35" s="667" t="s">
        <v>14</v>
      </c>
      <c r="U35" s="668">
        <f t="shared" si="13"/>
        <v>100</v>
      </c>
      <c r="V35" s="667" t="s">
        <v>14</v>
      </c>
      <c r="W35" s="668">
        <f t="shared" si="14"/>
        <v>100</v>
      </c>
      <c r="X35" s="1265"/>
      <c r="Y35" s="3440"/>
      <c r="Z35" s="1264" t="str">
        <f t="shared" si="15"/>
        <v>公共部分装修</v>
      </c>
      <c r="AA35" s="1264">
        <f t="shared" si="3"/>
        <v>1</v>
      </c>
      <c r="AB35" s="1264">
        <f t="shared" si="4"/>
        <v>1</v>
      </c>
      <c r="AC35" s="1264">
        <f t="shared" si="5"/>
        <v>1</v>
      </c>
    </row>
    <row r="36" spans="1:29" ht="15">
      <c r="A36" s="409"/>
      <c r="B36" s="364" t="s">
        <v>1786</v>
      </c>
      <c r="C36" s="411">
        <f>'数据-取费表'!N6</f>
        <v>0.82</v>
      </c>
      <c r="D36" s="374">
        <v>100</v>
      </c>
      <c r="E36" s="411">
        <v>0.81</v>
      </c>
      <c r="F36" s="400">
        <f>LOOKUP(E36,110:110,111:111)-LOOKUP(C36,110:110,111:111)+100</f>
        <v>100</v>
      </c>
      <c r="G36" s="411">
        <v>0.81</v>
      </c>
      <c r="H36" s="400">
        <f>LOOKUP(G36,110:110,111:111)-LOOKUP(C36,110:110,111:111)+100</f>
        <v>100</v>
      </c>
      <c r="I36" s="411">
        <v>0.81</v>
      </c>
      <c r="J36" s="374">
        <f>LOOKUP(I36,110:110,111:111)-LOOKUP(C36,110:110,111:111)+100</f>
        <v>100</v>
      </c>
      <c r="K36" s="538">
        <v>1</v>
      </c>
      <c r="L36" s="2490"/>
      <c r="M36" s="2485"/>
      <c r="N36" s="2485"/>
      <c r="O36" s="2485"/>
      <c r="P36" s="3438"/>
      <c r="Q36" s="1263" t="str">
        <f t="shared" si="11"/>
        <v>成新度</v>
      </c>
      <c r="R36" s="667" t="s">
        <v>14</v>
      </c>
      <c r="S36" s="668">
        <f t="shared" si="12"/>
        <v>100</v>
      </c>
      <c r="T36" s="667" t="s">
        <v>14</v>
      </c>
      <c r="U36" s="668">
        <f t="shared" si="13"/>
        <v>100</v>
      </c>
      <c r="V36" s="667" t="s">
        <v>14</v>
      </c>
      <c r="W36" s="668">
        <f t="shared" si="14"/>
        <v>100</v>
      </c>
      <c r="X36" s="1265"/>
      <c r="Y36" s="3440"/>
      <c r="Z36" s="1264" t="str">
        <f t="shared" si="15"/>
        <v>成新度</v>
      </c>
      <c r="AA36" s="1264">
        <f t="shared" si="3"/>
        <v>1</v>
      </c>
      <c r="AB36" s="1264">
        <f t="shared" si="4"/>
        <v>1</v>
      </c>
      <c r="AC36" s="1264">
        <f t="shared" si="5"/>
        <v>1</v>
      </c>
    </row>
    <row r="37" spans="1:29" s="102" customFormat="1" ht="15">
      <c r="A37" s="410"/>
      <c r="B37" s="364" t="s">
        <v>1787</v>
      </c>
      <c r="C37" s="1760" t="s">
        <v>3642</v>
      </c>
      <c r="D37" s="119">
        <v>100</v>
      </c>
      <c r="E37" s="1760" t="s">
        <v>3642</v>
      </c>
      <c r="F37" s="400">
        <f>SUMIF(112:112,E37,113:113)-SUMIF(112:112,C37,113:113)+100</f>
        <v>100</v>
      </c>
      <c r="G37" s="1760" t="s">
        <v>3642</v>
      </c>
      <c r="H37" s="374">
        <f>SUMIF(112:112,G37,113:113)-SUMIF(112:112,C37,113:113)+100</f>
        <v>100</v>
      </c>
      <c r="I37" s="1760" t="s">
        <v>3642</v>
      </c>
      <c r="J37" s="374">
        <f>SUMIF(112:112,I37,113:113)-SUMIF(112:112,C37,113:113)+100</f>
        <v>100</v>
      </c>
      <c r="K37" s="538">
        <v>1</v>
      </c>
      <c r="L37" s="2486"/>
      <c r="M37" s="2438"/>
      <c r="N37" s="2438"/>
      <c r="O37" s="2438"/>
      <c r="P37" s="3438"/>
      <c r="Q37" s="530" t="str">
        <f t="shared" si="11"/>
        <v>市政基础设施</v>
      </c>
      <c r="R37" s="664" t="s">
        <v>14</v>
      </c>
      <c r="S37" s="665">
        <f t="shared" si="12"/>
        <v>100</v>
      </c>
      <c r="T37" s="664" t="s">
        <v>14</v>
      </c>
      <c r="U37" s="665">
        <f t="shared" si="13"/>
        <v>100</v>
      </c>
      <c r="V37" s="664" t="s">
        <v>14</v>
      </c>
      <c r="W37" s="665">
        <f t="shared" si="14"/>
        <v>100</v>
      </c>
      <c r="X37" s="666"/>
      <c r="Y37" s="3440"/>
      <c r="Z37" s="50" t="str">
        <f t="shared" si="15"/>
        <v>市政基础设施</v>
      </c>
      <c r="AA37" s="50">
        <f t="shared" si="3"/>
        <v>1</v>
      </c>
      <c r="AB37" s="50">
        <f t="shared" si="4"/>
        <v>1</v>
      </c>
      <c r="AC37" s="50">
        <f t="shared" si="5"/>
        <v>1</v>
      </c>
    </row>
    <row r="38" spans="1:29" ht="15">
      <c r="A38" s="409"/>
      <c r="B38" s="364" t="s">
        <v>1788</v>
      </c>
      <c r="C38" s="1760" t="s">
        <v>3641</v>
      </c>
      <c r="D38" s="374">
        <v>100</v>
      </c>
      <c r="E38" s="1760" t="s">
        <v>3641</v>
      </c>
      <c r="F38" s="400">
        <f>SUMIF(114:114,E38,115:115)-SUMIF(114:114,C38,115:115)+100</f>
        <v>100</v>
      </c>
      <c r="G38" s="1760" t="s">
        <v>3641</v>
      </c>
      <c r="H38" s="374">
        <f>SUMIF(114:114,G38,115:115)-SUMIF(114:114,C38,115:115)+100</f>
        <v>100</v>
      </c>
      <c r="I38" s="1760" t="s">
        <v>3641</v>
      </c>
      <c r="J38" s="374">
        <f>SUMIF(114:114,I38,115:115)-SUMIF(114:114,C38,115:115)+100</f>
        <v>100</v>
      </c>
      <c r="K38" s="538">
        <v>5</v>
      </c>
      <c r="L38" s="2490"/>
      <c r="M38" s="2485"/>
      <c r="N38" s="2485"/>
      <c r="O38" s="2485"/>
      <c r="P38" s="3438" t="s">
        <v>1696</v>
      </c>
      <c r="Q38" s="1263" t="str">
        <f t="shared" si="11"/>
        <v>业态</v>
      </c>
      <c r="R38" s="667" t="s">
        <v>14</v>
      </c>
      <c r="S38" s="668">
        <f t="shared" si="12"/>
        <v>100</v>
      </c>
      <c r="T38" s="667" t="s">
        <v>14</v>
      </c>
      <c r="U38" s="668">
        <f t="shared" si="13"/>
        <v>100</v>
      </c>
      <c r="V38" s="667" t="s">
        <v>14</v>
      </c>
      <c r="W38" s="668">
        <f t="shared" si="14"/>
        <v>100</v>
      </c>
      <c r="X38" s="1265"/>
      <c r="Y38" s="3440" t="s">
        <v>1696</v>
      </c>
      <c r="Z38" s="1264" t="str">
        <f t="shared" si="15"/>
        <v>业态</v>
      </c>
      <c r="AA38" s="1264">
        <f t="shared" si="3"/>
        <v>1</v>
      </c>
      <c r="AB38" s="1264">
        <f t="shared" si="4"/>
        <v>1</v>
      </c>
      <c r="AC38" s="1264">
        <f t="shared" si="5"/>
        <v>1</v>
      </c>
    </row>
    <row r="39" spans="1:29" ht="15">
      <c r="A39" s="409"/>
      <c r="B39" s="364" t="s">
        <v>1789</v>
      </c>
      <c r="C39" s="1760" t="s">
        <v>3640</v>
      </c>
      <c r="D39" s="374">
        <v>100</v>
      </c>
      <c r="E39" s="1760" t="s">
        <v>3640</v>
      </c>
      <c r="F39" s="400">
        <f>SUMIF(116:116,E39,117:117)-SUMIF(116:116,C39,117:117)+100</f>
        <v>100</v>
      </c>
      <c r="G39" s="1760" t="s">
        <v>3640</v>
      </c>
      <c r="H39" s="374">
        <f>SUMIF(116:116,G39,117:117)-SUMIF(116:116,C39,117:117)+100</f>
        <v>100</v>
      </c>
      <c r="I39" s="1760" t="s">
        <v>3640</v>
      </c>
      <c r="J39" s="374">
        <f>SUMIF(116:116,I39,117:117)-SUMIF(116:116,C39,117:117)+100</f>
        <v>100</v>
      </c>
      <c r="K39" s="538">
        <v>5</v>
      </c>
      <c r="L39" s="2490"/>
      <c r="M39" s="2485"/>
      <c r="N39" s="2485"/>
      <c r="O39" s="2485"/>
      <c r="P39" s="3438"/>
      <c r="Q39" s="1263" t="str">
        <f t="shared" si="11"/>
        <v>层高</v>
      </c>
      <c r="R39" s="667" t="s">
        <v>14</v>
      </c>
      <c r="S39" s="668">
        <f t="shared" si="12"/>
        <v>100</v>
      </c>
      <c r="T39" s="667" t="s">
        <v>14</v>
      </c>
      <c r="U39" s="668">
        <f t="shared" si="13"/>
        <v>100</v>
      </c>
      <c r="V39" s="667" t="s">
        <v>14</v>
      </c>
      <c r="W39" s="668">
        <f t="shared" si="14"/>
        <v>100</v>
      </c>
      <c r="X39" s="1265"/>
      <c r="Y39" s="344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8"/>
      <c r="Q40" s="1263" t="str">
        <f t="shared" si="11"/>
        <v>单套建筑面积</v>
      </c>
      <c r="R40" s="667" t="s">
        <v>14</v>
      </c>
      <c r="S40" s="668">
        <f t="shared" si="12"/>
        <v>100</v>
      </c>
      <c r="T40" s="667" t="s">
        <v>14</v>
      </c>
      <c r="U40" s="668">
        <f t="shared" si="13"/>
        <v>100</v>
      </c>
      <c r="V40" s="667" t="s">
        <v>14</v>
      </c>
      <c r="W40" s="668">
        <f t="shared" si="14"/>
        <v>100</v>
      </c>
      <c r="X40" s="1265"/>
      <c r="Y40" s="344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8"/>
      <c r="Q41" s="531" t="str">
        <f t="shared" si="11"/>
        <v>进深比</v>
      </c>
      <c r="R41" s="669" t="s">
        <v>14</v>
      </c>
      <c r="S41" s="670">
        <f t="shared" si="12"/>
        <v>100</v>
      </c>
      <c r="T41" s="669" t="s">
        <v>14</v>
      </c>
      <c r="U41" s="670">
        <f t="shared" si="13"/>
        <v>100</v>
      </c>
      <c r="V41" s="669" t="s">
        <v>14</v>
      </c>
      <c r="W41" s="670">
        <f t="shared" si="14"/>
        <v>100</v>
      </c>
      <c r="X41" s="671"/>
      <c r="Y41" s="3440"/>
      <c r="Z41" s="672" t="str">
        <f t="shared" si="15"/>
        <v>进深比</v>
      </c>
      <c r="AA41" s="1264">
        <f t="shared" si="3"/>
        <v>1</v>
      </c>
      <c r="AB41" s="1264">
        <f t="shared" si="4"/>
        <v>1</v>
      </c>
      <c r="AC41" s="1264">
        <f t="shared" si="5"/>
        <v>1</v>
      </c>
    </row>
    <row r="42" spans="1:29" ht="27.6">
      <c r="A42" s="409"/>
      <c r="B42" s="364" t="s">
        <v>1792</v>
      </c>
      <c r="C42" s="1760" t="s">
        <v>3653</v>
      </c>
      <c r="D42" s="374">
        <v>100</v>
      </c>
      <c r="E42" s="1760" t="s">
        <v>3639</v>
      </c>
      <c r="F42" s="400">
        <f>SUMIF(122:122,E42,123:123)-SUMIF(122:122,C42,123:123)+100</f>
        <v>99</v>
      </c>
      <c r="G42" s="1760" t="s">
        <v>3639</v>
      </c>
      <c r="H42" s="374">
        <f>SUMIF(122:122,G42,123:123)-SUMIF(122:122,C42,123:123)+100</f>
        <v>99</v>
      </c>
      <c r="I42" s="1760" t="s">
        <v>3639</v>
      </c>
      <c r="J42" s="374">
        <f>SUMIF(122:122,I42,123:123)-SUMIF(122:122,C42,123:123)+100</f>
        <v>99</v>
      </c>
      <c r="K42" s="538">
        <v>1</v>
      </c>
      <c r="L42" s="2490"/>
      <c r="M42" s="2485"/>
      <c r="N42" s="2485"/>
      <c r="O42" s="2485"/>
      <c r="P42" s="3438"/>
      <c r="Q42" s="1263" t="str">
        <f t="shared" si="11"/>
        <v>内部装修</v>
      </c>
      <c r="R42" s="667" t="s">
        <v>14</v>
      </c>
      <c r="S42" s="668">
        <f t="shared" si="12"/>
        <v>99</v>
      </c>
      <c r="T42" s="667" t="s">
        <v>14</v>
      </c>
      <c r="U42" s="668">
        <f t="shared" si="13"/>
        <v>99</v>
      </c>
      <c r="V42" s="667" t="s">
        <v>14</v>
      </c>
      <c r="W42" s="668">
        <f t="shared" si="14"/>
        <v>99</v>
      </c>
      <c r="X42" s="1265"/>
      <c r="Y42" s="3440"/>
      <c r="Z42" s="1264" t="str">
        <f t="shared" si="15"/>
        <v>内部装修</v>
      </c>
      <c r="AA42" s="1264">
        <f t="shared" si="3"/>
        <v>1.0101010101010102</v>
      </c>
      <c r="AB42" s="1264">
        <f t="shared" si="4"/>
        <v>1.0101010101010102</v>
      </c>
      <c r="AC42" s="1264">
        <f t="shared" si="5"/>
        <v>1.0101010101010102</v>
      </c>
    </row>
    <row r="43" spans="1:29" ht="29.4" thickBot="1">
      <c r="A43" s="409"/>
      <c r="B43" s="364" t="s">
        <v>1707</v>
      </c>
      <c r="C43" s="1760" t="s">
        <v>3638</v>
      </c>
      <c r="D43" s="374">
        <v>100</v>
      </c>
      <c r="E43" s="1760" t="s">
        <v>3638</v>
      </c>
      <c r="F43" s="400">
        <f>SUMIF(124:124,E43,125:125)-SUMIF(124:124,C43,125:125)+100</f>
        <v>100</v>
      </c>
      <c r="G43" s="1760" t="s">
        <v>3638</v>
      </c>
      <c r="H43" s="374">
        <f>SUMIF(124:124,G43,125:125)-SUMIF(124:124,C43,125:125)+100</f>
        <v>100</v>
      </c>
      <c r="I43" s="1760" t="s">
        <v>3638</v>
      </c>
      <c r="J43" s="374">
        <f>SUMIF(124:124,I43,125:125)-SUMIF(124:124,C43,125:125)+100</f>
        <v>100</v>
      </c>
      <c r="K43" s="538">
        <v>2</v>
      </c>
      <c r="L43" s="2490"/>
      <c r="M43" s="2485"/>
      <c r="N43" s="2485"/>
      <c r="O43" s="2485"/>
      <c r="P43" s="3438"/>
      <c r="Q43" s="1263" t="str">
        <f t="shared" si="11"/>
        <v>内部装修维护情况</v>
      </c>
      <c r="R43" s="667" t="s">
        <v>14</v>
      </c>
      <c r="S43" s="668">
        <f t="shared" si="12"/>
        <v>100</v>
      </c>
      <c r="T43" s="667" t="s">
        <v>14</v>
      </c>
      <c r="U43" s="668">
        <f t="shared" si="13"/>
        <v>100</v>
      </c>
      <c r="V43" s="667" t="s">
        <v>14</v>
      </c>
      <c r="W43" s="668">
        <f t="shared" si="14"/>
        <v>100</v>
      </c>
      <c r="X43" s="1265"/>
      <c r="Y43" s="3440"/>
      <c r="Z43" s="1264" t="str">
        <f t="shared" si="15"/>
        <v>内部装修维护情况</v>
      </c>
      <c r="AA43" s="1264">
        <f t="shared" si="3"/>
        <v>1</v>
      </c>
      <c r="AB43" s="1264">
        <f t="shared" si="4"/>
        <v>1</v>
      </c>
      <c r="AC43" s="1264">
        <f t="shared" si="5"/>
        <v>1</v>
      </c>
    </row>
    <row r="44" spans="1:29" s="102" customFormat="1" ht="15.6" thickTop="1">
      <c r="A44" s="410"/>
      <c r="B44" s="1066" t="s">
        <v>3636</v>
      </c>
      <c r="C44" s="407" t="s">
        <v>3654</v>
      </c>
      <c r="D44" s="119">
        <v>100</v>
      </c>
      <c r="E44" s="485" t="s">
        <v>3637</v>
      </c>
      <c r="F44" s="364">
        <f>SUMIF(126:126,E44,127:127)-SUMIF(126:126,C44,127:127)+100</f>
        <v>99</v>
      </c>
      <c r="G44" s="485" t="s">
        <v>3637</v>
      </c>
      <c r="H44" s="119">
        <f>SUMIF(126:126,G44,127:127)-SUMIF(126:126,C44,127:127)+100</f>
        <v>99</v>
      </c>
      <c r="I44" s="485" t="s">
        <v>3637</v>
      </c>
      <c r="J44" s="119">
        <f>SUMIF(126:126,I44,127:127)-SUMIF(126:126,C44,127:127)+100</f>
        <v>99</v>
      </c>
      <c r="K44" s="539"/>
      <c r="L44" s="2486"/>
      <c r="M44" s="2438"/>
      <c r="N44" s="2438"/>
      <c r="O44" s="2438"/>
      <c r="P44" s="3438"/>
      <c r="Q44" s="530" t="str">
        <f t="shared" si="11"/>
        <v>1层面积占比</v>
      </c>
      <c r="R44" s="664" t="s">
        <v>14</v>
      </c>
      <c r="S44" s="665">
        <f t="shared" si="12"/>
        <v>99</v>
      </c>
      <c r="T44" s="664" t="s">
        <v>14</v>
      </c>
      <c r="U44" s="665">
        <f t="shared" si="13"/>
        <v>99</v>
      </c>
      <c r="V44" s="664" t="s">
        <v>14</v>
      </c>
      <c r="W44" s="665">
        <f t="shared" si="14"/>
        <v>99</v>
      </c>
      <c r="X44" s="666"/>
      <c r="Y44" s="3440"/>
      <c r="Z44" s="50" t="str">
        <f t="shared" si="15"/>
        <v>1层面积占比</v>
      </c>
      <c r="AA44" s="50">
        <f t="shared" si="3"/>
        <v>1.0101010101010102</v>
      </c>
      <c r="AB44" s="50">
        <f t="shared" si="4"/>
        <v>1.0101010101010102</v>
      </c>
      <c r="AC44" s="50">
        <f t="shared" si="5"/>
        <v>1.0101010101010102</v>
      </c>
    </row>
    <row r="45" spans="1:29" ht="15">
      <c r="A45" s="409"/>
      <c r="B45" s="1066">
        <v>111</v>
      </c>
      <c r="C45" s="3211">
        <v>0.63</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8"/>
      <c r="Q45" s="1263">
        <f t="shared" si="11"/>
        <v>111</v>
      </c>
      <c r="R45" s="667" t="s">
        <v>14</v>
      </c>
      <c r="S45" s="668">
        <f t="shared" si="12"/>
        <v>100</v>
      </c>
      <c r="T45" s="667" t="s">
        <v>14</v>
      </c>
      <c r="U45" s="668">
        <f t="shared" si="13"/>
        <v>100</v>
      </c>
      <c r="V45" s="667" t="s">
        <v>14</v>
      </c>
      <c r="W45" s="668">
        <f t="shared" si="14"/>
        <v>100</v>
      </c>
      <c r="X45" s="1265"/>
      <c r="Y45" s="344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264">
        <f t="shared" si="5"/>
        <v>1</v>
      </c>
    </row>
    <row r="47" spans="1:29" ht="14.4">
      <c r="A47" s="416" t="s">
        <v>1708</v>
      </c>
      <c r="B47" s="417"/>
      <c r="C47" s="1081" t="s">
        <v>0</v>
      </c>
      <c r="D47" s="418"/>
      <c r="E47" s="419">
        <f>'中指成交案例+三套价值汇总'!M9</f>
        <v>36000</v>
      </c>
      <c r="F47" s="420"/>
      <c r="G47" s="421">
        <f>'中指成交案例+三套价值汇总'!M11</f>
        <v>36000</v>
      </c>
      <c r="H47" s="422"/>
      <c r="I47" s="419">
        <f>'中指成交案例+三套价值汇总'!M14</f>
        <v>34000</v>
      </c>
      <c r="J47" s="422"/>
      <c r="K47" s="674"/>
      <c r="L47" s="2492"/>
      <c r="M47" s="2485"/>
      <c r="N47" s="2485"/>
      <c r="O47" s="2485"/>
      <c r="P47" s="3442" t="str">
        <f>A47</f>
        <v>成交单价（元/平方米）</v>
      </c>
      <c r="Q47" s="3442"/>
      <c r="R47" s="3406">
        <f>E47</f>
        <v>36000</v>
      </c>
      <c r="S47" s="3406"/>
      <c r="T47" s="3406">
        <f>G47</f>
        <v>36000</v>
      </c>
      <c r="U47" s="3406"/>
      <c r="V47" s="3406">
        <f>I47</f>
        <v>34000</v>
      </c>
      <c r="W47" s="3406"/>
      <c r="X47" s="385"/>
      <c r="Y47" s="673"/>
      <c r="Z47" s="385"/>
      <c r="AA47" s="385"/>
      <c r="AB47" s="385"/>
      <c r="AC47" s="385"/>
    </row>
    <row r="48" spans="1:29" ht="15" thickBot="1">
      <c r="A48" s="423" t="s">
        <v>1793</v>
      </c>
      <c r="B48" s="424"/>
      <c r="C48" s="1082">
        <f>R49</f>
        <v>32730</v>
      </c>
      <c r="D48" s="2141" t="s">
        <v>2138</v>
      </c>
      <c r="E48" s="1083">
        <f>R48</f>
        <v>32737</v>
      </c>
      <c r="F48" s="2142"/>
      <c r="G48" s="1082">
        <f>T48</f>
        <v>33061</v>
      </c>
      <c r="H48" s="2142"/>
      <c r="I48" s="1083">
        <f>V48</f>
        <v>32391</v>
      </c>
      <c r="J48" s="2142"/>
      <c r="K48" s="2144">
        <f>F48+H48+J48</f>
        <v>0</v>
      </c>
      <c r="L48" s="2492"/>
      <c r="M48" s="2485"/>
      <c r="N48" s="2485"/>
      <c r="O48" s="2485"/>
      <c r="P48" s="3442" t="str">
        <f>A48</f>
        <v>比较价值（元/平方米）</v>
      </c>
      <c r="Q48" s="3442"/>
      <c r="R48" s="3406">
        <f>IF(F1="售价",ROUND(PRODUCT(R47,AA7:AA46),0),ROUND(PRODUCT(R47,AA7:AA46),1))</f>
        <v>32737</v>
      </c>
      <c r="S48" s="3406"/>
      <c r="T48" s="3406">
        <f>IF(F1="售价",ROUND(PRODUCT(T47,AB7:AB46),0),ROUND(PRODUCT(T47,AB7:AB46),1))</f>
        <v>33061</v>
      </c>
      <c r="U48" s="3406"/>
      <c r="V48" s="3406">
        <f>IF(F1="售价",ROUND(PRODUCT(V47,AC7:AC46),0),ROUND(PRODUCT(V47,AC7:AC46),1))</f>
        <v>32391</v>
      </c>
      <c r="W48" s="3406"/>
      <c r="X48" s="385"/>
      <c r="Y48" s="385"/>
      <c r="Z48" s="385"/>
      <c r="AA48" s="385"/>
      <c r="AB48" s="385"/>
      <c r="AC48" s="385"/>
    </row>
    <row r="49" spans="1:29" ht="15" thickBot="1">
      <c r="A49" s="427" t="s">
        <v>1794</v>
      </c>
      <c r="B49" s="428"/>
      <c r="C49" s="351">
        <f>R49</f>
        <v>32730</v>
      </c>
      <c r="D49" s="351"/>
      <c r="E49" s="351"/>
      <c r="F49" s="351"/>
      <c r="G49" s="351"/>
      <c r="H49" s="351"/>
      <c r="I49" s="351"/>
      <c r="J49" s="351"/>
      <c r="K49" s="675"/>
      <c r="L49" s="2492"/>
      <c r="M49" s="2485"/>
      <c r="N49" s="2485"/>
      <c r="O49" s="2485"/>
      <c r="P49" s="3443" t="str">
        <f>A49</f>
        <v>估价对象XX用房的比较价值（楼面单价，元/平方米）</v>
      </c>
      <c r="Q49" s="3444"/>
      <c r="R49" s="3445">
        <f>IF(F1="售价",ROUND(IF(D48="简单平均",AVERAGE(R48:V48),R48*F48+T48*H48+V48*J48),0),ROUND(IF(D48="简单平均",AVERAGE(R48:V48),R48*F48+T48*H48+V48*J48),1))</f>
        <v>32730</v>
      </c>
      <c r="S49" s="3445"/>
      <c r="T49" s="3445"/>
      <c r="U49" s="3445"/>
      <c r="V49" s="3445"/>
      <c r="W49" s="344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9.9673152701835743E-2</v>
      </c>
      <c r="F52" s="435" t="str">
        <f>IF(OR(E52&gt;=0.3,E52&lt;=-0.3),"超过30%","")</f>
        <v/>
      </c>
      <c r="G52" s="434">
        <f>IF(G47&lt;G48,G48/G47-1,G47/G48-1)</f>
        <v>8.8896282629079559E-2</v>
      </c>
      <c r="H52" s="435" t="str">
        <f>IF(OR(G52&gt;=0.3,G52&lt;=-0.3),"超过30%","")</f>
        <v/>
      </c>
      <c r="I52" s="434">
        <f>IF(I47&lt;I48,I48/I47-1,I47/I48-1)</f>
        <v>4.9674292241671969E-2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9.8970583743165363E-3</v>
      </c>
      <c r="F53" s="435" t="str">
        <f>IF(OR(E53&gt;=0.2,E53&lt;=-0.2),"超过20%","")</f>
        <v/>
      </c>
      <c r="G53" s="434">
        <f>IF(G48&lt;I48,I48/G48-1,G48/I48-1)</f>
        <v>2.0684758111821244E-2</v>
      </c>
      <c r="H53" s="435" t="str">
        <f>IF(OR(G53&gt;=0.2,G53&lt;=-0.2),"超过20%","")</f>
        <v/>
      </c>
      <c r="I53" s="434">
        <f>IF(I48&lt;E48,E48/I48-1,I48/E48-1)</f>
        <v>1.0681979562224164E-2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v>100</v>
      </c>
      <c r="E59" s="446">
        <v>100</v>
      </c>
      <c r="F59" s="446">
        <v>100</v>
      </c>
      <c r="G59" s="446">
        <v>100</v>
      </c>
      <c r="H59" s="446">
        <v>100</v>
      </c>
      <c r="I59" s="446">
        <v>100</v>
      </c>
      <c r="J59" s="446">
        <v>100</v>
      </c>
      <c r="K59" s="446">
        <v>100</v>
      </c>
      <c r="L59" s="446">
        <v>100</v>
      </c>
      <c r="M59" s="446">
        <v>100</v>
      </c>
      <c r="N59" s="446">
        <v>100</v>
      </c>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3604</v>
      </c>
      <c r="D65" s="513" t="s">
        <v>3605</v>
      </c>
      <c r="E65" s="513" t="s">
        <v>3606</v>
      </c>
      <c r="F65" s="513" t="s">
        <v>3607</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D66-1</f>
        <v>97</v>
      </c>
      <c r="D66" s="467">
        <f>E66-1</f>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205" t="s">
        <v>3608</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205" t="s">
        <v>3609</v>
      </c>
      <c r="D88" s="3205" t="s">
        <v>3610</v>
      </c>
      <c r="E88" s="3205" t="s">
        <v>3611</v>
      </c>
      <c r="F88" s="3206" t="s">
        <v>3612</v>
      </c>
      <c r="G88" s="3205" t="s">
        <v>3613</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205" t="s">
        <v>3614</v>
      </c>
      <c r="D90" s="3205" t="s">
        <v>3615</v>
      </c>
      <c r="E90" s="3205" t="s">
        <v>3611</v>
      </c>
      <c r="F90" s="3205" t="s">
        <v>3616</v>
      </c>
      <c r="G90" s="3205" t="s">
        <v>3617</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3618</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207" t="s">
        <v>3619</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150</v>
      </c>
      <c r="F103" s="6">
        <v>200</v>
      </c>
      <c r="G103" s="6">
        <v>250</v>
      </c>
      <c r="H103" s="6">
        <v>300</v>
      </c>
      <c r="I103" s="6">
        <v>350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205" t="s">
        <v>3620</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205" t="s">
        <v>3621</v>
      </c>
      <c r="D112" s="3205" t="s">
        <v>3622</v>
      </c>
      <c r="E112" s="3205" t="s">
        <v>3623</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205" t="s">
        <v>3624</v>
      </c>
      <c r="D114" s="3205" t="s">
        <v>3625</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205" t="s">
        <v>3626</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43.8" thickTop="1">
      <c r="A122" s="409"/>
      <c r="B122" s="469" t="s">
        <v>1744</v>
      </c>
      <c r="C122" s="3205" t="s">
        <v>3627</v>
      </c>
      <c r="D122" s="3205" t="s">
        <v>3628</v>
      </c>
      <c r="E122" s="3205" t="s">
        <v>3629</v>
      </c>
      <c r="F122" s="3208" t="s">
        <v>3630</v>
      </c>
      <c r="G122" s="3208" t="s">
        <v>3631</v>
      </c>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28.8" thickTop="1">
      <c r="A126" s="406"/>
      <c r="B126" s="469" t="str">
        <f>B44</f>
        <v>1层面积占比</v>
      </c>
      <c r="C126" s="408" t="s">
        <v>3632</v>
      </c>
      <c r="D126" s="408" t="s">
        <v>3633</v>
      </c>
      <c r="E126" s="373" t="s">
        <v>3634</v>
      </c>
      <c r="F126" s="485" t="s">
        <v>3635</v>
      </c>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3">
        <f t="shared" ref="C127:D127" si="33">D127-1</f>
        <v>97</v>
      </c>
      <c r="D127" s="493">
        <f t="shared" si="33"/>
        <v>98</v>
      </c>
      <c r="E127" s="493">
        <f>F127-1</f>
        <v>99</v>
      </c>
      <c r="F127" s="493">
        <v>100</v>
      </c>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102</v>
      </c>
      <c r="D1" s="1271" t="s">
        <v>43</v>
      </c>
      <c r="E1" s="1272" t="s">
        <v>678</v>
      </c>
      <c r="F1" s="999">
        <f ca="1">J53</f>
        <v>26.43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484.62810000000002</v>
      </c>
      <c r="C2" s="1289" t="s">
        <v>879</v>
      </c>
      <c r="D2" s="1375">
        <f ca="1">C40+J29+L46</f>
        <v>4846281</v>
      </c>
      <c r="E2" s="1295" t="s">
        <v>880</v>
      </c>
      <c r="F2" s="1296"/>
      <c r="G2" s="2476"/>
      <c r="H2" s="2466"/>
      <c r="I2" s="2466"/>
      <c r="J2" s="2466"/>
      <c r="K2" s="2467"/>
      <c r="L2" s="2466"/>
      <c r="M2" s="2466"/>
    </row>
    <row r="3" spans="1:37" ht="18" customHeight="1" thickBot="1">
      <c r="A3" s="1297" t="s">
        <v>881</v>
      </c>
      <c r="B3" s="1298">
        <f ca="1">IF(ISERROR(D2/F43),0,ROUND(D2/F43,0))</f>
        <v>20012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351311</v>
      </c>
      <c r="D5" s="1273" t="s">
        <v>889</v>
      </c>
      <c r="E5" s="1008"/>
      <c r="F5" s="1009"/>
      <c r="G5" s="1292"/>
      <c r="H5" s="291">
        <v>1</v>
      </c>
      <c r="I5" s="292" t="s">
        <v>888</v>
      </c>
      <c r="J5" s="1007">
        <f ca="1">J6+J10+J12</f>
        <v>0</v>
      </c>
      <c r="K5" s="1273" t="s">
        <v>889</v>
      </c>
      <c r="L5" s="1008"/>
      <c r="M5" s="1009"/>
    </row>
    <row r="6" spans="1:37" ht="18" customHeight="1">
      <c r="A6" s="1006" t="s">
        <v>398</v>
      </c>
      <c r="B6" s="3400" t="s">
        <v>694</v>
      </c>
      <c r="C6" s="1011">
        <f ca="1">ROUND(F6*F8*F7*(1-F9),0)</f>
        <v>350872</v>
      </c>
      <c r="D6" s="147" t="s">
        <v>2106</v>
      </c>
      <c r="E6" s="294" t="s">
        <v>696</v>
      </c>
      <c r="F6" s="295">
        <f ca="1">INDIRECT("'数据-取费表'!u"&amp;$G$1)</f>
        <v>4.67</v>
      </c>
      <c r="G6" s="1292"/>
      <c r="H6" s="1006" t="s">
        <v>398</v>
      </c>
      <c r="I6" s="3400" t="s">
        <v>694</v>
      </c>
      <c r="J6" s="293">
        <f ca="1">ROUND(M6*M8*M7*(1-M9),0)</f>
        <v>0</v>
      </c>
      <c r="K6" s="1284" t="s">
        <v>2107</v>
      </c>
      <c r="L6" s="294" t="s">
        <v>696</v>
      </c>
      <c r="M6" s="295">
        <f ca="1">INDIRECT("'数据-取费表'!z"&amp;$G$1)</f>
        <v>0</v>
      </c>
    </row>
    <row r="7" spans="1:37" ht="18" customHeight="1">
      <c r="A7" s="1010"/>
      <c r="B7" s="3401"/>
      <c r="C7" s="1012"/>
      <c r="D7" s="299"/>
      <c r="E7" s="1013" t="s">
        <v>697</v>
      </c>
      <c r="F7" s="295">
        <f ca="1">IF(INDIRECT("'数据-取费表'!ah"&amp;$G$1)="",INDIRECT("'数据-取费表'!k"&amp;$G$1),INDIRECT("'数据-取费表'!ah"&amp;$G$1))</f>
        <v>242.17</v>
      </c>
      <c r="G7" s="1292"/>
      <c r="H7" s="296"/>
      <c r="I7" s="3401"/>
      <c r="J7" s="298"/>
      <c r="K7" s="299"/>
      <c r="L7" s="294" t="s">
        <v>697</v>
      </c>
      <c r="M7" s="295">
        <f ca="1">F7</f>
        <v>242.17</v>
      </c>
    </row>
    <row r="8" spans="1:37" ht="18" customHeight="1">
      <c r="A8" s="296"/>
      <c r="B8" s="3401"/>
      <c r="C8" s="298"/>
      <c r="D8" s="299"/>
      <c r="E8" s="294" t="s">
        <v>698</v>
      </c>
      <c r="F8" s="295">
        <f ca="1">INDIRECT("'数据-取费表'!ai"&amp;$G$1)</f>
        <v>365</v>
      </c>
      <c r="G8" s="1292"/>
      <c r="H8" s="296"/>
      <c r="I8" s="3401"/>
      <c r="J8" s="298"/>
      <c r="K8" s="299"/>
      <c r="L8" s="294" t="s">
        <v>698</v>
      </c>
      <c r="M8" s="295">
        <f ca="1">INDIRECT("'数据-取费表'!ai"&amp;$G$1)</f>
        <v>365</v>
      </c>
    </row>
    <row r="9" spans="1:37" ht="18" customHeight="1">
      <c r="A9" s="296"/>
      <c r="B9" s="3402"/>
      <c r="C9" s="298"/>
      <c r="D9" s="299"/>
      <c r="E9" s="294" t="s">
        <v>699</v>
      </c>
      <c r="F9" s="304">
        <f ca="1">INDIRECT("'数据-取费表'!w"&amp;$G$1)</f>
        <v>0.15</v>
      </c>
      <c r="G9" s="1292"/>
      <c r="H9" s="296"/>
      <c r="I9" s="3402"/>
      <c r="J9" s="298"/>
      <c r="K9" s="299"/>
      <c r="L9" s="305" t="s">
        <v>699</v>
      </c>
      <c r="M9" s="306">
        <f ca="1">INDIRECT("'数据-取费表'!ab"&amp;$G$1)</f>
        <v>0</v>
      </c>
    </row>
    <row r="10" spans="1:37" ht="18" customHeight="1">
      <c r="A10" s="1006" t="s">
        <v>402</v>
      </c>
      <c r="B10" s="1274" t="s">
        <v>700</v>
      </c>
      <c r="C10" s="308">
        <f ca="1">ROUND(IF(F10="押一",C6/12*F11,IF(F10="押二",C6/12*2*F11,IF(F10="押三",C6/12*3*F11,C11*F11))),0)</f>
        <v>439</v>
      </c>
      <c r="D10" s="150" t="s">
        <v>2116</v>
      </c>
      <c r="E10" s="305" t="s">
        <v>701</v>
      </c>
      <c r="F10" s="1053" t="s">
        <v>3472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1159967</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968680</v>
      </c>
      <c r="D14" s="1257" t="s">
        <v>708</v>
      </c>
      <c r="E14" s="1255"/>
      <c r="F14" s="311"/>
      <c r="G14" s="1292"/>
      <c r="H14" s="928" t="s">
        <v>398</v>
      </c>
      <c r="I14" s="294" t="s">
        <v>709</v>
      </c>
      <c r="J14" s="21">
        <f ca="1">C29</f>
        <v>1414594</v>
      </c>
      <c r="K14" s="12"/>
      <c r="L14" s="759"/>
      <c r="M14" s="760"/>
    </row>
    <row r="15" spans="1:37" s="1304" customFormat="1" ht="18" customHeight="1" thickBot="1">
      <c r="A15" s="928" t="s">
        <v>399</v>
      </c>
      <c r="B15" s="294" t="s">
        <v>710</v>
      </c>
      <c r="C15" s="21">
        <f ca="1">ROUND(C14*F15,0)</f>
        <v>48434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7073</v>
      </c>
      <c r="K16" s="1024" t="s">
        <v>715</v>
      </c>
      <c r="L16" s="1025"/>
      <c r="M16" s="1009"/>
    </row>
    <row r="17" spans="1:37" s="1304" customFormat="1" ht="18" customHeight="1">
      <c r="A17" s="928" t="s">
        <v>681</v>
      </c>
      <c r="B17" s="294" t="s">
        <v>716</v>
      </c>
      <c r="C17" s="21">
        <f ca="1">ROUND(F17*(F43+INDIRECT("'数据-取费表'!S"&amp;$G$1)),0)</f>
        <v>48434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19374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1084922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21698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7073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33199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-7073</v>
      </c>
      <c r="K25" s="1032" t="s">
        <v>753</v>
      </c>
      <c r="L25" s="1033"/>
      <c r="M25" s="1034"/>
    </row>
    <row r="26" spans="1:37" ht="18" customHeight="1">
      <c r="A26" s="928" t="s">
        <v>397</v>
      </c>
      <c r="B26" s="294" t="s">
        <v>754</v>
      </c>
      <c r="C26" s="21">
        <f ca="1">ROUND((C19+C20)*F26,0)</f>
        <v>165993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1414594</v>
      </c>
      <c r="D29" s="1029"/>
      <c r="E29" s="1027"/>
      <c r="F29" s="1030"/>
      <c r="G29" s="1303"/>
      <c r="H29" s="325" t="s">
        <v>396</v>
      </c>
      <c r="I29" s="326" t="s">
        <v>768</v>
      </c>
      <c r="J29" s="327">
        <f ca="1">ROUND(J26/(1+F40)^F41,0)</f>
        <v>0</v>
      </c>
      <c r="K29" s="328" t="s">
        <v>769</v>
      </c>
      <c r="L29" s="329"/>
      <c r="M29" s="330">
        <f ca="1">INDIRECT("'数据-取费表'!k"&amp;$G$1)</f>
        <v>242.17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68803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58813</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18713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40100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7073</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1160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1757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282508</v>
      </c>
      <c r="D39" s="1032" t="s">
        <v>773</v>
      </c>
      <c r="E39" s="1033"/>
      <c r="F39" s="1034"/>
      <c r="G39" s="1292"/>
      <c r="H39" s="2471"/>
      <c r="I39" s="1305"/>
      <c r="J39" s="1306"/>
      <c r="K39" s="2469"/>
      <c r="L39" s="2471"/>
      <c r="M39" s="2471"/>
    </row>
    <row r="40" spans="1:18" ht="18" customHeight="1">
      <c r="A40" s="291" t="s">
        <v>395</v>
      </c>
      <c r="B40" s="292" t="s">
        <v>774</v>
      </c>
      <c r="C40" s="293">
        <f ca="1">ROUND(C39*(1-((1+F42)/(1+F40))^F41)/(F40-F42),0)</f>
        <v>4762612</v>
      </c>
      <c r="D40" s="316" t="s">
        <v>758</v>
      </c>
      <c r="E40" s="294" t="s">
        <v>759</v>
      </c>
      <c r="F40" s="304">
        <f ca="1">INDIRECT("'数据-取费表'!I"&amp;$G$1)</f>
        <v>5.5E-2</v>
      </c>
      <c r="G40" s="1292"/>
      <c r="H40" s="1366">
        <f ca="1">C39/C5</f>
        <v>0.804153584715537</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26.43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19666</v>
      </c>
      <c r="D43" s="328" t="s">
        <v>777</v>
      </c>
      <c r="E43" s="329" t="s">
        <v>778</v>
      </c>
      <c r="F43" s="330">
        <f ca="1">INDIRECT("'数据-取费表'!k"&amp;$G$1)</f>
        <v>242.17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-487.5942</v>
      </c>
      <c r="D45" s="3128" t="s">
        <v>3353</v>
      </c>
      <c r="E45" s="1307"/>
      <c r="F45" s="1307"/>
      <c r="O45" s="1310" t="s">
        <v>808</v>
      </c>
      <c r="P45" s="1366"/>
      <c r="Q45" s="1366"/>
      <c r="R45" s="1366"/>
    </row>
    <row r="46" spans="1:18" s="1292" customFormat="1" ht="13.8" thickBot="1">
      <c r="A46" s="1311" t="s">
        <v>809</v>
      </c>
      <c r="C46" s="1312">
        <f ca="1">ROUND(C45,0)</f>
        <v>-488</v>
      </c>
      <c r="D46" s="1313" t="str">
        <f>C2</f>
        <v>万元</v>
      </c>
      <c r="I46" s="1314" t="s">
        <v>810</v>
      </c>
      <c r="J46" s="1315"/>
      <c r="K46" s="1316"/>
      <c r="L46" s="1317">
        <f ca="1">IF(M47="住宅",0,IF(L48&gt;J51,L60,J60))</f>
        <v>83669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3473</v>
      </c>
      <c r="K47" s="1323" t="s">
        <v>816</v>
      </c>
      <c r="L47" s="1324">
        <f ca="1">INDIRECT("'数据-取费表'!d"&amp;$G$1)</f>
        <v>40</v>
      </c>
      <c r="M47" s="1288" t="str">
        <f>IF(ISNUMBER(FIND("住宅",C1)),"住宅","非住宅")</f>
        <v>非住宅</v>
      </c>
      <c r="O47" s="1325" t="s">
        <v>403</v>
      </c>
      <c r="P47" s="1326" t="s">
        <v>817</v>
      </c>
      <c r="Q47" s="1327">
        <f ca="1">C40+J29</f>
        <v>4762612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3474</v>
      </c>
      <c r="K48" s="1330" t="s">
        <v>820</v>
      </c>
      <c r="L48" s="1331">
        <f ca="1">INDIRECT("'数据-取费表'!f"&amp;$G$1)</f>
        <v>26.43</v>
      </c>
      <c r="O48" s="1325" t="s">
        <v>404</v>
      </c>
      <c r="P48" s="1326" t="s">
        <v>821</v>
      </c>
      <c r="Q48" s="1327">
        <f ca="1">J60</f>
        <v>83669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1414594</v>
      </c>
      <c r="R49" s="1327" t="s">
        <v>818</v>
      </c>
    </row>
    <row r="50" spans="1:18" s="1292" customFormat="1" ht="13.8" thickBot="1">
      <c r="A50" s="922"/>
      <c r="B50" s="925"/>
      <c r="C50" s="926"/>
      <c r="D50" s="899"/>
      <c r="E50" s="993" t="s">
        <v>697</v>
      </c>
      <c r="F50" s="994">
        <f ca="1">F7</f>
        <v>242.17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3619764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26.43</v>
      </c>
      <c r="K53" s="3398" t="s">
        <v>837</v>
      </c>
      <c r="L53" s="3399"/>
      <c r="O53" s="1325" t="s">
        <v>409</v>
      </c>
      <c r="P53" s="1326" t="s">
        <v>838</v>
      </c>
      <c r="Q53" s="1327">
        <f ca="1">Q47+Q48</f>
        <v>4846281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0.34300000000000003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1159967</v>
      </c>
      <c r="D56" s="1352"/>
      <c r="E56" s="1353"/>
      <c r="F56" s="1345"/>
      <c r="I56" s="1354" t="s">
        <v>842</v>
      </c>
      <c r="J56" s="1355" t="s">
        <v>3419</v>
      </c>
      <c r="K56" s="1328" t="s">
        <v>843</v>
      </c>
      <c r="L56" s="1331" t="str">
        <f ca="1">IF(L48&lt;J51,"——",L48-J51)</f>
        <v>——</v>
      </c>
      <c r="O56" s="1325" t="s">
        <v>403</v>
      </c>
      <c r="P56" s="1326" t="s">
        <v>817</v>
      </c>
      <c r="Q56" s="1327">
        <f ca="1">C40+J29</f>
        <v>4762612</v>
      </c>
      <c r="R56" s="1327" t="s">
        <v>818</v>
      </c>
    </row>
    <row r="57" spans="1:18" s="1292" customFormat="1" ht="24.6" thickBot="1">
      <c r="A57" s="1356"/>
      <c r="B57" s="896" t="s">
        <v>767</v>
      </c>
      <c r="C57" s="230">
        <f ca="1">C29</f>
        <v>1414594</v>
      </c>
      <c r="D57" s="1357"/>
      <c r="E57" s="1358"/>
      <c r="F57" s="1359"/>
      <c r="I57" s="1360" t="s">
        <v>844</v>
      </c>
      <c r="J57" s="1361">
        <f ca="1">IF(OR(M47="住宅",J51&lt;L48,J56="是"),"——",J51-L48)</f>
        <v>20.57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8233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565838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83669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4762612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7073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1160</v>
      </c>
      <c r="D65" s="910" t="s">
        <v>743</v>
      </c>
      <c r="E65" s="896" t="s">
        <v>744</v>
      </c>
      <c r="F65" s="321">
        <f t="shared" ca="1" si="0"/>
        <v>1E-3</v>
      </c>
      <c r="I65" s="1367" t="s">
        <v>867</v>
      </c>
      <c r="J65" s="610">
        <v>40</v>
      </c>
      <c r="K65" s="610">
        <v>30</v>
      </c>
      <c r="L65" s="610">
        <v>50</v>
      </c>
      <c r="M65" s="1369">
        <v>0.02</v>
      </c>
      <c r="O65" s="1325" t="s">
        <v>403</v>
      </c>
      <c r="P65" s="1326" t="s">
        <v>868</v>
      </c>
      <c r="Q65" s="1327">
        <f ca="1">C40+J29</f>
        <v>4762612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-8233</v>
      </c>
      <c r="D67" s="909" t="s">
        <v>753</v>
      </c>
      <c r="E67" s="914"/>
      <c r="F67" s="915"/>
      <c r="O67" s="1334" t="s">
        <v>405</v>
      </c>
      <c r="P67" s="1326" t="s">
        <v>850</v>
      </c>
      <c r="Q67" s="1370">
        <f ca="1">L51</f>
        <v>3619764</v>
      </c>
      <c r="R67" s="1327" t="s">
        <v>870</v>
      </c>
    </row>
    <row r="68" spans="1:18" s="1292" customFormat="1" ht="16.2" thickBot="1">
      <c r="A68" s="893" t="s">
        <v>395</v>
      </c>
      <c r="B68" s="894" t="s">
        <v>774</v>
      </c>
      <c r="C68" s="293">
        <f ca="1">ROUND(C67*(1-((1+F70)/(1+F68))^F69)/(F68-F70),0)</f>
        <v>-113330</v>
      </c>
      <c r="D68" s="911" t="s">
        <v>758</v>
      </c>
      <c r="E68" s="896" t="s">
        <v>759</v>
      </c>
      <c r="F68" s="304">
        <f ca="1">F40</f>
        <v>5.5E-2</v>
      </c>
      <c r="O68" s="1334" t="s">
        <v>406</v>
      </c>
      <c r="P68" s="1371" t="s">
        <v>871</v>
      </c>
      <c r="Q68" s="1327">
        <f ca="1">ROUND(Q69-Q70*Q71,0)</f>
        <v>201310</v>
      </c>
      <c r="R68" s="1327" t="s">
        <v>414</v>
      </c>
    </row>
    <row r="69" spans="1:18" s="1292" customFormat="1" ht="13.8" thickBot="1">
      <c r="A69" s="897"/>
      <c r="B69" s="898"/>
      <c r="C69" s="298"/>
      <c r="D69" s="916" t="s">
        <v>762</v>
      </c>
      <c r="E69" s="896" t="s">
        <v>763</v>
      </c>
      <c r="F69" s="324">
        <f ca="1">F41</f>
        <v>26.43</v>
      </c>
      <c r="O69" s="1334" t="s">
        <v>411</v>
      </c>
      <c r="P69" s="1371" t="s">
        <v>872</v>
      </c>
      <c r="Q69" s="1327">
        <f ca="1">C39</f>
        <v>282508</v>
      </c>
      <c r="R69" s="1327" t="s">
        <v>818</v>
      </c>
    </row>
    <row r="70" spans="1:18" s="1292" customFormat="1" ht="13.8" thickBot="1">
      <c r="A70" s="900"/>
      <c r="B70" s="901"/>
      <c r="C70" s="302"/>
      <c r="D70" s="912"/>
      <c r="E70" s="896" t="s">
        <v>766</v>
      </c>
      <c r="F70" s="991"/>
      <c r="O70" s="1334" t="s">
        <v>412</v>
      </c>
      <c r="P70" s="1371" t="s">
        <v>873</v>
      </c>
      <c r="Q70" s="1327">
        <f ca="1">C13</f>
        <v>1159967</v>
      </c>
      <c r="R70" s="1327" t="s">
        <v>818</v>
      </c>
    </row>
    <row r="71" spans="1:18" s="1292" customFormat="1" ht="13.8" thickBot="1">
      <c r="A71" s="917" t="s">
        <v>396</v>
      </c>
      <c r="B71" s="918" t="s">
        <v>776</v>
      </c>
      <c r="C71" s="327">
        <f ca="1">ROUND(C68/F71,0)</f>
        <v>-468</v>
      </c>
      <c r="D71" s="919" t="s">
        <v>777</v>
      </c>
      <c r="E71" s="920" t="s">
        <v>778</v>
      </c>
      <c r="F71" s="330">
        <f ca="1">F43</f>
        <v>242.17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81198</v>
      </c>
      <c r="D75" s="1292"/>
      <c r="E75" s="1292"/>
      <c r="F75" s="1292"/>
      <c r="K75" s="1309"/>
      <c r="L75" s="1292"/>
      <c r="O75" s="1325" t="s">
        <v>409</v>
      </c>
      <c r="P75" s="1326" t="s">
        <v>838</v>
      </c>
      <c r="Q75" s="1327">
        <f ca="1">Q65+Q66</f>
        <v>4762612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0.71300000000000008</v>
      </c>
    </row>
    <row r="80" spans="1:18">
      <c r="B80" s="331" t="s">
        <v>800</v>
      </c>
      <c r="C80" s="266">
        <f ca="1">ROUND(C75/C39,3)</f>
        <v>0.28699999999999998</v>
      </c>
    </row>
    <row r="81" spans="2:3">
      <c r="B81" s="262" t="s">
        <v>801</v>
      </c>
      <c r="C81" s="230"/>
    </row>
    <row r="82" spans="2:3">
      <c r="B82" s="265" t="s">
        <v>802</v>
      </c>
      <c r="C82" s="267">
        <f ca="1">1-C83</f>
        <v>0.75600000000000001</v>
      </c>
    </row>
    <row r="83" spans="2:3">
      <c r="B83" s="265" t="s">
        <v>803</v>
      </c>
      <c r="C83" s="266">
        <f ca="1">ROUND(C13/C40,3)</f>
        <v>0.24399999999999999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46" t="s">
        <v>2317</v>
      </c>
      <c r="K2" s="3447"/>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48" t="s">
        <v>2327</v>
      </c>
      <c r="K3" s="3449"/>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48" t="s">
        <v>2329</v>
      </c>
      <c r="K4" s="3449"/>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50" t="s">
        <v>2333</v>
      </c>
      <c r="B6" s="3451"/>
      <c r="C6" s="3452"/>
      <c r="D6" s="2619"/>
      <c r="E6" s="2620"/>
      <c r="F6" s="2621"/>
      <c r="G6" s="2622"/>
      <c r="H6" s="2597"/>
      <c r="I6" s="2598"/>
      <c r="J6" s="3453">
        <v>1</v>
      </c>
      <c r="K6" s="345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53"/>
      <c r="K7" s="3455"/>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57" t="s">
        <v>2347</v>
      </c>
      <c r="C8" s="3458"/>
      <c r="D8" s="2638" t="s">
        <v>2348</v>
      </c>
      <c r="E8" s="2639" t="s">
        <v>2349</v>
      </c>
      <c r="F8" s="2640" t="s">
        <v>2350</v>
      </c>
      <c r="G8" s="2641"/>
      <c r="H8" s="2597"/>
      <c r="I8" s="2598"/>
      <c r="J8" s="3453"/>
      <c r="K8" s="3455"/>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57" t="s">
        <v>2353</v>
      </c>
      <c r="C9" s="3458"/>
      <c r="D9" s="2638">
        <f>ROUND(D6*E9,0)</f>
        <v>0</v>
      </c>
      <c r="E9" s="2642"/>
      <c r="F9" s="2643" t="s">
        <v>2354</v>
      </c>
      <c r="G9" s="2622"/>
      <c r="H9" s="2597"/>
      <c r="I9" s="2598"/>
      <c r="J9" s="3453"/>
      <c r="K9" s="3455"/>
      <c r="L9" s="2632" t="s">
        <v>2355</v>
      </c>
      <c r="M9" s="2633"/>
      <c r="N9" s="2609"/>
      <c r="O9" s="2634"/>
      <c r="P9" s="2634"/>
      <c r="Q9" s="2635">
        <v>365</v>
      </c>
      <c r="R9" s="2636">
        <f t="shared" si="0"/>
        <v>0</v>
      </c>
      <c r="S9" s="2590"/>
      <c r="T9" s="2590"/>
      <c r="U9" s="2590"/>
      <c r="V9" s="2598"/>
    </row>
    <row r="10" spans="1:22" s="2602" customFormat="1" ht="13.2" customHeight="1">
      <c r="A10" s="2637">
        <v>2</v>
      </c>
      <c r="B10" s="3457" t="s">
        <v>2356</v>
      </c>
      <c r="C10" s="3458"/>
      <c r="D10" s="2638">
        <f>ROUND(D6*E10,0)</f>
        <v>0</v>
      </c>
      <c r="E10" s="2642"/>
      <c r="F10" s="2643" t="s">
        <v>2357</v>
      </c>
      <c r="G10" s="2622"/>
      <c r="H10" s="2597"/>
      <c r="I10" s="2598"/>
      <c r="J10" s="3453"/>
      <c r="K10" s="3455"/>
      <c r="L10" s="2632" t="s">
        <v>2358</v>
      </c>
      <c r="M10" s="2633"/>
      <c r="N10" s="2609"/>
      <c r="O10" s="2634"/>
      <c r="P10" s="2634"/>
      <c r="Q10" s="2635">
        <v>365</v>
      </c>
      <c r="R10" s="2636">
        <f t="shared" si="0"/>
        <v>0</v>
      </c>
      <c r="S10" s="2590"/>
      <c r="T10" s="2590"/>
      <c r="U10" s="2590"/>
      <c r="V10" s="2598"/>
    </row>
    <row r="11" spans="1:22" s="2602" customFormat="1" ht="13.2" customHeight="1">
      <c r="A11" s="2637">
        <v>3</v>
      </c>
      <c r="B11" s="3457" t="s">
        <v>2359</v>
      </c>
      <c r="C11" s="3458"/>
      <c r="D11" s="2638">
        <f>D12+D14+D15+D16</f>
        <v>0</v>
      </c>
      <c r="E11" s="2644" t="e">
        <f>D11/D6</f>
        <v>#DIV/0!</v>
      </c>
      <c r="F11" s="2640"/>
      <c r="G11" s="2641"/>
      <c r="H11" s="2597"/>
      <c r="I11" s="2598"/>
      <c r="J11" s="3453"/>
      <c r="K11" s="3455"/>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59" t="s">
        <v>2362</v>
      </c>
      <c r="C12" s="3460"/>
      <c r="D12" s="2646">
        <f>ROUND(D13*1.2%*(1-30%),0)</f>
        <v>0</v>
      </c>
      <c r="E12" s="2647">
        <v>1.2E-2</v>
      </c>
      <c r="F12" s="2640" t="s">
        <v>2363</v>
      </c>
      <c r="G12" s="2641"/>
      <c r="H12" s="2597"/>
      <c r="I12" s="2598"/>
      <c r="J12" s="3453"/>
      <c r="K12" s="3455"/>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53"/>
      <c r="K13" s="3455"/>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59" t="s">
        <v>2368</v>
      </c>
      <c r="C14" s="3460"/>
      <c r="D14" s="2646">
        <f>ROUND(E14*B5/10000,0)</f>
        <v>0</v>
      </c>
      <c r="E14" s="2635"/>
      <c r="F14" s="2640" t="s">
        <v>2369</v>
      </c>
      <c r="G14" s="2641"/>
      <c r="H14" s="2597"/>
      <c r="I14" s="2598"/>
      <c r="J14" s="3453"/>
      <c r="K14" s="345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59" t="s">
        <v>2372</v>
      </c>
      <c r="C15" s="3460"/>
      <c r="D15" s="2646">
        <f>ROUND(D6*E15,0)</f>
        <v>0</v>
      </c>
      <c r="E15" s="2647">
        <v>5.5E-2</v>
      </c>
      <c r="F15" s="2640" t="s">
        <v>2373</v>
      </c>
      <c r="G15" s="2622"/>
      <c r="H15" s="2597"/>
      <c r="I15" s="2598"/>
      <c r="J15" s="3453">
        <v>2</v>
      </c>
      <c r="K15" s="345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59" t="s">
        <v>2381</v>
      </c>
      <c r="C16" s="3460"/>
      <c r="D16" s="2657">
        <f>D6*E16</f>
        <v>0</v>
      </c>
      <c r="E16" s="2658"/>
      <c r="F16" s="2643" t="s">
        <v>2382</v>
      </c>
      <c r="G16" s="2622"/>
      <c r="H16" s="2597"/>
      <c r="I16" s="2598"/>
      <c r="J16" s="3453"/>
      <c r="K16" s="3455"/>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61" t="s">
        <v>2384</v>
      </c>
      <c r="C17" s="3462"/>
      <c r="D17" s="2660">
        <f>ROUND(D6*E17,0)</f>
        <v>0</v>
      </c>
      <c r="E17" s="2661"/>
      <c r="F17" s="2662" t="s">
        <v>2385</v>
      </c>
      <c r="G17" s="2622"/>
      <c r="H17" s="2597"/>
      <c r="I17" s="2598"/>
      <c r="J17" s="3453"/>
      <c r="K17" s="3455"/>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53"/>
      <c r="K18" s="3455"/>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53"/>
      <c r="K19" s="345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53">
        <v>3</v>
      </c>
      <c r="K20" s="345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53"/>
      <c r="K21" s="3455"/>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53"/>
      <c r="K22" s="3455"/>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53"/>
      <c r="K23" s="3455"/>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53"/>
      <c r="K24" s="345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6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6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46" t="s">
        <v>2317</v>
      </c>
      <c r="K32" s="3447"/>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48" t="s">
        <v>2327</v>
      </c>
      <c r="K33" s="3449"/>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48" t="s">
        <v>2329</v>
      </c>
      <c r="K34" s="344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53">
        <v>1</v>
      </c>
      <c r="K36" s="3454"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53"/>
      <c r="K37" s="3455"/>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53"/>
      <c r="K38" s="3455"/>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53"/>
      <c r="K39" s="3455"/>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53"/>
      <c r="K40" s="3456"/>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6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6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484.62810000000002</v>
      </c>
      <c r="C2" s="1729" t="s">
        <v>1651</v>
      </c>
      <c r="D2" s="1730" t="s">
        <v>1652</v>
      </c>
      <c r="E2" s="2391">
        <f>SUM(E6:E13)</f>
        <v>242.17</v>
      </c>
      <c r="F2" s="2477"/>
      <c r="G2" s="459"/>
      <c r="H2" s="459"/>
      <c r="I2" s="459"/>
      <c r="J2" s="459"/>
      <c r="K2" s="459"/>
      <c r="L2" s="459"/>
      <c r="M2" s="459"/>
      <c r="N2" s="459"/>
      <c r="O2" s="459"/>
      <c r="P2" s="459"/>
      <c r="Q2" s="459"/>
      <c r="R2" s="459"/>
      <c r="S2" s="459"/>
    </row>
    <row r="3" spans="1:22" ht="15.6">
      <c r="A3" s="1728" t="s">
        <v>686</v>
      </c>
      <c r="B3" s="2385">
        <f ca="1">ROUND(B2*10000/E2,0)</f>
        <v>20012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65" t="s">
        <v>1654</v>
      </c>
      <c r="C5" s="3466"/>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484.62810000000002</v>
      </c>
      <c r="C6" s="1729" t="s">
        <v>1651</v>
      </c>
      <c r="D6" s="2477"/>
      <c r="E6" s="2390">
        <f>IF(OR(A6=0,F6="否"),0,'数据-取费表'!K6+'数据-取费表'!S6)</f>
        <v>242.17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242.17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0" t="s">
        <v>1667</v>
      </c>
      <c r="D4" s="3421"/>
      <c r="E4" s="3422" t="s">
        <v>1668</v>
      </c>
      <c r="F4" s="3423"/>
      <c r="G4" s="3420" t="s">
        <v>1669</v>
      </c>
      <c r="H4" s="3421"/>
      <c r="I4" s="3420" t="s">
        <v>1670</v>
      </c>
      <c r="J4" s="3421"/>
      <c r="K4" s="1744" t="s">
        <v>1671</v>
      </c>
      <c r="L4" s="2484"/>
      <c r="M4" s="2485"/>
      <c r="N4" s="2485"/>
      <c r="O4" s="2485"/>
      <c r="P4" s="3424" t="s">
        <v>1672</v>
      </c>
      <c r="Q4" s="3425"/>
      <c r="R4" s="3409" t="s">
        <v>1668</v>
      </c>
      <c r="S4" s="3410"/>
      <c r="T4" s="3409" t="s">
        <v>1669</v>
      </c>
      <c r="U4" s="3410"/>
      <c r="V4" s="3406" t="s">
        <v>1670</v>
      </c>
      <c r="W4" s="3406"/>
      <c r="X4" s="1265"/>
      <c r="Y4" s="3409" t="s">
        <v>1672</v>
      </c>
      <c r="Z4" s="3410"/>
      <c r="AA4" s="3403" t="s">
        <v>1668</v>
      </c>
      <c r="AB4" s="3403" t="s">
        <v>1669</v>
      </c>
      <c r="AC4" s="3403" t="s">
        <v>1670</v>
      </c>
    </row>
    <row r="5" spans="1:29">
      <c r="A5" s="348"/>
      <c r="B5" s="349"/>
      <c r="C5" s="3469" t="s">
        <v>1673</v>
      </c>
      <c r="D5" s="3414"/>
      <c r="E5" s="3467" t="s">
        <v>1674</v>
      </c>
      <c r="F5" s="3468"/>
      <c r="G5" s="3469" t="s">
        <v>1675</v>
      </c>
      <c r="H5" s="3414"/>
      <c r="I5" s="3469" t="s">
        <v>1676</v>
      </c>
      <c r="J5" s="3414"/>
      <c r="K5" s="1745"/>
      <c r="L5" s="2484"/>
      <c r="M5" s="2485"/>
      <c r="N5" s="2485"/>
      <c r="O5" s="2485"/>
      <c r="P5" s="3426"/>
      <c r="Q5" s="3427"/>
      <c r="R5" s="3411"/>
      <c r="S5" s="3412"/>
      <c r="T5" s="3411"/>
      <c r="U5" s="3412"/>
      <c r="V5" s="3406"/>
      <c r="W5" s="3406"/>
      <c r="X5" s="1265"/>
      <c r="Y5" s="3411"/>
      <c r="Z5" s="3412"/>
      <c r="AA5" s="3404"/>
      <c r="AB5" s="3404"/>
      <c r="AC5" s="3404"/>
    </row>
    <row r="6" spans="1:29" ht="15" thickBot="1">
      <c r="A6" s="350"/>
      <c r="B6" s="351"/>
      <c r="C6" s="3415" t="s">
        <v>1677</v>
      </c>
      <c r="D6" s="3416"/>
      <c r="E6" s="3417" t="s">
        <v>1677</v>
      </c>
      <c r="F6" s="3418"/>
      <c r="G6" s="3415" t="s">
        <v>1677</v>
      </c>
      <c r="H6" s="3416"/>
      <c r="I6" s="3415" t="s">
        <v>1677</v>
      </c>
      <c r="J6" s="3416"/>
      <c r="K6" s="1745" t="s">
        <v>1678</v>
      </c>
      <c r="L6" s="2484"/>
      <c r="M6" s="2485"/>
      <c r="N6" s="2485"/>
      <c r="O6" s="2485"/>
      <c r="P6" s="3428"/>
      <c r="Q6" s="3429"/>
      <c r="R6" s="3411"/>
      <c r="S6" s="3412"/>
      <c r="T6" s="3430"/>
      <c r="U6" s="3431"/>
      <c r="V6" s="3406"/>
      <c r="W6" s="3406"/>
      <c r="X6" s="1265"/>
      <c r="Y6" s="3430"/>
      <c r="Z6" s="3431"/>
      <c r="AA6" s="3405"/>
      <c r="AB6" s="3405"/>
      <c r="AC6" s="3405"/>
    </row>
    <row r="7" spans="1:29" s="102" customFormat="1" ht="15" thickBot="1">
      <c r="A7" s="352" t="s">
        <v>1679</v>
      </c>
      <c r="B7" s="353"/>
      <c r="C7" s="354">
        <f>'数据-取费表'!B2</f>
        <v>45811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7" t="s">
        <v>1680</v>
      </c>
      <c r="Q7" s="3432"/>
      <c r="R7" s="664" t="s">
        <v>20</v>
      </c>
      <c r="S7" s="665">
        <f t="shared" ref="S7:S15" si="0">F7</f>
        <v>0</v>
      </c>
      <c r="T7" s="664" t="s">
        <v>20</v>
      </c>
      <c r="U7" s="665">
        <f t="shared" ref="U7:U15" si="1">H7</f>
        <v>0</v>
      </c>
      <c r="V7" s="664" t="s">
        <v>20</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9"/>
      <c r="Q11" s="530" t="str">
        <f t="shared" si="6"/>
        <v>容积率</v>
      </c>
      <c r="R11" s="664" t="s">
        <v>18</v>
      </c>
      <c r="S11" s="665" t="e">
        <f t="shared" si="0"/>
        <v>#N/A</v>
      </c>
      <c r="T11" s="664" t="s">
        <v>18</v>
      </c>
      <c r="U11" s="665" t="e">
        <f t="shared" si="1"/>
        <v>#N/A</v>
      </c>
      <c r="V11" s="664" t="s">
        <v>18</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9"/>
      <c r="Q12" s="530">
        <f t="shared" si="6"/>
        <v>111</v>
      </c>
      <c r="R12" s="664" t="s">
        <v>18</v>
      </c>
      <c r="S12" s="665">
        <f t="shared" si="0"/>
        <v>100</v>
      </c>
      <c r="T12" s="664" t="s">
        <v>18</v>
      </c>
      <c r="U12" s="665">
        <f t="shared" si="1"/>
        <v>100</v>
      </c>
      <c r="V12" s="664" t="s">
        <v>18</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9"/>
      <c r="Q13" s="530">
        <f t="shared" si="6"/>
        <v>111</v>
      </c>
      <c r="R13" s="664" t="s">
        <v>18</v>
      </c>
      <c r="S13" s="665">
        <f t="shared" si="0"/>
        <v>100</v>
      </c>
      <c r="T13" s="664" t="s">
        <v>18</v>
      </c>
      <c r="U13" s="665">
        <f t="shared" si="1"/>
        <v>100</v>
      </c>
      <c r="V13" s="664" t="s">
        <v>18</v>
      </c>
      <c r="W13" s="665">
        <f t="shared" si="2"/>
        <v>100</v>
      </c>
      <c r="X13" s="666"/>
      <c r="Y13" s="337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9"/>
      <c r="Q14" s="530">
        <f t="shared" si="6"/>
        <v>111</v>
      </c>
      <c r="R14" s="664" t="s">
        <v>18</v>
      </c>
      <c r="S14" s="665">
        <f t="shared" si="0"/>
        <v>100</v>
      </c>
      <c r="T14" s="664" t="s">
        <v>18</v>
      </c>
      <c r="U14" s="665">
        <f t="shared" si="1"/>
        <v>100</v>
      </c>
      <c r="V14" s="664" t="s">
        <v>18</v>
      </c>
      <c r="W14" s="665">
        <f t="shared" si="2"/>
        <v>100</v>
      </c>
      <c r="X14" s="666"/>
      <c r="Y14" s="337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3" t="s">
        <v>1691</v>
      </c>
      <c r="Q15" s="1263" t="str">
        <f t="shared" si="6"/>
        <v>居住社区成熟度</v>
      </c>
      <c r="R15" s="667" t="s">
        <v>18</v>
      </c>
      <c r="S15" s="668">
        <f t="shared" si="0"/>
        <v>100</v>
      </c>
      <c r="T15" s="667" t="s">
        <v>18</v>
      </c>
      <c r="U15" s="668">
        <f t="shared" si="1"/>
        <v>100</v>
      </c>
      <c r="V15" s="667" t="s">
        <v>18</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4"/>
      <c r="Q16" s="1263"/>
      <c r="R16" s="667"/>
      <c r="S16" s="668"/>
      <c r="T16" s="667"/>
      <c r="U16" s="668"/>
      <c r="V16" s="667"/>
      <c r="W16" s="668"/>
      <c r="X16" s="1265"/>
      <c r="Y16" s="343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4"/>
      <c r="Q17" s="1263" t="str">
        <f>B17</f>
        <v>交通便捷度</v>
      </c>
      <c r="R17" s="667" t="s">
        <v>18</v>
      </c>
      <c r="S17" s="668">
        <f>F17</f>
        <v>100</v>
      </c>
      <c r="T17" s="667" t="s">
        <v>18</v>
      </c>
      <c r="U17" s="668">
        <f>H17</f>
        <v>100</v>
      </c>
      <c r="V17" s="667" t="s">
        <v>18</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4"/>
      <c r="Q18" s="1263"/>
      <c r="R18" s="667"/>
      <c r="S18" s="668"/>
      <c r="T18" s="667"/>
      <c r="U18" s="668"/>
      <c r="V18" s="667"/>
      <c r="W18" s="668"/>
      <c r="X18" s="1265"/>
      <c r="Y18" s="343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4"/>
      <c r="Q19" s="1263" t="str">
        <f>B19</f>
        <v>公共配套设施</v>
      </c>
      <c r="R19" s="667" t="s">
        <v>18</v>
      </c>
      <c r="S19" s="668">
        <f>F19</f>
        <v>100</v>
      </c>
      <c r="T19" s="667" t="s">
        <v>18</v>
      </c>
      <c r="U19" s="668">
        <f>H19</f>
        <v>100</v>
      </c>
      <c r="V19" s="667" t="s">
        <v>18</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4"/>
      <c r="Q20" s="1263"/>
      <c r="R20" s="667"/>
      <c r="S20" s="668"/>
      <c r="T20" s="667"/>
      <c r="U20" s="668"/>
      <c r="V20" s="667"/>
      <c r="W20" s="668"/>
      <c r="X20" s="1265"/>
      <c r="Y20" s="343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4"/>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4"/>
      <c r="Q22" s="1263"/>
      <c r="R22" s="667"/>
      <c r="S22" s="668"/>
      <c r="T22" s="667"/>
      <c r="U22" s="668"/>
      <c r="V22" s="667"/>
      <c r="W22" s="668"/>
      <c r="X22" s="1265"/>
      <c r="Y22" s="343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4"/>
      <c r="Q23" s="1263" t="str">
        <f>B23</f>
        <v>自然及人文环境</v>
      </c>
      <c r="R23" s="667" t="s">
        <v>18</v>
      </c>
      <c r="S23" s="668">
        <f>F23</f>
        <v>100</v>
      </c>
      <c r="T23" s="667" t="s">
        <v>18</v>
      </c>
      <c r="U23" s="668">
        <f>H23</f>
        <v>100</v>
      </c>
      <c r="V23" s="667" t="s">
        <v>18</v>
      </c>
      <c r="W23" s="668">
        <f>J23</f>
        <v>100</v>
      </c>
      <c r="X23" s="1265"/>
      <c r="Y23" s="343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4"/>
      <c r="Q24" s="1263"/>
      <c r="R24" s="667"/>
      <c r="S24" s="668"/>
      <c r="T24" s="667"/>
      <c r="U24" s="668"/>
      <c r="V24" s="667"/>
      <c r="W24" s="668"/>
      <c r="X24" s="1265"/>
      <c r="Y24" s="343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4"/>
      <c r="Q26" s="1263" t="str">
        <f t="shared" si="11"/>
        <v>朝向</v>
      </c>
      <c r="R26" s="667" t="s">
        <v>18</v>
      </c>
      <c r="S26" s="668">
        <f t="shared" si="12"/>
        <v>100</v>
      </c>
      <c r="T26" s="667" t="s">
        <v>18</v>
      </c>
      <c r="U26" s="668">
        <f t="shared" si="13"/>
        <v>100</v>
      </c>
      <c r="V26" s="667" t="s">
        <v>18</v>
      </c>
      <c r="W26" s="668">
        <f t="shared" si="14"/>
        <v>100</v>
      </c>
      <c r="X26" s="1265"/>
      <c r="Y26" s="343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4"/>
      <c r="Q27" s="530">
        <f t="shared" si="11"/>
        <v>111</v>
      </c>
      <c r="R27" s="664" t="s">
        <v>18</v>
      </c>
      <c r="S27" s="665">
        <f t="shared" si="12"/>
        <v>100</v>
      </c>
      <c r="T27" s="664" t="s">
        <v>18</v>
      </c>
      <c r="U27" s="665">
        <f t="shared" si="13"/>
        <v>100</v>
      </c>
      <c r="V27" s="664" t="s">
        <v>18</v>
      </c>
      <c r="W27" s="665">
        <f t="shared" si="14"/>
        <v>100</v>
      </c>
      <c r="X27" s="666"/>
      <c r="Y27" s="343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4"/>
      <c r="Q28" s="1263">
        <f t="shared" si="11"/>
        <v>111</v>
      </c>
      <c r="R28" s="667" t="s">
        <v>18</v>
      </c>
      <c r="S28" s="668">
        <f t="shared" si="12"/>
        <v>100</v>
      </c>
      <c r="T28" s="667" t="s">
        <v>18</v>
      </c>
      <c r="U28" s="668">
        <f t="shared" si="13"/>
        <v>100</v>
      </c>
      <c r="V28" s="667" t="s">
        <v>18</v>
      </c>
      <c r="W28" s="668">
        <f t="shared" si="14"/>
        <v>100</v>
      </c>
      <c r="X28" s="1265"/>
      <c r="Y28" s="343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4"/>
      <c r="Q29" s="1263">
        <f t="shared" si="11"/>
        <v>111</v>
      </c>
      <c r="R29" s="667" t="s">
        <v>18</v>
      </c>
      <c r="S29" s="668">
        <f t="shared" si="12"/>
        <v>100</v>
      </c>
      <c r="T29" s="667" t="s">
        <v>18</v>
      </c>
      <c r="U29" s="668">
        <f t="shared" si="13"/>
        <v>100</v>
      </c>
      <c r="V29" s="667" t="s">
        <v>18</v>
      </c>
      <c r="W29" s="668">
        <f t="shared" si="14"/>
        <v>100</v>
      </c>
      <c r="X29" s="1265"/>
      <c r="Y29" s="343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4"/>
      <c r="Q30" s="1263">
        <f t="shared" si="11"/>
        <v>111</v>
      </c>
      <c r="R30" s="667" t="s">
        <v>18</v>
      </c>
      <c r="S30" s="668">
        <f t="shared" si="12"/>
        <v>100</v>
      </c>
      <c r="T30" s="667" t="s">
        <v>18</v>
      </c>
      <c r="U30" s="668">
        <f t="shared" si="13"/>
        <v>100</v>
      </c>
      <c r="V30" s="667" t="s">
        <v>18</v>
      </c>
      <c r="W30" s="668">
        <f t="shared" si="14"/>
        <v>100</v>
      </c>
      <c r="X30" s="1265"/>
      <c r="Y30" s="343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4"/>
      <c r="Q31" s="1263">
        <f t="shared" si="11"/>
        <v>111</v>
      </c>
      <c r="R31" s="667" t="s">
        <v>18</v>
      </c>
      <c r="S31" s="668">
        <f t="shared" si="12"/>
        <v>100</v>
      </c>
      <c r="T31" s="667" t="s">
        <v>18</v>
      </c>
      <c r="U31" s="668">
        <f t="shared" si="13"/>
        <v>100</v>
      </c>
      <c r="V31" s="667" t="s">
        <v>18</v>
      </c>
      <c r="W31" s="668">
        <f t="shared" si="14"/>
        <v>100</v>
      </c>
      <c r="X31" s="1265"/>
      <c r="Y31" s="343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7" t="s">
        <v>1696</v>
      </c>
      <c r="Q32" s="1263" t="str">
        <f t="shared" si="11"/>
        <v>建筑类型</v>
      </c>
      <c r="R32" s="667" t="s">
        <v>18</v>
      </c>
      <c r="S32" s="668">
        <f t="shared" si="12"/>
        <v>100</v>
      </c>
      <c r="T32" s="667" t="s">
        <v>18</v>
      </c>
      <c r="U32" s="668">
        <f t="shared" si="13"/>
        <v>100</v>
      </c>
      <c r="V32" s="667" t="s">
        <v>18</v>
      </c>
      <c r="W32" s="668">
        <f t="shared" si="14"/>
        <v>100</v>
      </c>
      <c r="X32" s="1265"/>
      <c r="Y32" s="344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8"/>
      <c r="Q33" s="531" t="str">
        <f t="shared" si="11"/>
        <v>项目建筑规模</v>
      </c>
      <c r="R33" s="669" t="s">
        <v>18</v>
      </c>
      <c r="S33" s="670" t="e">
        <f t="shared" si="12"/>
        <v>#N/A</v>
      </c>
      <c r="T33" s="669" t="s">
        <v>18</v>
      </c>
      <c r="U33" s="670" t="e">
        <f t="shared" si="13"/>
        <v>#N/A</v>
      </c>
      <c r="V33" s="669" t="s">
        <v>18</v>
      </c>
      <c r="W33" s="670" t="e">
        <f t="shared" si="14"/>
        <v>#N/A</v>
      </c>
      <c r="X33" s="671"/>
      <c r="Y33" s="344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8"/>
      <c r="Q34" s="1263" t="str">
        <f t="shared" si="11"/>
        <v>建筑结构</v>
      </c>
      <c r="R34" s="667" t="s">
        <v>18</v>
      </c>
      <c r="S34" s="668">
        <f t="shared" si="12"/>
        <v>100</v>
      </c>
      <c r="T34" s="667" t="s">
        <v>18</v>
      </c>
      <c r="U34" s="668">
        <f t="shared" si="13"/>
        <v>100</v>
      </c>
      <c r="V34" s="667" t="s">
        <v>18</v>
      </c>
      <c r="W34" s="668">
        <f t="shared" si="14"/>
        <v>100</v>
      </c>
      <c r="X34" s="1265"/>
      <c r="Y34" s="344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8"/>
      <c r="Q35" s="1263" t="str">
        <f t="shared" si="11"/>
        <v>建筑品质</v>
      </c>
      <c r="R35" s="667" t="s">
        <v>18</v>
      </c>
      <c r="S35" s="668">
        <f t="shared" si="12"/>
        <v>100</v>
      </c>
      <c r="T35" s="667" t="s">
        <v>18</v>
      </c>
      <c r="U35" s="668">
        <f t="shared" si="13"/>
        <v>100</v>
      </c>
      <c r="V35" s="667" t="s">
        <v>18</v>
      </c>
      <c r="W35" s="668">
        <f t="shared" si="14"/>
        <v>100</v>
      </c>
      <c r="X35" s="1265"/>
      <c r="Y35" s="344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8"/>
      <c r="Q36" s="1263" t="str">
        <f t="shared" si="11"/>
        <v>公共部分装修</v>
      </c>
      <c r="R36" s="667" t="s">
        <v>18</v>
      </c>
      <c r="S36" s="668">
        <f t="shared" si="12"/>
        <v>100</v>
      </c>
      <c r="T36" s="667" t="s">
        <v>18</v>
      </c>
      <c r="U36" s="668">
        <f t="shared" si="13"/>
        <v>100</v>
      </c>
      <c r="V36" s="667" t="s">
        <v>18</v>
      </c>
      <c r="W36" s="668">
        <f t="shared" si="14"/>
        <v>100</v>
      </c>
      <c r="X36" s="1265"/>
      <c r="Y36" s="344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8"/>
      <c r="Q37" s="530" t="str">
        <f t="shared" si="11"/>
        <v>成新度</v>
      </c>
      <c r="R37" s="664" t="s">
        <v>18</v>
      </c>
      <c r="S37" s="665" t="e">
        <f t="shared" si="12"/>
        <v>#N/A</v>
      </c>
      <c r="T37" s="664" t="s">
        <v>18</v>
      </c>
      <c r="U37" s="665" t="e">
        <f t="shared" si="13"/>
        <v>#N/A</v>
      </c>
      <c r="V37" s="664" t="s">
        <v>18</v>
      </c>
      <c r="W37" s="665" t="e">
        <f t="shared" si="14"/>
        <v>#N/A</v>
      </c>
      <c r="X37" s="666"/>
      <c r="Y37" s="344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8" t="s">
        <v>1696</v>
      </c>
      <c r="Q38" s="1263" t="str">
        <f t="shared" si="11"/>
        <v>物业管理</v>
      </c>
      <c r="R38" s="667" t="s">
        <v>18</v>
      </c>
      <c r="S38" s="668">
        <f t="shared" si="12"/>
        <v>100</v>
      </c>
      <c r="T38" s="667" t="s">
        <v>18</v>
      </c>
      <c r="U38" s="668">
        <f t="shared" si="13"/>
        <v>100</v>
      </c>
      <c r="V38" s="667" t="s">
        <v>18</v>
      </c>
      <c r="W38" s="668">
        <f t="shared" si="14"/>
        <v>100</v>
      </c>
      <c r="X38" s="1265"/>
      <c r="Y38" s="344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8"/>
      <c r="Q39" s="1263" t="str">
        <f t="shared" si="11"/>
        <v>市政基础设施</v>
      </c>
      <c r="R39" s="667" t="s">
        <v>18</v>
      </c>
      <c r="S39" s="668">
        <f t="shared" si="12"/>
        <v>100</v>
      </c>
      <c r="T39" s="667" t="s">
        <v>18</v>
      </c>
      <c r="U39" s="668">
        <f t="shared" si="13"/>
        <v>100</v>
      </c>
      <c r="V39" s="667" t="s">
        <v>18</v>
      </c>
      <c r="W39" s="668">
        <f t="shared" si="14"/>
        <v>100</v>
      </c>
      <c r="X39" s="1265"/>
      <c r="Y39" s="344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8"/>
      <c r="Q40" s="1263" t="str">
        <f t="shared" si="11"/>
        <v>房型</v>
      </c>
      <c r="R40" s="667" t="s">
        <v>18</v>
      </c>
      <c r="S40" s="668">
        <f t="shared" si="12"/>
        <v>100</v>
      </c>
      <c r="T40" s="667" t="s">
        <v>18</v>
      </c>
      <c r="U40" s="668">
        <f t="shared" si="13"/>
        <v>100</v>
      </c>
      <c r="V40" s="667" t="s">
        <v>18</v>
      </c>
      <c r="W40" s="668">
        <f t="shared" si="14"/>
        <v>100</v>
      </c>
      <c r="X40" s="1265"/>
      <c r="Y40" s="344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8"/>
      <c r="Q41" s="531" t="str">
        <f t="shared" si="11"/>
        <v>单套/主力户型建筑面积</v>
      </c>
      <c r="R41" s="669" t="s">
        <v>18</v>
      </c>
      <c r="S41" s="670">
        <f t="shared" si="12"/>
        <v>100</v>
      </c>
      <c r="T41" s="669" t="s">
        <v>18</v>
      </c>
      <c r="U41" s="670">
        <f t="shared" si="13"/>
        <v>100</v>
      </c>
      <c r="V41" s="669" t="s">
        <v>18</v>
      </c>
      <c r="W41" s="670">
        <f t="shared" si="14"/>
        <v>100</v>
      </c>
      <c r="X41" s="671"/>
      <c r="Y41" s="344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8"/>
      <c r="Q42" s="1263" t="str">
        <f t="shared" si="11"/>
        <v>内部装修</v>
      </c>
      <c r="R42" s="667" t="s">
        <v>18</v>
      </c>
      <c r="S42" s="668">
        <f t="shared" si="12"/>
        <v>100</v>
      </c>
      <c r="T42" s="667" t="s">
        <v>18</v>
      </c>
      <c r="U42" s="668">
        <f t="shared" si="13"/>
        <v>100</v>
      </c>
      <c r="V42" s="667" t="s">
        <v>18</v>
      </c>
      <c r="W42" s="668">
        <f t="shared" si="14"/>
        <v>100</v>
      </c>
      <c r="X42" s="1265"/>
      <c r="Y42" s="344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8"/>
      <c r="Q43" s="1263" t="str">
        <f t="shared" si="11"/>
        <v>内部装修维护情况</v>
      </c>
      <c r="R43" s="667" t="s">
        <v>18</v>
      </c>
      <c r="S43" s="668">
        <f t="shared" si="12"/>
        <v>100</v>
      </c>
      <c r="T43" s="667" t="s">
        <v>18</v>
      </c>
      <c r="U43" s="668">
        <f t="shared" si="13"/>
        <v>100</v>
      </c>
      <c r="V43" s="667" t="s">
        <v>18</v>
      </c>
      <c r="W43" s="668">
        <f t="shared" si="14"/>
        <v>100</v>
      </c>
      <c r="X43" s="1265"/>
      <c r="Y43" s="344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8"/>
      <c r="Q44" s="530">
        <f t="shared" si="11"/>
        <v>111</v>
      </c>
      <c r="R44" s="664" t="s">
        <v>18</v>
      </c>
      <c r="S44" s="665">
        <f t="shared" si="12"/>
        <v>100</v>
      </c>
      <c r="T44" s="664" t="s">
        <v>18</v>
      </c>
      <c r="U44" s="665">
        <f t="shared" si="13"/>
        <v>100</v>
      </c>
      <c r="V44" s="664" t="s">
        <v>18</v>
      </c>
      <c r="W44" s="665">
        <f t="shared" si="14"/>
        <v>100</v>
      </c>
      <c r="X44" s="666"/>
      <c r="Y44" s="344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8"/>
      <c r="Q45" s="1263">
        <f t="shared" si="11"/>
        <v>111</v>
      </c>
      <c r="R45" s="667" t="s">
        <v>18</v>
      </c>
      <c r="S45" s="668">
        <f t="shared" si="12"/>
        <v>100</v>
      </c>
      <c r="T45" s="667" t="s">
        <v>18</v>
      </c>
      <c r="U45" s="668">
        <f t="shared" si="13"/>
        <v>100</v>
      </c>
      <c r="V45" s="667" t="s">
        <v>18</v>
      </c>
      <c r="W45" s="668">
        <f t="shared" si="14"/>
        <v>100</v>
      </c>
      <c r="X45" s="1265"/>
      <c r="Y45" s="344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9"/>
      <c r="Q46" s="1263">
        <f t="shared" si="11"/>
        <v>111</v>
      </c>
      <c r="R46" s="667" t="s">
        <v>17</v>
      </c>
      <c r="S46" s="668">
        <f t="shared" si="12"/>
        <v>100</v>
      </c>
      <c r="T46" s="667" t="s">
        <v>17</v>
      </c>
      <c r="U46" s="668">
        <f t="shared" si="13"/>
        <v>100</v>
      </c>
      <c r="V46" s="667" t="s">
        <v>17</v>
      </c>
      <c r="W46" s="668">
        <f t="shared" si="14"/>
        <v>100</v>
      </c>
      <c r="X46" s="1265"/>
      <c r="Y46" s="344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42" t="str">
        <f>A47</f>
        <v>成交单价（元/平方米）</v>
      </c>
      <c r="Q47" s="3442"/>
      <c r="R47" s="3406">
        <f>E47</f>
        <v>0</v>
      </c>
      <c r="S47" s="3406"/>
      <c r="T47" s="3406">
        <f>G47</f>
        <v>0</v>
      </c>
      <c r="U47" s="3406"/>
      <c r="V47" s="3406">
        <f>I47</f>
        <v>0</v>
      </c>
      <c r="W47" s="340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42" t="str">
        <f>A48</f>
        <v>比较价值（元/平方米）</v>
      </c>
      <c r="Q48" s="3442"/>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242.17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76" t="s">
        <v>1775</v>
      </c>
      <c r="Q4" s="3477"/>
      <c r="R4" s="3471" t="s">
        <v>1771</v>
      </c>
      <c r="S4" s="3472"/>
      <c r="T4" s="3471" t="s">
        <v>1772</v>
      </c>
      <c r="U4" s="3472"/>
      <c r="V4" s="3480" t="s">
        <v>1773</v>
      </c>
      <c r="W4" s="3480"/>
      <c r="X4" s="1809"/>
      <c r="Y4" s="3471" t="s">
        <v>1775</v>
      </c>
      <c r="Z4" s="3472"/>
      <c r="AA4" s="3470" t="s">
        <v>1771</v>
      </c>
      <c r="AB4" s="3470" t="s">
        <v>1772</v>
      </c>
      <c r="AC4" s="3473" t="s">
        <v>1773</v>
      </c>
    </row>
    <row r="5" spans="1:29">
      <c r="A5" s="348"/>
      <c r="B5" s="349"/>
      <c r="C5" s="3469" t="s">
        <v>1673</v>
      </c>
      <c r="D5" s="3414"/>
      <c r="E5" s="3467" t="s">
        <v>1674</v>
      </c>
      <c r="F5" s="3468"/>
      <c r="G5" s="3469" t="s">
        <v>1675</v>
      </c>
      <c r="H5" s="3414"/>
      <c r="I5" s="3469" t="s">
        <v>1676</v>
      </c>
      <c r="J5" s="3414"/>
      <c r="K5" s="537"/>
      <c r="L5" s="2484"/>
      <c r="M5" s="2485"/>
      <c r="N5" s="2485"/>
      <c r="O5" s="2485"/>
      <c r="P5" s="3478"/>
      <c r="Q5" s="3427"/>
      <c r="R5" s="3411"/>
      <c r="S5" s="3412"/>
      <c r="T5" s="3411"/>
      <c r="U5" s="3412"/>
      <c r="V5" s="3406"/>
      <c r="W5" s="3406"/>
      <c r="X5" s="1265"/>
      <c r="Y5" s="3411"/>
      <c r="Z5" s="3412"/>
      <c r="AA5" s="3404"/>
      <c r="AB5" s="3404"/>
      <c r="AC5" s="3474"/>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79"/>
      <c r="Q6" s="3429"/>
      <c r="R6" s="3411"/>
      <c r="S6" s="3412"/>
      <c r="T6" s="3430"/>
      <c r="U6" s="3431"/>
      <c r="V6" s="3406"/>
      <c r="W6" s="3406"/>
      <c r="X6" s="1265"/>
      <c r="Y6" s="3430"/>
      <c r="Z6" s="3431"/>
      <c r="AA6" s="3405"/>
      <c r="AB6" s="3405"/>
      <c r="AC6" s="3475"/>
    </row>
    <row r="7" spans="1:29" s="102" customFormat="1" ht="15" thickBot="1">
      <c r="A7" s="352" t="s">
        <v>1679</v>
      </c>
      <c r="B7" s="353"/>
      <c r="C7" s="354">
        <f>'数据-取费表'!B2</f>
        <v>45811</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1" t="s">
        <v>1680</v>
      </c>
      <c r="Q7" s="3432"/>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1"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9"/>
      <c r="Q11" s="530" t="str">
        <f t="shared" si="6"/>
        <v>容积率</v>
      </c>
      <c r="R11" s="664" t="s">
        <v>14</v>
      </c>
      <c r="S11" s="665">
        <f t="shared" si="0"/>
        <v>100</v>
      </c>
      <c r="T11" s="664" t="s">
        <v>14</v>
      </c>
      <c r="U11" s="665">
        <f t="shared" si="1"/>
        <v>100</v>
      </c>
      <c r="V11" s="664" t="s">
        <v>14</v>
      </c>
      <c r="W11" s="665">
        <f t="shared" si="2"/>
        <v>100</v>
      </c>
      <c r="X11" s="666"/>
      <c r="Y11" s="33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9"/>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9"/>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9"/>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3" t="s">
        <v>1691</v>
      </c>
      <c r="Q15" s="1263" t="str">
        <f t="shared" si="6"/>
        <v>办公集聚程度</v>
      </c>
      <c r="R15" s="667" t="s">
        <v>14</v>
      </c>
      <c r="S15" s="668">
        <f t="shared" si="0"/>
        <v>100</v>
      </c>
      <c r="T15" s="667" t="s">
        <v>14</v>
      </c>
      <c r="U15" s="668">
        <f t="shared" si="1"/>
        <v>100</v>
      </c>
      <c r="V15" s="667" t="s">
        <v>14</v>
      </c>
      <c r="W15" s="668">
        <f t="shared" si="2"/>
        <v>100</v>
      </c>
      <c r="X15" s="1265"/>
      <c r="Y15" s="343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34"/>
      <c r="Q16" s="1263"/>
      <c r="R16" s="667"/>
      <c r="S16" s="668"/>
      <c r="T16" s="667"/>
      <c r="U16" s="668"/>
      <c r="V16" s="667"/>
      <c r="W16" s="668"/>
      <c r="X16" s="1265"/>
      <c r="Y16" s="343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4"/>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34"/>
      <c r="Q18" s="1263"/>
      <c r="R18" s="667"/>
      <c r="S18" s="668"/>
      <c r="T18" s="667"/>
      <c r="U18" s="668"/>
      <c r="V18" s="667"/>
      <c r="W18" s="668"/>
      <c r="X18" s="1265"/>
      <c r="Y18" s="343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4"/>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34"/>
      <c r="Q20" s="1263"/>
      <c r="R20" s="667"/>
      <c r="S20" s="668"/>
      <c r="T20" s="667"/>
      <c r="U20" s="668"/>
      <c r="V20" s="667"/>
      <c r="W20" s="668"/>
      <c r="X20" s="1265"/>
      <c r="Y20" s="343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4"/>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34"/>
      <c r="Q22" s="1263"/>
      <c r="R22" s="667"/>
      <c r="S22" s="668"/>
      <c r="T22" s="667"/>
      <c r="U22" s="668"/>
      <c r="V22" s="667"/>
      <c r="W22" s="668"/>
      <c r="X22" s="1265"/>
      <c r="Y22" s="343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4"/>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34"/>
      <c r="Q24" s="1263"/>
      <c r="R24" s="667"/>
      <c r="S24" s="668"/>
      <c r="T24" s="667"/>
      <c r="U24" s="668"/>
      <c r="V24" s="667"/>
      <c r="W24" s="668"/>
      <c r="X24" s="1265"/>
      <c r="Y24" s="343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34"/>
      <c r="Q25" s="1263" t="str">
        <f>B25</f>
        <v>毗邻道路的类型与等级</v>
      </c>
      <c r="R25" s="667" t="s">
        <v>14</v>
      </c>
      <c r="S25" s="668">
        <f>F25</f>
        <v>100</v>
      </c>
      <c r="T25" s="667" t="s">
        <v>14</v>
      </c>
      <c r="U25" s="668">
        <f>H25</f>
        <v>100</v>
      </c>
      <c r="V25" s="667" t="s">
        <v>14</v>
      </c>
      <c r="W25" s="668">
        <f>J25</f>
        <v>100</v>
      </c>
      <c r="X25" s="1265"/>
      <c r="Y25" s="343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4"/>
      <c r="Q26" s="1263"/>
      <c r="R26" s="667"/>
      <c r="S26" s="668"/>
      <c r="T26" s="667"/>
      <c r="U26" s="668"/>
      <c r="V26" s="667"/>
      <c r="W26" s="668"/>
      <c r="X26" s="1265"/>
      <c r="Y26" s="343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4"/>
      <c r="Q27" s="1263" t="str">
        <f t="shared" ref="Q27:Q47" si="11">B27</f>
        <v>楼层</v>
      </c>
      <c r="R27" s="667" t="s">
        <v>14</v>
      </c>
      <c r="S27" s="668">
        <f>F27</f>
        <v>100</v>
      </c>
      <c r="T27" s="667" t="s">
        <v>14</v>
      </c>
      <c r="U27" s="668">
        <f>H27</f>
        <v>100</v>
      </c>
      <c r="V27" s="667" t="s">
        <v>14</v>
      </c>
      <c r="W27" s="668">
        <f>J27</f>
        <v>100</v>
      </c>
      <c r="X27" s="1265"/>
      <c r="Y27" s="343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4"/>
      <c r="Q28" s="530" t="str">
        <f t="shared" si="11"/>
        <v>朝向</v>
      </c>
      <c r="R28" s="664" t="s">
        <v>14</v>
      </c>
      <c r="S28" s="665">
        <f>F28</f>
        <v>100</v>
      </c>
      <c r="T28" s="664" t="s">
        <v>14</v>
      </c>
      <c r="U28" s="665">
        <f>H28</f>
        <v>100</v>
      </c>
      <c r="V28" s="664" t="s">
        <v>14</v>
      </c>
      <c r="W28" s="665">
        <f>J28</f>
        <v>100</v>
      </c>
      <c r="X28" s="666"/>
      <c r="Y28" s="343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4"/>
      <c r="Q29" s="1263">
        <f t="shared" si="11"/>
        <v>111</v>
      </c>
      <c r="R29" s="667" t="s">
        <v>14</v>
      </c>
      <c r="S29" s="668">
        <f t="shared" ref="S29:S47" si="12">F29</f>
        <v>100</v>
      </c>
      <c r="T29" s="667" t="s">
        <v>14</v>
      </c>
      <c r="U29" s="668">
        <f t="shared" ref="U29:U47" si="13">H29</f>
        <v>100</v>
      </c>
      <c r="V29" s="667" t="s">
        <v>14</v>
      </c>
      <c r="W29" s="668">
        <f t="shared" ref="W29:W47" si="14">J29</f>
        <v>100</v>
      </c>
      <c r="X29" s="1265"/>
      <c r="Y29" s="343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4"/>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4"/>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4"/>
      <c r="Q32" s="1263">
        <f t="shared" si="11"/>
        <v>111</v>
      </c>
      <c r="R32" s="667" t="s">
        <v>14</v>
      </c>
      <c r="S32" s="668">
        <f t="shared" si="12"/>
        <v>100</v>
      </c>
      <c r="T32" s="667" t="s">
        <v>14</v>
      </c>
      <c r="U32" s="668">
        <f t="shared" si="13"/>
        <v>100</v>
      </c>
      <c r="V32" s="667" t="s">
        <v>14</v>
      </c>
      <c r="W32" s="668">
        <f t="shared" si="14"/>
        <v>100</v>
      </c>
      <c r="X32" s="1265"/>
      <c r="Y32" s="343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37" t="s">
        <v>1696</v>
      </c>
      <c r="Q33" s="1263" t="str">
        <f t="shared" si="11"/>
        <v>建筑类型</v>
      </c>
      <c r="R33" s="667" t="s">
        <v>14</v>
      </c>
      <c r="S33" s="668">
        <f t="shared" si="12"/>
        <v>100</v>
      </c>
      <c r="T33" s="667" t="s">
        <v>14</v>
      </c>
      <c r="U33" s="668">
        <f t="shared" si="13"/>
        <v>100</v>
      </c>
      <c r="V33" s="667" t="s">
        <v>14</v>
      </c>
      <c r="W33" s="668">
        <f t="shared" si="14"/>
        <v>100</v>
      </c>
      <c r="X33" s="1265"/>
      <c r="Y33" s="344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8"/>
      <c r="Q34" s="531" t="str">
        <f t="shared" si="11"/>
        <v>项目建筑规模</v>
      </c>
      <c r="R34" s="669" t="s">
        <v>14</v>
      </c>
      <c r="S34" s="670" t="e">
        <f t="shared" si="12"/>
        <v>#N/A</v>
      </c>
      <c r="T34" s="669" t="s">
        <v>14</v>
      </c>
      <c r="U34" s="670" t="e">
        <f t="shared" si="13"/>
        <v>#N/A</v>
      </c>
      <c r="V34" s="669" t="s">
        <v>14</v>
      </c>
      <c r="W34" s="670" t="e">
        <f t="shared" si="14"/>
        <v>#N/A</v>
      </c>
      <c r="X34" s="671"/>
      <c r="Y34" s="344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8"/>
      <c r="Q35" s="1263" t="str">
        <f t="shared" si="11"/>
        <v>建筑结构</v>
      </c>
      <c r="R35" s="667" t="s">
        <v>14</v>
      </c>
      <c r="S35" s="668">
        <f t="shared" si="12"/>
        <v>100</v>
      </c>
      <c r="T35" s="667" t="s">
        <v>14</v>
      </c>
      <c r="U35" s="668">
        <f t="shared" si="13"/>
        <v>100</v>
      </c>
      <c r="V35" s="667" t="s">
        <v>14</v>
      </c>
      <c r="W35" s="668">
        <f t="shared" si="14"/>
        <v>100</v>
      </c>
      <c r="X35" s="1265"/>
      <c r="Y35" s="344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8"/>
      <c r="Q37" s="1263" t="str">
        <f t="shared" si="11"/>
        <v>成新度</v>
      </c>
      <c r="R37" s="667" t="s">
        <v>14</v>
      </c>
      <c r="S37" s="668" t="e">
        <f t="shared" si="12"/>
        <v>#N/A</v>
      </c>
      <c r="T37" s="667" t="s">
        <v>14</v>
      </c>
      <c r="U37" s="668" t="e">
        <f t="shared" si="13"/>
        <v>#N/A</v>
      </c>
      <c r="V37" s="667" t="s">
        <v>14</v>
      </c>
      <c r="W37" s="668" t="e">
        <f t="shared" si="14"/>
        <v>#N/A</v>
      </c>
      <c r="X37" s="1265"/>
      <c r="Y37" s="344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38"/>
      <c r="Q38" s="530" t="str">
        <f t="shared" si="11"/>
        <v>写字楼等级</v>
      </c>
      <c r="R38" s="664" t="s">
        <v>14</v>
      </c>
      <c r="S38" s="665">
        <f t="shared" si="12"/>
        <v>100</v>
      </c>
      <c r="T38" s="664" t="s">
        <v>14</v>
      </c>
      <c r="U38" s="665">
        <f t="shared" si="13"/>
        <v>100</v>
      </c>
      <c r="V38" s="664" t="s">
        <v>14</v>
      </c>
      <c r="W38" s="665">
        <f t="shared" si="14"/>
        <v>100</v>
      </c>
      <c r="X38" s="666"/>
      <c r="Y38" s="344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8" t="s">
        <v>1696</v>
      </c>
      <c r="Q39" s="1263" t="str">
        <f t="shared" si="11"/>
        <v>物业管理</v>
      </c>
      <c r="R39" s="667" t="s">
        <v>14</v>
      </c>
      <c r="S39" s="668">
        <f t="shared" si="12"/>
        <v>100</v>
      </c>
      <c r="T39" s="667" t="s">
        <v>14</v>
      </c>
      <c r="U39" s="668">
        <f t="shared" si="13"/>
        <v>100</v>
      </c>
      <c r="V39" s="667" t="s">
        <v>14</v>
      </c>
      <c r="W39" s="668">
        <f t="shared" si="14"/>
        <v>100</v>
      </c>
      <c r="X39" s="1265"/>
      <c r="Y39" s="344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8"/>
      <c r="Q40" s="1263" t="str">
        <f t="shared" si="11"/>
        <v>市政基础设施</v>
      </c>
      <c r="R40" s="667" t="s">
        <v>14</v>
      </c>
      <c r="S40" s="668">
        <f t="shared" si="12"/>
        <v>100</v>
      </c>
      <c r="T40" s="667" t="s">
        <v>14</v>
      </c>
      <c r="U40" s="668">
        <f t="shared" si="13"/>
        <v>100</v>
      </c>
      <c r="V40" s="667" t="s">
        <v>14</v>
      </c>
      <c r="W40" s="668">
        <f t="shared" si="14"/>
        <v>100</v>
      </c>
      <c r="X40" s="1265"/>
      <c r="Y40" s="344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8"/>
      <c r="Q41" s="1263" t="str">
        <f t="shared" si="11"/>
        <v>层高</v>
      </c>
      <c r="R41" s="667" t="s">
        <v>14</v>
      </c>
      <c r="S41" s="668">
        <f t="shared" si="12"/>
        <v>100</v>
      </c>
      <c r="T41" s="667" t="s">
        <v>14</v>
      </c>
      <c r="U41" s="668">
        <f t="shared" si="13"/>
        <v>100</v>
      </c>
      <c r="V41" s="667" t="s">
        <v>14</v>
      </c>
      <c r="W41" s="668">
        <f t="shared" si="14"/>
        <v>100</v>
      </c>
      <c r="X41" s="1265"/>
      <c r="Y41" s="344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8"/>
      <c r="Q42" s="531" t="str">
        <f t="shared" si="11"/>
        <v>单套建筑面积</v>
      </c>
      <c r="R42" s="669" t="s">
        <v>14</v>
      </c>
      <c r="S42" s="670">
        <f t="shared" si="12"/>
        <v>100</v>
      </c>
      <c r="T42" s="669" t="s">
        <v>14</v>
      </c>
      <c r="U42" s="670">
        <f t="shared" si="13"/>
        <v>100</v>
      </c>
      <c r="V42" s="669" t="s">
        <v>14</v>
      </c>
      <c r="W42" s="670">
        <f t="shared" si="14"/>
        <v>100</v>
      </c>
      <c r="X42" s="671"/>
      <c r="Y42" s="344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8"/>
      <c r="Q43" s="1263" t="str">
        <f t="shared" si="11"/>
        <v>内部装修</v>
      </c>
      <c r="R43" s="667" t="s">
        <v>14</v>
      </c>
      <c r="S43" s="668">
        <f t="shared" si="12"/>
        <v>100</v>
      </c>
      <c r="T43" s="667" t="s">
        <v>14</v>
      </c>
      <c r="U43" s="668">
        <f t="shared" si="13"/>
        <v>100</v>
      </c>
      <c r="V43" s="667" t="s">
        <v>14</v>
      </c>
      <c r="W43" s="668">
        <f t="shared" si="14"/>
        <v>100</v>
      </c>
      <c r="X43" s="1265"/>
      <c r="Y43" s="344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38"/>
      <c r="Q44" s="1263" t="str">
        <f t="shared" si="11"/>
        <v>内部装修维护情况</v>
      </c>
      <c r="R44" s="667" t="s">
        <v>14</v>
      </c>
      <c r="S44" s="668">
        <f t="shared" si="12"/>
        <v>100</v>
      </c>
      <c r="T44" s="667" t="s">
        <v>14</v>
      </c>
      <c r="U44" s="668">
        <f t="shared" si="13"/>
        <v>100</v>
      </c>
      <c r="V44" s="667" t="s">
        <v>14</v>
      </c>
      <c r="W44" s="668">
        <f t="shared" si="14"/>
        <v>100</v>
      </c>
      <c r="X44" s="1265"/>
      <c r="Y44" s="344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8"/>
      <c r="Q45" s="530">
        <f t="shared" si="11"/>
        <v>111</v>
      </c>
      <c r="R45" s="664" t="s">
        <v>14</v>
      </c>
      <c r="S45" s="665">
        <f t="shared" si="12"/>
        <v>100</v>
      </c>
      <c r="T45" s="664" t="s">
        <v>14</v>
      </c>
      <c r="U45" s="665">
        <f t="shared" si="13"/>
        <v>100</v>
      </c>
      <c r="V45" s="664" t="s">
        <v>14</v>
      </c>
      <c r="W45" s="665">
        <f t="shared" si="14"/>
        <v>100</v>
      </c>
      <c r="X45" s="666"/>
      <c r="Y45" s="344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9"/>
      <c r="Q47" s="1263">
        <f t="shared" si="11"/>
        <v>111</v>
      </c>
      <c r="R47" s="667" t="s">
        <v>14</v>
      </c>
      <c r="S47" s="668">
        <f t="shared" si="12"/>
        <v>100</v>
      </c>
      <c r="T47" s="667" t="s">
        <v>14</v>
      </c>
      <c r="U47" s="668">
        <f t="shared" si="13"/>
        <v>100</v>
      </c>
      <c r="V47" s="667" t="s">
        <v>14</v>
      </c>
      <c r="W47" s="668">
        <f t="shared" si="14"/>
        <v>100</v>
      </c>
      <c r="X47" s="1265"/>
      <c r="Y47" s="344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19" t="str">
        <f>A48</f>
        <v>成交单价（元/平方米）</v>
      </c>
      <c r="Q48" s="3442"/>
      <c r="R48" s="3406">
        <f>E48</f>
        <v>0</v>
      </c>
      <c r="S48" s="3406"/>
      <c r="T48" s="3406">
        <f>G48</f>
        <v>0</v>
      </c>
      <c r="U48" s="3406"/>
      <c r="V48" s="3406">
        <f>I48</f>
        <v>0</v>
      </c>
      <c r="W48" s="340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419" t="str">
        <f>A49</f>
        <v>比较价值（元/平方米）</v>
      </c>
      <c r="Q49" s="3442"/>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242.17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09" t="s">
        <v>1771</v>
      </c>
      <c r="S4" s="3410"/>
      <c r="T4" s="3409" t="s">
        <v>1772</v>
      </c>
      <c r="U4" s="3410"/>
      <c r="V4" s="3406" t="s">
        <v>1773</v>
      </c>
      <c r="W4" s="3406"/>
      <c r="X4" s="1265"/>
      <c r="Y4" s="3409" t="s">
        <v>1775</v>
      </c>
      <c r="Z4" s="3410"/>
      <c r="AA4" s="3403" t="s">
        <v>1771</v>
      </c>
      <c r="AB4" s="3404" t="s">
        <v>1772</v>
      </c>
      <c r="AC4" s="3403" t="s">
        <v>1773</v>
      </c>
    </row>
    <row r="5" spans="1:29">
      <c r="A5" s="348"/>
      <c r="B5" s="349"/>
      <c r="C5" s="3469" t="s">
        <v>1673</v>
      </c>
      <c r="D5" s="3414"/>
      <c r="E5" s="3467" t="s">
        <v>1674</v>
      </c>
      <c r="F5" s="3468"/>
      <c r="G5" s="3469" t="s">
        <v>1675</v>
      </c>
      <c r="H5" s="3414"/>
      <c r="I5" s="3469" t="s">
        <v>1676</v>
      </c>
      <c r="J5" s="3414"/>
      <c r="K5" s="537"/>
      <c r="L5" s="860"/>
      <c r="M5" s="861"/>
      <c r="N5" s="861"/>
      <c r="O5" s="861"/>
      <c r="P5" s="3426"/>
      <c r="Q5" s="3427"/>
      <c r="R5" s="3411"/>
      <c r="S5" s="3412"/>
      <c r="T5" s="3411"/>
      <c r="U5" s="3412"/>
      <c r="V5" s="3406"/>
      <c r="W5" s="3406"/>
      <c r="X5" s="1265"/>
      <c r="Y5" s="3411"/>
      <c r="Z5" s="3412"/>
      <c r="AA5" s="3404"/>
      <c r="AB5" s="3404"/>
      <c r="AC5" s="3404"/>
    </row>
    <row r="6" spans="1:29" ht="15" thickBot="1">
      <c r="A6" s="350"/>
      <c r="B6" s="351"/>
      <c r="C6" s="3415" t="s">
        <v>1677</v>
      </c>
      <c r="D6" s="3416"/>
      <c r="E6" s="3417" t="s">
        <v>1677</v>
      </c>
      <c r="F6" s="3418"/>
      <c r="G6" s="3415" t="s">
        <v>1677</v>
      </c>
      <c r="H6" s="3416"/>
      <c r="I6" s="3415" t="s">
        <v>1677</v>
      </c>
      <c r="J6" s="3416"/>
      <c r="K6" s="537" t="s">
        <v>1678</v>
      </c>
      <c r="L6" s="860"/>
      <c r="M6" s="861"/>
      <c r="N6" s="861"/>
      <c r="O6" s="861"/>
      <c r="P6" s="3428"/>
      <c r="Q6" s="3429"/>
      <c r="R6" s="3411"/>
      <c r="S6" s="3412"/>
      <c r="T6" s="3430"/>
      <c r="U6" s="3431"/>
      <c r="V6" s="3406"/>
      <c r="W6" s="3406"/>
      <c r="X6" s="1265"/>
      <c r="Y6" s="3430"/>
      <c r="Z6" s="3431"/>
      <c r="AA6" s="3405"/>
      <c r="AB6" s="3405"/>
      <c r="AC6" s="3405"/>
    </row>
    <row r="7" spans="1:29" s="102" customFormat="1" ht="15" thickBot="1">
      <c r="A7" s="352" t="s">
        <v>1679</v>
      </c>
      <c r="B7" s="353"/>
      <c r="C7" s="354">
        <f>'数据-取费表'!B2</f>
        <v>45811</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32"/>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2"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42"/>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2"/>
      <c r="Q11" s="530" t="str">
        <f t="shared" si="6"/>
        <v>容积率</v>
      </c>
      <c r="R11" s="664" t="s">
        <v>14</v>
      </c>
      <c r="S11" s="665">
        <f t="shared" si="0"/>
        <v>100</v>
      </c>
      <c r="T11" s="664" t="s">
        <v>14</v>
      </c>
      <c r="U11" s="665">
        <f t="shared" si="1"/>
        <v>100</v>
      </c>
      <c r="V11" s="664" t="s">
        <v>14</v>
      </c>
      <c r="W11" s="665">
        <f t="shared" si="2"/>
        <v>100</v>
      </c>
      <c r="X11" s="666"/>
      <c r="Y11" s="33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2"/>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2"/>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2"/>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6"/>
      <c r="Q16" s="1263"/>
      <c r="R16" s="667"/>
      <c r="S16" s="668"/>
      <c r="T16" s="667"/>
      <c r="U16" s="668"/>
      <c r="V16" s="667"/>
      <c r="W16" s="668"/>
      <c r="X16" s="1265"/>
      <c r="Y16" s="343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6"/>
      <c r="Q18" s="1263"/>
      <c r="R18" s="667"/>
      <c r="S18" s="668"/>
      <c r="T18" s="667"/>
      <c r="U18" s="668"/>
      <c r="V18" s="667"/>
      <c r="W18" s="668"/>
      <c r="X18" s="1265"/>
      <c r="Y18" s="343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6"/>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6"/>
      <c r="Q20" s="1263"/>
      <c r="R20" s="667"/>
      <c r="S20" s="668"/>
      <c r="T20" s="667"/>
      <c r="U20" s="668"/>
      <c r="V20" s="667"/>
      <c r="W20" s="668"/>
      <c r="X20" s="1265"/>
      <c r="Y20" s="343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6"/>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6"/>
      <c r="Q22" s="1263"/>
      <c r="R22" s="667"/>
      <c r="S22" s="668"/>
      <c r="T22" s="667"/>
      <c r="U22" s="668"/>
      <c r="V22" s="667"/>
      <c r="W22" s="668"/>
      <c r="X22" s="1265"/>
      <c r="Y22" s="343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6"/>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6"/>
      <c r="Q24" s="1263"/>
      <c r="R24" s="667"/>
      <c r="S24" s="668"/>
      <c r="T24" s="667"/>
      <c r="U24" s="668"/>
      <c r="V24" s="667"/>
      <c r="W24" s="668"/>
      <c r="X24" s="1265"/>
      <c r="Y24" s="343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6"/>
      <c r="Q25" s="1263">
        <f>B25</f>
        <v>111</v>
      </c>
      <c r="R25" s="667" t="s">
        <v>14</v>
      </c>
      <c r="S25" s="668">
        <f>F25</f>
        <v>100</v>
      </c>
      <c r="T25" s="667" t="s">
        <v>14</v>
      </c>
      <c r="U25" s="668">
        <f>H25</f>
        <v>100</v>
      </c>
      <c r="V25" s="667" t="s">
        <v>14</v>
      </c>
      <c r="W25" s="668">
        <f>J25</f>
        <v>100</v>
      </c>
      <c r="X25" s="1265"/>
      <c r="Y25" s="343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6"/>
      <c r="Q26" s="1263">
        <f t="shared" ref="Q26:Q40" si="11">B26</f>
        <v>111</v>
      </c>
      <c r="R26" s="667" t="s">
        <v>14</v>
      </c>
      <c r="S26" s="668">
        <f>F26</f>
        <v>100</v>
      </c>
      <c r="T26" s="667" t="s">
        <v>14</v>
      </c>
      <c r="U26" s="668">
        <f>H26</f>
        <v>100</v>
      </c>
      <c r="V26" s="667" t="s">
        <v>14</v>
      </c>
      <c r="W26" s="668">
        <f>J26</f>
        <v>100</v>
      </c>
      <c r="X26" s="1265"/>
      <c r="Y26" s="343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6"/>
      <c r="Q27" s="530">
        <f t="shared" si="11"/>
        <v>111</v>
      </c>
      <c r="R27" s="664" t="s">
        <v>14</v>
      </c>
      <c r="S27" s="665">
        <f>F27</f>
        <v>100</v>
      </c>
      <c r="T27" s="664" t="s">
        <v>14</v>
      </c>
      <c r="U27" s="665">
        <f>H27</f>
        <v>100</v>
      </c>
      <c r="V27" s="664" t="s">
        <v>14</v>
      </c>
      <c r="W27" s="665">
        <f>J27</f>
        <v>100</v>
      </c>
      <c r="X27" s="666"/>
      <c r="Y27" s="343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6"/>
      <c r="Q28" s="1263">
        <f t="shared" si="11"/>
        <v>111</v>
      </c>
      <c r="R28" s="667" t="s">
        <v>14</v>
      </c>
      <c r="S28" s="668">
        <f t="shared" ref="S28:S40" si="12">F28</f>
        <v>100</v>
      </c>
      <c r="T28" s="667" t="s">
        <v>14</v>
      </c>
      <c r="U28" s="668">
        <f t="shared" ref="U28:U40" si="13">H28</f>
        <v>100</v>
      </c>
      <c r="V28" s="667" t="s">
        <v>14</v>
      </c>
      <c r="W28" s="668">
        <f t="shared" ref="W28:W40" si="14">J28</f>
        <v>100</v>
      </c>
      <c r="X28" s="1265"/>
      <c r="Y28" s="343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5" t="s">
        <v>1696</v>
      </c>
      <c r="Q29" s="1263" t="str">
        <f t="shared" si="11"/>
        <v>建筑类型</v>
      </c>
      <c r="R29" s="667" t="s">
        <v>14</v>
      </c>
      <c r="S29" s="668">
        <f t="shared" si="12"/>
        <v>100</v>
      </c>
      <c r="T29" s="667" t="s">
        <v>14</v>
      </c>
      <c r="U29" s="668">
        <f t="shared" si="13"/>
        <v>100</v>
      </c>
      <c r="V29" s="667" t="s">
        <v>14</v>
      </c>
      <c r="W29" s="668">
        <f t="shared" si="14"/>
        <v>100</v>
      </c>
      <c r="X29" s="1265"/>
      <c r="Y29" s="344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0"/>
      <c r="Q30" s="531" t="str">
        <f t="shared" si="11"/>
        <v>项目建筑规模</v>
      </c>
      <c r="R30" s="669" t="s">
        <v>14</v>
      </c>
      <c r="S30" s="670" t="e">
        <f t="shared" si="12"/>
        <v>#N/A</v>
      </c>
      <c r="T30" s="669" t="s">
        <v>14</v>
      </c>
      <c r="U30" s="670" t="e">
        <f t="shared" si="13"/>
        <v>#N/A</v>
      </c>
      <c r="V30" s="669" t="s">
        <v>14</v>
      </c>
      <c r="W30" s="670" t="e">
        <f t="shared" si="14"/>
        <v>#N/A</v>
      </c>
      <c r="X30" s="671"/>
      <c r="Y30" s="344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0"/>
      <c r="Q31" s="1263" t="str">
        <f t="shared" si="11"/>
        <v>建筑结构</v>
      </c>
      <c r="R31" s="667" t="s">
        <v>14</v>
      </c>
      <c r="S31" s="668">
        <f t="shared" si="12"/>
        <v>100</v>
      </c>
      <c r="T31" s="667" t="s">
        <v>14</v>
      </c>
      <c r="U31" s="668">
        <f t="shared" si="13"/>
        <v>100</v>
      </c>
      <c r="V31" s="667" t="s">
        <v>14</v>
      </c>
      <c r="W31" s="668">
        <f t="shared" si="14"/>
        <v>100</v>
      </c>
      <c r="X31" s="1265"/>
      <c r="Y31" s="344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0"/>
      <c r="Q32" s="1263" t="str">
        <f t="shared" si="11"/>
        <v>公共部分装修</v>
      </c>
      <c r="R32" s="667" t="s">
        <v>14</v>
      </c>
      <c r="S32" s="668">
        <f t="shared" si="12"/>
        <v>100</v>
      </c>
      <c r="T32" s="667" t="s">
        <v>14</v>
      </c>
      <c r="U32" s="668">
        <f t="shared" si="13"/>
        <v>100</v>
      </c>
      <c r="V32" s="667" t="s">
        <v>14</v>
      </c>
      <c r="W32" s="668">
        <f t="shared" si="14"/>
        <v>100</v>
      </c>
      <c r="X32" s="1265"/>
      <c r="Y32" s="344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0"/>
      <c r="Q33" s="1263" t="str">
        <f t="shared" si="11"/>
        <v>成新度</v>
      </c>
      <c r="R33" s="667" t="s">
        <v>14</v>
      </c>
      <c r="S33" s="668" t="e">
        <f t="shared" si="12"/>
        <v>#N/A</v>
      </c>
      <c r="T33" s="667" t="s">
        <v>14</v>
      </c>
      <c r="U33" s="668" t="e">
        <f t="shared" si="13"/>
        <v>#N/A</v>
      </c>
      <c r="V33" s="667" t="s">
        <v>14</v>
      </c>
      <c r="W33" s="668" t="e">
        <f t="shared" si="14"/>
        <v>#N/A</v>
      </c>
      <c r="X33" s="1265"/>
      <c r="Y33" s="344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0"/>
      <c r="Q34" s="530" t="str">
        <f t="shared" si="11"/>
        <v>物业管理</v>
      </c>
      <c r="R34" s="664" t="s">
        <v>14</v>
      </c>
      <c r="S34" s="665">
        <f t="shared" si="12"/>
        <v>100</v>
      </c>
      <c r="T34" s="664" t="s">
        <v>14</v>
      </c>
      <c r="U34" s="665">
        <f t="shared" si="13"/>
        <v>100</v>
      </c>
      <c r="V34" s="664" t="s">
        <v>14</v>
      </c>
      <c r="W34" s="665">
        <f t="shared" si="14"/>
        <v>100</v>
      </c>
      <c r="X34" s="666"/>
      <c r="Y34" s="344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0" t="s">
        <v>1696</v>
      </c>
      <c r="Q35" s="1263" t="str">
        <f t="shared" si="11"/>
        <v>市政基础设施</v>
      </c>
      <c r="R35" s="667" t="s">
        <v>14</v>
      </c>
      <c r="S35" s="668">
        <f t="shared" si="12"/>
        <v>100</v>
      </c>
      <c r="T35" s="667" t="s">
        <v>14</v>
      </c>
      <c r="U35" s="668">
        <f t="shared" si="13"/>
        <v>100</v>
      </c>
      <c r="V35" s="667" t="s">
        <v>14</v>
      </c>
      <c r="W35" s="668">
        <f t="shared" si="14"/>
        <v>100</v>
      </c>
      <c r="X35" s="1265"/>
      <c r="Y35" s="344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0"/>
      <c r="Q36" s="1263" t="str">
        <f t="shared" si="11"/>
        <v>内部装修</v>
      </c>
      <c r="R36" s="667" t="s">
        <v>14</v>
      </c>
      <c r="S36" s="668">
        <f t="shared" si="12"/>
        <v>100</v>
      </c>
      <c r="T36" s="667" t="s">
        <v>14</v>
      </c>
      <c r="U36" s="668">
        <f t="shared" si="13"/>
        <v>100</v>
      </c>
      <c r="V36" s="667" t="s">
        <v>14</v>
      </c>
      <c r="W36" s="668">
        <f t="shared" si="14"/>
        <v>100</v>
      </c>
      <c r="X36" s="1265"/>
      <c r="Y36" s="344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0"/>
      <c r="Q37" s="1263" t="str">
        <f t="shared" si="11"/>
        <v>内部装修状况</v>
      </c>
      <c r="R37" s="667" t="s">
        <v>14</v>
      </c>
      <c r="S37" s="668">
        <f t="shared" si="12"/>
        <v>100</v>
      </c>
      <c r="T37" s="667" t="s">
        <v>14</v>
      </c>
      <c r="U37" s="668">
        <f t="shared" si="13"/>
        <v>100</v>
      </c>
      <c r="V37" s="667" t="s">
        <v>14</v>
      </c>
      <c r="W37" s="668">
        <f t="shared" si="14"/>
        <v>100</v>
      </c>
      <c r="X37" s="1265"/>
      <c r="Y37" s="344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0"/>
      <c r="Q38" s="531">
        <f t="shared" si="11"/>
        <v>111</v>
      </c>
      <c r="R38" s="669" t="s">
        <v>14</v>
      </c>
      <c r="S38" s="670">
        <f t="shared" si="12"/>
        <v>100</v>
      </c>
      <c r="T38" s="669" t="s">
        <v>14</v>
      </c>
      <c r="U38" s="670">
        <f t="shared" si="13"/>
        <v>100</v>
      </c>
      <c r="V38" s="669" t="s">
        <v>14</v>
      </c>
      <c r="W38" s="670">
        <f t="shared" si="14"/>
        <v>100</v>
      </c>
      <c r="X38" s="671"/>
      <c r="Y38" s="344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0"/>
      <c r="Q39" s="1263">
        <f t="shared" si="11"/>
        <v>111</v>
      </c>
      <c r="R39" s="667" t="s">
        <v>14</v>
      </c>
      <c r="S39" s="668">
        <f t="shared" si="12"/>
        <v>100</v>
      </c>
      <c r="T39" s="667" t="s">
        <v>14</v>
      </c>
      <c r="U39" s="668">
        <f t="shared" si="13"/>
        <v>100</v>
      </c>
      <c r="V39" s="667" t="s">
        <v>14</v>
      </c>
      <c r="W39" s="668">
        <f t="shared" si="14"/>
        <v>100</v>
      </c>
      <c r="X39" s="1265"/>
      <c r="Y39" s="344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1"/>
      <c r="Q40" s="1263">
        <f t="shared" si="11"/>
        <v>111</v>
      </c>
      <c r="R40" s="667" t="s">
        <v>14</v>
      </c>
      <c r="S40" s="668">
        <f t="shared" si="12"/>
        <v>100</v>
      </c>
      <c r="T40" s="667" t="s">
        <v>14</v>
      </c>
      <c r="U40" s="668">
        <f t="shared" si="13"/>
        <v>100</v>
      </c>
      <c r="V40" s="667" t="s">
        <v>14</v>
      </c>
      <c r="W40" s="668">
        <f t="shared" si="14"/>
        <v>100</v>
      </c>
      <c r="X40" s="1265"/>
      <c r="Y40" s="344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42" t="str">
        <f>A41</f>
        <v>成交单价（元/平方米）</v>
      </c>
      <c r="Q41" s="3442"/>
      <c r="R41" s="3406">
        <f>E41</f>
        <v>0</v>
      </c>
      <c r="S41" s="3406"/>
      <c r="T41" s="3406">
        <f>G41</f>
        <v>0</v>
      </c>
      <c r="U41" s="3406"/>
      <c r="V41" s="3406">
        <f>I41</f>
        <v>0</v>
      </c>
      <c r="W41" s="340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2" t="str">
        <f>A42</f>
        <v>比较价值（元/平方米）</v>
      </c>
      <c r="Q42" s="3442"/>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受贵公司委托，我公司对北京市石景山区古城西路66号院1号楼1至2层102房地产抵押价值进行了预评估。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66号院1号楼1至2层102房地产，为北京潇湘之旭商业管理有限公司所有。根据《国有土地使用证》[]，估价对象（分摊）出让国有建设用地使用权面积为0平方米，建筑面积为242.17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66号院1号楼1至2层102房地产,属北京潇湘之旭商业管理有限公司开发建设的商业项目，该项目尚在开发建设中。根据《国有土地使用证》[]，估价对象（分摊）出让国有建设用地使用权面积为0平方米，规划建筑面积为242.17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华茗控股集团有限公司拟使用北京市石景山区古城西路66号院1号楼1至2层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9" t="s">
        <v>1771</v>
      </c>
      <c r="S4" s="3410"/>
      <c r="T4" s="3409" t="s">
        <v>1772</v>
      </c>
      <c r="U4" s="3410"/>
      <c r="V4" s="3406" t="s">
        <v>1773</v>
      </c>
      <c r="W4" s="3406"/>
      <c r="X4" s="1265"/>
      <c r="Y4" s="3409" t="s">
        <v>1775</v>
      </c>
      <c r="Z4" s="3410"/>
      <c r="AA4" s="3403" t="s">
        <v>1771</v>
      </c>
      <c r="AB4" s="3404" t="s">
        <v>1772</v>
      </c>
      <c r="AC4" s="3403" t="s">
        <v>1773</v>
      </c>
    </row>
    <row r="5" spans="1:29">
      <c r="A5" s="348"/>
      <c r="B5" s="349"/>
      <c r="C5" s="3469" t="s">
        <v>1673</v>
      </c>
      <c r="D5" s="3414"/>
      <c r="E5" s="3467" t="s">
        <v>1674</v>
      </c>
      <c r="F5" s="3468"/>
      <c r="G5" s="3469" t="s">
        <v>1675</v>
      </c>
      <c r="H5" s="3414"/>
      <c r="I5" s="3469" t="s">
        <v>1676</v>
      </c>
      <c r="J5" s="3414"/>
      <c r="K5" s="537"/>
      <c r="L5" s="2484"/>
      <c r="M5" s="2485"/>
      <c r="N5" s="2485"/>
      <c r="O5" s="2485"/>
      <c r="P5" s="3426"/>
      <c r="Q5" s="3427"/>
      <c r="R5" s="3411"/>
      <c r="S5" s="3412"/>
      <c r="T5" s="3411"/>
      <c r="U5" s="3412"/>
      <c r="V5" s="3406"/>
      <c r="W5" s="3406"/>
      <c r="X5" s="1265"/>
      <c r="Y5" s="3411"/>
      <c r="Z5" s="3412"/>
      <c r="AA5" s="3404"/>
      <c r="AB5" s="3404"/>
      <c r="AC5" s="3404"/>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11"/>
      <c r="S6" s="3412"/>
      <c r="T6" s="3430"/>
      <c r="U6" s="3431"/>
      <c r="V6" s="3406"/>
      <c r="W6" s="3406"/>
      <c r="X6" s="1265"/>
      <c r="Y6" s="3430"/>
      <c r="Z6" s="3431"/>
      <c r="AA6" s="3405"/>
      <c r="AB6" s="3405"/>
      <c r="AC6" s="3405"/>
    </row>
    <row r="7" spans="1:29" s="102" customFormat="1" ht="15" thickBot="1">
      <c r="A7" s="352" t="s">
        <v>1679</v>
      </c>
      <c r="B7" s="353"/>
      <c r="C7" s="354">
        <f>'数据-取费表'!B2</f>
        <v>45811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7" t="s">
        <v>1680</v>
      </c>
      <c r="Q7" s="3432"/>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42" t="s">
        <v>1686</v>
      </c>
      <c r="Q9" s="530" t="str">
        <f t="shared" ref="Q9:Q14" si="6">B9</f>
        <v>用途</v>
      </c>
      <c r="R9" s="664" t="s">
        <v>14</v>
      </c>
      <c r="S9" s="665">
        <f t="shared" si="0"/>
        <v>100</v>
      </c>
      <c r="T9" s="664" t="s">
        <v>14</v>
      </c>
      <c r="U9" s="665">
        <f t="shared" si="1"/>
        <v>100</v>
      </c>
      <c r="V9" s="664" t="s">
        <v>14</v>
      </c>
      <c r="W9" s="665">
        <f t="shared" si="2"/>
        <v>100</v>
      </c>
      <c r="X9" s="666"/>
      <c r="Y9" s="337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42"/>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42"/>
      <c r="Q11" s="530">
        <f t="shared" si="6"/>
        <v>111</v>
      </c>
      <c r="R11" s="664" t="s">
        <v>14</v>
      </c>
      <c r="S11" s="665">
        <f t="shared" si="0"/>
        <v>100</v>
      </c>
      <c r="T11" s="664" t="s">
        <v>14</v>
      </c>
      <c r="U11" s="665">
        <f t="shared" si="1"/>
        <v>100</v>
      </c>
      <c r="V11" s="664" t="s">
        <v>14</v>
      </c>
      <c r="W11" s="665">
        <f t="shared" si="2"/>
        <v>100</v>
      </c>
      <c r="X11" s="666"/>
      <c r="Y11" s="33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42"/>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42"/>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6"/>
      <c r="Q15" s="1263"/>
      <c r="R15" s="667"/>
      <c r="S15" s="668"/>
      <c r="T15" s="667"/>
      <c r="U15" s="668"/>
      <c r="V15" s="667"/>
      <c r="W15" s="668"/>
      <c r="X15" s="1265"/>
      <c r="Y15" s="343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6"/>
      <c r="Q17" s="1263"/>
      <c r="R17" s="667"/>
      <c r="S17" s="668"/>
      <c r="T17" s="667"/>
      <c r="U17" s="668"/>
      <c r="V17" s="667"/>
      <c r="W17" s="668"/>
      <c r="X17" s="1265"/>
      <c r="Y17" s="343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6"/>
      <c r="Q19" s="1263"/>
      <c r="R19" s="667"/>
      <c r="S19" s="668"/>
      <c r="T19" s="667"/>
      <c r="U19" s="668"/>
      <c r="V19" s="667"/>
      <c r="W19" s="668"/>
      <c r="X19" s="1265"/>
      <c r="Y19" s="343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6"/>
      <c r="Q21" s="1263"/>
      <c r="R21" s="667"/>
      <c r="S21" s="668"/>
      <c r="T21" s="667"/>
      <c r="U21" s="668"/>
      <c r="V21" s="667"/>
      <c r="W21" s="668"/>
      <c r="X21" s="1265"/>
      <c r="Y21" s="343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6"/>
      <c r="Q24" s="1263">
        <f t="shared" ref="Q24:Q36"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0"/>
      <c r="Q27" s="531" t="str">
        <f t="shared" si="11"/>
        <v>项目停车位配比</v>
      </c>
      <c r="R27" s="669" t="s">
        <v>14</v>
      </c>
      <c r="S27" s="670">
        <f t="shared" si="12"/>
        <v>100</v>
      </c>
      <c r="T27" s="669" t="s">
        <v>14</v>
      </c>
      <c r="U27" s="670">
        <f t="shared" si="13"/>
        <v>100</v>
      </c>
      <c r="V27" s="669" t="s">
        <v>14</v>
      </c>
      <c r="W27" s="670">
        <f t="shared" si="14"/>
        <v>100</v>
      </c>
      <c r="X27" s="671"/>
      <c r="Y27" s="344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0"/>
      <c r="Q28" s="1263" t="str">
        <f t="shared" si="11"/>
        <v>公共部分装修</v>
      </c>
      <c r="R28" s="667" t="s">
        <v>14</v>
      </c>
      <c r="S28" s="668">
        <f t="shared" si="12"/>
        <v>100</v>
      </c>
      <c r="T28" s="667" t="s">
        <v>14</v>
      </c>
      <c r="U28" s="668">
        <f t="shared" si="13"/>
        <v>100</v>
      </c>
      <c r="V28" s="667" t="s">
        <v>14</v>
      </c>
      <c r="W28" s="668">
        <f t="shared" si="14"/>
        <v>100</v>
      </c>
      <c r="X28" s="1265"/>
      <c r="Y28" s="344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0"/>
      <c r="Q29" s="1263" t="str">
        <f t="shared" si="11"/>
        <v>成新率</v>
      </c>
      <c r="R29" s="667" t="s">
        <v>14</v>
      </c>
      <c r="S29" s="668" t="e">
        <f t="shared" si="12"/>
        <v>#N/A</v>
      </c>
      <c r="T29" s="667" t="s">
        <v>14</v>
      </c>
      <c r="U29" s="668" t="e">
        <f t="shared" si="13"/>
        <v>#N/A</v>
      </c>
      <c r="V29" s="667" t="s">
        <v>14</v>
      </c>
      <c r="W29" s="668" t="e">
        <f t="shared" si="14"/>
        <v>#N/A</v>
      </c>
      <c r="X29" s="1265"/>
      <c r="Y29" s="344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0"/>
      <c r="Q30" s="1263" t="str">
        <f t="shared" si="11"/>
        <v>物业等级</v>
      </c>
      <c r="R30" s="667" t="s">
        <v>14</v>
      </c>
      <c r="S30" s="668">
        <f t="shared" si="12"/>
        <v>100</v>
      </c>
      <c r="T30" s="667" t="s">
        <v>14</v>
      </c>
      <c r="U30" s="668">
        <f t="shared" si="13"/>
        <v>100</v>
      </c>
      <c r="V30" s="667" t="s">
        <v>14</v>
      </c>
      <c r="W30" s="668">
        <f t="shared" si="14"/>
        <v>100</v>
      </c>
      <c r="X30" s="1265"/>
      <c r="Y30" s="344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40"/>
      <c r="Q31" s="530" t="str">
        <f t="shared" si="11"/>
        <v>停车位面积</v>
      </c>
      <c r="R31" s="664" t="s">
        <v>14</v>
      </c>
      <c r="S31" s="665" t="e">
        <f t="shared" si="12"/>
        <v>#N/A</v>
      </c>
      <c r="T31" s="664" t="s">
        <v>14</v>
      </c>
      <c r="U31" s="665" t="e">
        <f t="shared" si="13"/>
        <v>#N/A</v>
      </c>
      <c r="V31" s="664" t="s">
        <v>14</v>
      </c>
      <c r="W31" s="665" t="e">
        <f t="shared" si="14"/>
        <v>#N/A</v>
      </c>
      <c r="X31" s="666"/>
      <c r="Y31" s="344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0" t="s">
        <v>1696</v>
      </c>
      <c r="Q32" s="1263" t="str">
        <f t="shared" si="11"/>
        <v>车位类型</v>
      </c>
      <c r="R32" s="667" t="s">
        <v>14</v>
      </c>
      <c r="S32" s="668">
        <f t="shared" si="12"/>
        <v>100</v>
      </c>
      <c r="T32" s="667" t="s">
        <v>14</v>
      </c>
      <c r="U32" s="668">
        <f t="shared" si="13"/>
        <v>100</v>
      </c>
      <c r="V32" s="667" t="s">
        <v>14</v>
      </c>
      <c r="W32" s="668">
        <f t="shared" si="14"/>
        <v>100</v>
      </c>
      <c r="X32" s="1265"/>
      <c r="Y32" s="344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0"/>
      <c r="Q33" s="1263" t="str">
        <f t="shared" si="11"/>
        <v>是否直接入户</v>
      </c>
      <c r="R33" s="667" t="s">
        <v>14</v>
      </c>
      <c r="S33" s="668">
        <f t="shared" si="12"/>
        <v>100</v>
      </c>
      <c r="T33" s="667" t="s">
        <v>14</v>
      </c>
      <c r="U33" s="668">
        <f t="shared" si="13"/>
        <v>100</v>
      </c>
      <c r="V33" s="667" t="s">
        <v>14</v>
      </c>
      <c r="W33" s="668">
        <f t="shared" si="14"/>
        <v>100</v>
      </c>
      <c r="X33" s="1265"/>
      <c r="Y33" s="344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0"/>
      <c r="Q35" s="531">
        <f t="shared" si="11"/>
        <v>111</v>
      </c>
      <c r="R35" s="669" t="s">
        <v>14</v>
      </c>
      <c r="S35" s="670">
        <f t="shared" si="12"/>
        <v>100</v>
      </c>
      <c r="T35" s="669" t="s">
        <v>14</v>
      </c>
      <c r="U35" s="670">
        <f t="shared" si="13"/>
        <v>100</v>
      </c>
      <c r="V35" s="669" t="s">
        <v>14</v>
      </c>
      <c r="W35" s="670">
        <f t="shared" si="14"/>
        <v>100</v>
      </c>
      <c r="X35" s="671"/>
      <c r="Y35" s="344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0"/>
      <c r="Q36" s="1263">
        <f t="shared" si="11"/>
        <v>111</v>
      </c>
      <c r="R36" s="667" t="s">
        <v>14</v>
      </c>
      <c r="S36" s="668">
        <f t="shared" si="12"/>
        <v>100</v>
      </c>
      <c r="T36" s="667" t="s">
        <v>14</v>
      </c>
      <c r="U36" s="668">
        <f t="shared" si="13"/>
        <v>100</v>
      </c>
      <c r="V36" s="667" t="s">
        <v>14</v>
      </c>
      <c r="W36" s="668">
        <f t="shared" si="14"/>
        <v>100</v>
      </c>
      <c r="X36" s="1265"/>
      <c r="Y36" s="3440"/>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42" t="str">
        <f>A37</f>
        <v>成交单价</v>
      </c>
      <c r="Q37" s="3442"/>
      <c r="R37" s="3406">
        <f>E37</f>
        <v>0</v>
      </c>
      <c r="S37" s="3406"/>
      <c r="T37" s="3406">
        <f>G37</f>
        <v>0</v>
      </c>
      <c r="U37" s="3406"/>
      <c r="V37" s="3406">
        <f>I37</f>
        <v>0</v>
      </c>
      <c r="W37" s="340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42" t="str">
        <f>A38</f>
        <v>比较价值（元/平方米）</v>
      </c>
      <c r="Q38" s="3442"/>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3" t="str">
        <f>A39</f>
        <v>估价对象XX用房的比较价值（楼面单价，元/平方米）</v>
      </c>
      <c r="Q39" s="3444"/>
      <c r="R39" s="3486" t="e">
        <f>IF(F1="售价",ROUND(IF(D38="简单平均",AVERAGE(R38:W38),R38*F38+T38*H38+V38*J38),0),ROUND(IF(D38="简单平均",AVERAGE(R38:V38),R38*F38+T38*H38+V38*J38),1))</f>
        <v>#DIV/0!</v>
      </c>
      <c r="S39" s="3486"/>
      <c r="T39" s="3486"/>
      <c r="U39" s="3486"/>
      <c r="V39" s="3486"/>
      <c r="W39" s="348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9" t="s">
        <v>1771</v>
      </c>
      <c r="S4" s="3410"/>
      <c r="T4" s="3409" t="s">
        <v>1772</v>
      </c>
      <c r="U4" s="3410"/>
      <c r="V4" s="3406" t="s">
        <v>1773</v>
      </c>
      <c r="W4" s="3406"/>
      <c r="X4" s="1265"/>
      <c r="Y4" s="3409" t="s">
        <v>1775</v>
      </c>
      <c r="Z4" s="3410"/>
      <c r="AA4" s="3403" t="s">
        <v>1771</v>
      </c>
      <c r="AB4" s="3404" t="s">
        <v>1772</v>
      </c>
      <c r="AC4" s="3403" t="s">
        <v>1773</v>
      </c>
    </row>
    <row r="5" spans="1:29">
      <c r="A5" s="348"/>
      <c r="B5" s="349"/>
      <c r="C5" s="3469" t="s">
        <v>1673</v>
      </c>
      <c r="D5" s="3414"/>
      <c r="E5" s="3467" t="s">
        <v>1674</v>
      </c>
      <c r="F5" s="3468"/>
      <c r="G5" s="3469" t="s">
        <v>1675</v>
      </c>
      <c r="H5" s="3414"/>
      <c r="I5" s="3469" t="s">
        <v>1676</v>
      </c>
      <c r="J5" s="3414"/>
      <c r="K5" s="537"/>
      <c r="L5" s="2484"/>
      <c r="M5" s="2485"/>
      <c r="N5" s="2485"/>
      <c r="O5" s="2485"/>
      <c r="P5" s="3426"/>
      <c r="Q5" s="3427"/>
      <c r="R5" s="3411"/>
      <c r="S5" s="3412"/>
      <c r="T5" s="3411"/>
      <c r="U5" s="3412"/>
      <c r="V5" s="3406"/>
      <c r="W5" s="3406"/>
      <c r="X5" s="1265"/>
      <c r="Y5" s="3411"/>
      <c r="Z5" s="3412"/>
      <c r="AA5" s="3404"/>
      <c r="AB5" s="3404"/>
      <c r="AC5" s="3404"/>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11"/>
      <c r="S6" s="3412"/>
      <c r="T6" s="3430"/>
      <c r="U6" s="3431"/>
      <c r="V6" s="3406"/>
      <c r="W6" s="3406"/>
      <c r="X6" s="1265"/>
      <c r="Y6" s="3430"/>
      <c r="Z6" s="3431"/>
      <c r="AA6" s="3405"/>
      <c r="AB6" s="3405"/>
      <c r="AC6" s="3405"/>
    </row>
    <row r="7" spans="1:29" s="102" customFormat="1" ht="15" thickBot="1">
      <c r="A7" s="352" t="s">
        <v>1679</v>
      </c>
      <c r="B7" s="353"/>
      <c r="C7" s="354">
        <f>'数据-取费表'!B2</f>
        <v>45811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7" t="s">
        <v>1680</v>
      </c>
      <c r="Q7" s="3432"/>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42" t="s">
        <v>1686</v>
      </c>
      <c r="Q9" s="530" t="str">
        <f t="shared" ref="Q9:Q14" si="6">B9</f>
        <v>用途</v>
      </c>
      <c r="R9" s="664" t="s">
        <v>14</v>
      </c>
      <c r="S9" s="665">
        <f t="shared" si="0"/>
        <v>100</v>
      </c>
      <c r="T9" s="664" t="s">
        <v>14</v>
      </c>
      <c r="U9" s="665">
        <f t="shared" si="1"/>
        <v>100</v>
      </c>
      <c r="V9" s="664" t="s">
        <v>14</v>
      </c>
      <c r="W9" s="665">
        <f t="shared" si="2"/>
        <v>100</v>
      </c>
      <c r="X9" s="666"/>
      <c r="Y9" s="337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42"/>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42"/>
      <c r="Q11" s="530">
        <f t="shared" si="6"/>
        <v>111</v>
      </c>
      <c r="R11" s="664" t="s">
        <v>14</v>
      </c>
      <c r="S11" s="665">
        <f t="shared" si="0"/>
        <v>100</v>
      </c>
      <c r="T11" s="664" t="s">
        <v>14</v>
      </c>
      <c r="U11" s="665">
        <f t="shared" si="1"/>
        <v>100</v>
      </c>
      <c r="V11" s="664" t="s">
        <v>14</v>
      </c>
      <c r="W11" s="665">
        <f t="shared" si="2"/>
        <v>100</v>
      </c>
      <c r="X11" s="666"/>
      <c r="Y11" s="33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42"/>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42"/>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6"/>
      <c r="Q15" s="1263"/>
      <c r="R15" s="667"/>
      <c r="S15" s="668"/>
      <c r="T15" s="667"/>
      <c r="U15" s="668"/>
      <c r="V15" s="667"/>
      <c r="W15" s="668"/>
      <c r="X15" s="1265"/>
      <c r="Y15" s="343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6"/>
      <c r="Q17" s="1263"/>
      <c r="R17" s="667"/>
      <c r="S17" s="668"/>
      <c r="T17" s="667"/>
      <c r="U17" s="668"/>
      <c r="V17" s="667"/>
      <c r="W17" s="668"/>
      <c r="X17" s="1265"/>
      <c r="Y17" s="343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6"/>
      <c r="Q19" s="1263"/>
      <c r="R19" s="667"/>
      <c r="S19" s="668"/>
      <c r="T19" s="667"/>
      <c r="U19" s="668"/>
      <c r="V19" s="667"/>
      <c r="W19" s="668"/>
      <c r="X19" s="1265"/>
      <c r="Y19" s="343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6"/>
      <c r="Q21" s="1263"/>
      <c r="R21" s="667"/>
      <c r="S21" s="668"/>
      <c r="T21" s="667"/>
      <c r="U21" s="668"/>
      <c r="V21" s="667"/>
      <c r="W21" s="668"/>
      <c r="X21" s="1265"/>
      <c r="Y21" s="343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6"/>
      <c r="Q24" s="1263">
        <f t="shared" ref="Q24:Q34"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8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0"/>
      <c r="Q27" s="531" t="str">
        <f t="shared" si="11"/>
        <v>成新率</v>
      </c>
      <c r="R27" s="669" t="s">
        <v>14</v>
      </c>
      <c r="S27" s="670" t="e">
        <f t="shared" si="12"/>
        <v>#N/A</v>
      </c>
      <c r="T27" s="669" t="s">
        <v>14</v>
      </c>
      <c r="U27" s="670" t="e">
        <f t="shared" si="13"/>
        <v>#N/A</v>
      </c>
      <c r="V27" s="669" t="s">
        <v>14</v>
      </c>
      <c r="W27" s="670" t="e">
        <f t="shared" si="14"/>
        <v>#N/A</v>
      </c>
      <c r="X27" s="671"/>
      <c r="Y27" s="344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0"/>
      <c r="Q28" s="1263" t="str">
        <f t="shared" si="11"/>
        <v>物业等级</v>
      </c>
      <c r="R28" s="667" t="s">
        <v>14</v>
      </c>
      <c r="S28" s="668">
        <f t="shared" si="12"/>
        <v>100</v>
      </c>
      <c r="T28" s="667" t="s">
        <v>14</v>
      </c>
      <c r="U28" s="668">
        <f t="shared" si="13"/>
        <v>100</v>
      </c>
      <c r="V28" s="667" t="s">
        <v>14</v>
      </c>
      <c r="W28" s="668">
        <f t="shared" si="14"/>
        <v>100</v>
      </c>
      <c r="X28" s="1265"/>
      <c r="Y28" s="344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0"/>
      <c r="Q29" s="1263" t="str">
        <f t="shared" si="11"/>
        <v>有无电梯</v>
      </c>
      <c r="R29" s="667" t="s">
        <v>14</v>
      </c>
      <c r="S29" s="668">
        <f t="shared" si="12"/>
        <v>100</v>
      </c>
      <c r="T29" s="667" t="s">
        <v>14</v>
      </c>
      <c r="U29" s="668">
        <f t="shared" si="13"/>
        <v>100</v>
      </c>
      <c r="V29" s="667" t="s">
        <v>14</v>
      </c>
      <c r="W29" s="668">
        <f t="shared" si="14"/>
        <v>100</v>
      </c>
      <c r="X29" s="1265"/>
      <c r="Y29" s="344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0"/>
      <c r="Q30" s="1263" t="str">
        <f t="shared" si="11"/>
        <v>建筑面积</v>
      </c>
      <c r="R30" s="667" t="s">
        <v>14</v>
      </c>
      <c r="S30" s="668" t="e">
        <f t="shared" si="12"/>
        <v>#N/A</v>
      </c>
      <c r="T30" s="667" t="s">
        <v>14</v>
      </c>
      <c r="U30" s="668" t="e">
        <f t="shared" si="13"/>
        <v>#N/A</v>
      </c>
      <c r="V30" s="667" t="s">
        <v>14</v>
      </c>
      <c r="W30" s="668" t="e">
        <f t="shared" si="14"/>
        <v>#N/A</v>
      </c>
      <c r="X30" s="1265"/>
      <c r="Y30" s="344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40"/>
      <c r="Q31" s="530" t="str">
        <f t="shared" si="11"/>
        <v>是否封闭</v>
      </c>
      <c r="R31" s="664" t="s">
        <v>14</v>
      </c>
      <c r="S31" s="665">
        <f t="shared" si="12"/>
        <v>100</v>
      </c>
      <c r="T31" s="664" t="s">
        <v>14</v>
      </c>
      <c r="U31" s="665">
        <f t="shared" si="13"/>
        <v>100</v>
      </c>
      <c r="V31" s="664" t="s">
        <v>14</v>
      </c>
      <c r="W31" s="665">
        <f t="shared" si="14"/>
        <v>100</v>
      </c>
      <c r="X31" s="666"/>
      <c r="Y31" s="344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0" t="s">
        <v>1696</v>
      </c>
      <c r="Q32" s="1263">
        <f t="shared" si="11"/>
        <v>111</v>
      </c>
      <c r="R32" s="667" t="s">
        <v>14</v>
      </c>
      <c r="S32" s="668">
        <f t="shared" si="12"/>
        <v>100</v>
      </c>
      <c r="T32" s="667" t="s">
        <v>14</v>
      </c>
      <c r="U32" s="668">
        <f t="shared" si="13"/>
        <v>100</v>
      </c>
      <c r="V32" s="667" t="s">
        <v>14</v>
      </c>
      <c r="W32" s="668">
        <f t="shared" si="14"/>
        <v>100</v>
      </c>
      <c r="X32" s="1265"/>
      <c r="Y32" s="344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0"/>
      <c r="Q33" s="1263">
        <f t="shared" si="11"/>
        <v>111</v>
      </c>
      <c r="R33" s="667" t="s">
        <v>14</v>
      </c>
      <c r="S33" s="668">
        <f t="shared" si="12"/>
        <v>100</v>
      </c>
      <c r="T33" s="667" t="s">
        <v>14</v>
      </c>
      <c r="U33" s="668">
        <f t="shared" si="13"/>
        <v>100</v>
      </c>
      <c r="V33" s="667" t="s">
        <v>14</v>
      </c>
      <c r="W33" s="668">
        <f t="shared" si="14"/>
        <v>100</v>
      </c>
      <c r="X33" s="1265"/>
      <c r="Y33" s="344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42" t="str">
        <f>A35</f>
        <v>成交单价（元/平方米）</v>
      </c>
      <c r="Q35" s="3442"/>
      <c r="R35" s="3406">
        <f>E35</f>
        <v>0</v>
      </c>
      <c r="S35" s="3406"/>
      <c r="T35" s="3406">
        <f>G35</f>
        <v>0</v>
      </c>
      <c r="U35" s="3406"/>
      <c r="V35" s="3406">
        <f>I35</f>
        <v>0</v>
      </c>
      <c r="W35" s="340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42" t="str">
        <f>A36</f>
        <v>比较价值（元/平方米）</v>
      </c>
      <c r="Q36" s="3442"/>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3" t="str">
        <f>A37</f>
        <v>估价对象XX用房的比较价值（楼面单价，元/平方米）</v>
      </c>
      <c r="Q37" s="3444"/>
      <c r="R37" s="3486" t="e">
        <f>IF(F1="售价",ROUND(IF(D36="简单平均",AVERAGE(R36:W36),R36*F36+T36*H36+V36*J36),0),ROUND(IF(D36="简单平均",AVERAGE(R36:V36),R36*F36+T36*H36+V36*J36),1))</f>
        <v>#DIV/0!</v>
      </c>
      <c r="S37" s="3486"/>
      <c r="T37" s="3486"/>
      <c r="U37" s="3486"/>
      <c r="V37" s="3486"/>
      <c r="W37" s="348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9" t="s">
        <v>1771</v>
      </c>
      <c r="S4" s="3410"/>
      <c r="T4" s="3409" t="s">
        <v>1772</v>
      </c>
      <c r="U4" s="3410"/>
      <c r="V4" s="3406" t="s">
        <v>1773</v>
      </c>
      <c r="W4" s="3406"/>
      <c r="X4" s="1265"/>
      <c r="Y4" s="3409" t="s">
        <v>1775</v>
      </c>
      <c r="Z4" s="3410"/>
      <c r="AA4" s="3403" t="s">
        <v>1771</v>
      </c>
      <c r="AB4" s="3404" t="s">
        <v>1772</v>
      </c>
      <c r="AC4" s="3403" t="s">
        <v>1773</v>
      </c>
    </row>
    <row r="5" spans="1:29">
      <c r="A5" s="348"/>
      <c r="B5" s="349"/>
      <c r="C5" s="3469" t="s">
        <v>1673</v>
      </c>
      <c r="D5" s="3414"/>
      <c r="E5" s="3467" t="s">
        <v>1674</v>
      </c>
      <c r="F5" s="3468"/>
      <c r="G5" s="3469" t="s">
        <v>1675</v>
      </c>
      <c r="H5" s="3414"/>
      <c r="I5" s="3469" t="s">
        <v>1676</v>
      </c>
      <c r="J5" s="3414"/>
      <c r="K5" s="537"/>
      <c r="L5" s="2484"/>
      <c r="M5" s="2485"/>
      <c r="N5" s="2485"/>
      <c r="O5" s="2485"/>
      <c r="P5" s="3426"/>
      <c r="Q5" s="3427"/>
      <c r="R5" s="3411"/>
      <c r="S5" s="3412"/>
      <c r="T5" s="3411"/>
      <c r="U5" s="3412"/>
      <c r="V5" s="3406"/>
      <c r="W5" s="3406"/>
      <c r="X5" s="1265"/>
      <c r="Y5" s="3411"/>
      <c r="Z5" s="3412"/>
      <c r="AA5" s="3404"/>
      <c r="AB5" s="3404"/>
      <c r="AC5" s="3404"/>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11"/>
      <c r="S6" s="3412"/>
      <c r="T6" s="3430"/>
      <c r="U6" s="3431"/>
      <c r="V6" s="3406"/>
      <c r="W6" s="3406"/>
      <c r="X6" s="1265"/>
      <c r="Y6" s="3430"/>
      <c r="Z6" s="3431"/>
      <c r="AA6" s="3405"/>
      <c r="AB6" s="3405"/>
      <c r="AC6" s="3405"/>
    </row>
    <row r="7" spans="1:29" s="102" customFormat="1" ht="15" thickBot="1">
      <c r="A7" s="352" t="s">
        <v>1679</v>
      </c>
      <c r="B7" s="353"/>
      <c r="C7" s="354">
        <f>'数据-取费表'!B2</f>
        <v>45811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7" t="s">
        <v>1680</v>
      </c>
      <c r="Q7" s="3432"/>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42"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442"/>
      <c r="Q10" s="530" t="str">
        <f t="shared" si="6"/>
        <v>土地使用年限（年）</v>
      </c>
      <c r="R10" s="664" t="s">
        <v>14</v>
      </c>
      <c r="S10" s="665">
        <f t="shared" si="0"/>
        <v>118</v>
      </c>
      <c r="T10" s="664" t="s">
        <v>14</v>
      </c>
      <c r="U10" s="665">
        <f t="shared" si="1"/>
        <v>118</v>
      </c>
      <c r="V10" s="664" t="s">
        <v>14</v>
      </c>
      <c r="W10" s="665">
        <f t="shared" si="2"/>
        <v>118</v>
      </c>
      <c r="X10" s="666"/>
      <c r="Y10" s="337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42"/>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42"/>
      <c r="Q12" s="530" t="str">
        <f t="shared" si="6"/>
        <v>配建</v>
      </c>
      <c r="R12" s="664" t="s">
        <v>14</v>
      </c>
      <c r="S12" s="665">
        <f t="shared" si="0"/>
        <v>100</v>
      </c>
      <c r="T12" s="664" t="s">
        <v>14</v>
      </c>
      <c r="U12" s="665">
        <f t="shared" si="1"/>
        <v>100</v>
      </c>
      <c r="V12" s="664" t="s">
        <v>14</v>
      </c>
      <c r="W12" s="665">
        <f t="shared" si="2"/>
        <v>100</v>
      </c>
      <c r="X12" s="666"/>
      <c r="Y12" s="33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42"/>
      <c r="Q13" s="530">
        <f t="shared" si="6"/>
        <v>111</v>
      </c>
      <c r="R13" s="664" t="s">
        <v>14</v>
      </c>
      <c r="S13" s="665">
        <f t="shared" si="0"/>
        <v>100</v>
      </c>
      <c r="T13" s="664" t="s">
        <v>14</v>
      </c>
      <c r="U13" s="665">
        <f t="shared" si="1"/>
        <v>100</v>
      </c>
      <c r="V13" s="664" t="s">
        <v>14</v>
      </c>
      <c r="W13" s="665">
        <f t="shared" si="2"/>
        <v>100</v>
      </c>
      <c r="X13" s="666"/>
      <c r="Y13" s="337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42"/>
      <c r="Q14" s="530">
        <f t="shared" si="6"/>
        <v>111</v>
      </c>
      <c r="R14" s="664" t="s">
        <v>14</v>
      </c>
      <c r="S14" s="665">
        <f t="shared" si="0"/>
        <v>100</v>
      </c>
      <c r="T14" s="664" t="s">
        <v>14</v>
      </c>
      <c r="U14" s="665">
        <f t="shared" si="1"/>
        <v>100</v>
      </c>
      <c r="V14" s="664" t="s">
        <v>14</v>
      </c>
      <c r="W14" s="665">
        <f t="shared" si="2"/>
        <v>100</v>
      </c>
      <c r="X14" s="666"/>
      <c r="Y14" s="337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5" t="s">
        <v>1691</v>
      </c>
      <c r="Q15" s="1263" t="str">
        <f t="shared" si="6"/>
        <v>居住社区成熟度</v>
      </c>
      <c r="R15" s="667" t="s">
        <v>14</v>
      </c>
      <c r="S15" s="668">
        <f t="shared" si="0"/>
        <v>100</v>
      </c>
      <c r="T15" s="667" t="s">
        <v>14</v>
      </c>
      <c r="U15" s="668">
        <f t="shared" si="1"/>
        <v>100</v>
      </c>
      <c r="V15" s="667" t="s">
        <v>14</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6"/>
      <c r="Q17" s="1263" t="str">
        <f>B17</f>
        <v>商业繁华度</v>
      </c>
      <c r="R17" s="667" t="s">
        <v>14</v>
      </c>
      <c r="S17" s="668">
        <f>F17</f>
        <v>100</v>
      </c>
      <c r="T17" s="667" t="s">
        <v>14</v>
      </c>
      <c r="U17" s="668">
        <f>H17</f>
        <v>100</v>
      </c>
      <c r="V17" s="667" t="s">
        <v>14</v>
      </c>
      <c r="W17" s="668">
        <f>J17</f>
        <v>100</v>
      </c>
      <c r="X17" s="1265"/>
      <c r="Y17" s="343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6"/>
      <c r="Q19" s="1263" t="str">
        <f>B19</f>
        <v>办公集聚程度</v>
      </c>
      <c r="R19" s="667" t="s">
        <v>14</v>
      </c>
      <c r="S19" s="668">
        <f>F19</f>
        <v>100</v>
      </c>
      <c r="T19" s="667" t="s">
        <v>14</v>
      </c>
      <c r="U19" s="668">
        <f>H19</f>
        <v>100</v>
      </c>
      <c r="V19" s="667" t="s">
        <v>14</v>
      </c>
      <c r="W19" s="668">
        <f>J19</f>
        <v>100</v>
      </c>
      <c r="X19" s="1265"/>
      <c r="Y19" s="343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6"/>
      <c r="Q20" s="1263"/>
      <c r="R20" s="667"/>
      <c r="S20" s="668"/>
      <c r="T20" s="667"/>
      <c r="U20" s="668"/>
      <c r="V20" s="667"/>
      <c r="W20" s="668"/>
      <c r="X20" s="1265"/>
      <c r="Y20" s="343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6"/>
      <c r="Q21" s="1263" t="str">
        <f>B21</f>
        <v>交通便捷度</v>
      </c>
      <c r="R21" s="667" t="s">
        <v>14</v>
      </c>
      <c r="S21" s="668">
        <f>F21</f>
        <v>100</v>
      </c>
      <c r="T21" s="667" t="s">
        <v>14</v>
      </c>
      <c r="U21" s="668">
        <f>H21</f>
        <v>100</v>
      </c>
      <c r="V21" s="667" t="s">
        <v>14</v>
      </c>
      <c r="W21" s="668">
        <f>J21</f>
        <v>100</v>
      </c>
      <c r="X21" s="1265"/>
      <c r="Y21" s="343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6"/>
      <c r="Q23" s="1263" t="str">
        <f t="shared" ref="Q23:Q37" si="8">B23</f>
        <v>区域土地利用方向</v>
      </c>
      <c r="R23" s="667" t="s">
        <v>14</v>
      </c>
      <c r="S23" s="668">
        <f>F23</f>
        <v>100</v>
      </c>
      <c r="T23" s="667" t="s">
        <v>14</v>
      </c>
      <c r="U23" s="668">
        <f>H23</f>
        <v>100</v>
      </c>
      <c r="V23" s="667" t="s">
        <v>14</v>
      </c>
      <c r="W23" s="668">
        <f>J23</f>
        <v>100</v>
      </c>
      <c r="X23" s="1265"/>
      <c r="Y23" s="343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6"/>
      <c r="Q24" s="1263"/>
      <c r="R24" s="667"/>
      <c r="S24" s="668"/>
      <c r="T24" s="667"/>
      <c r="U24" s="668"/>
      <c r="V24" s="667"/>
      <c r="W24" s="668"/>
      <c r="X24" s="1265"/>
      <c r="Y24" s="343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6"/>
      <c r="Q25" s="1263" t="str">
        <f t="shared" si="8"/>
        <v>自然及人文环境状况</v>
      </c>
      <c r="R25" s="667" t="s">
        <v>14</v>
      </c>
      <c r="S25" s="668">
        <f>F25</f>
        <v>100</v>
      </c>
      <c r="T25" s="667" t="s">
        <v>14</v>
      </c>
      <c r="U25" s="668">
        <f>H25</f>
        <v>100</v>
      </c>
      <c r="V25" s="667" t="s">
        <v>14</v>
      </c>
      <c r="W25" s="668">
        <f>J25</f>
        <v>100</v>
      </c>
      <c r="X25" s="1265"/>
      <c r="Y25" s="343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6"/>
      <c r="Q26" s="1263"/>
      <c r="R26" s="667"/>
      <c r="S26" s="668"/>
      <c r="T26" s="667"/>
      <c r="U26" s="668"/>
      <c r="V26" s="667"/>
      <c r="W26" s="668"/>
      <c r="X26" s="1265"/>
      <c r="Y26" s="343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6"/>
      <c r="Q27" s="530" t="str">
        <f t="shared" si="8"/>
        <v>公共配套设施</v>
      </c>
      <c r="R27" s="664" t="s">
        <v>14</v>
      </c>
      <c r="S27" s="665">
        <f>F27</f>
        <v>100</v>
      </c>
      <c r="T27" s="664" t="s">
        <v>14</v>
      </c>
      <c r="U27" s="665">
        <f>H27</f>
        <v>100</v>
      </c>
      <c r="V27" s="664" t="s">
        <v>14</v>
      </c>
      <c r="W27" s="665">
        <f>J27</f>
        <v>100</v>
      </c>
      <c r="X27" s="666"/>
      <c r="Y27" s="343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6"/>
      <c r="Q28" s="530"/>
      <c r="R28" s="664"/>
      <c r="S28" s="665"/>
      <c r="T28" s="664"/>
      <c r="U28" s="665"/>
      <c r="V28" s="664"/>
      <c r="W28" s="665"/>
      <c r="X28" s="666"/>
      <c r="Y28" s="343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6"/>
      <c r="Q29" s="530" t="str">
        <f t="shared" ref="Q29" si="9">B29</f>
        <v>基础设施水平</v>
      </c>
      <c r="R29" s="664" t="s">
        <v>14</v>
      </c>
      <c r="S29" s="665">
        <f>F29</f>
        <v>100</v>
      </c>
      <c r="T29" s="664" t="s">
        <v>14</v>
      </c>
      <c r="U29" s="665">
        <f>H29</f>
        <v>100</v>
      </c>
      <c r="V29" s="664" t="s">
        <v>14</v>
      </c>
      <c r="W29" s="665">
        <f>J29</f>
        <v>100</v>
      </c>
      <c r="X29" s="666"/>
      <c r="Y29" s="343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6"/>
      <c r="Q30" s="530"/>
      <c r="R30" s="664"/>
      <c r="S30" s="665"/>
      <c r="T30" s="664"/>
      <c r="U30" s="665"/>
      <c r="V30" s="664"/>
      <c r="W30" s="665"/>
      <c r="X30" s="666"/>
      <c r="Y30" s="343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6"/>
      <c r="Q32" s="1263" t="str">
        <f t="shared" si="8"/>
        <v>毗邻道路的类型与等级</v>
      </c>
      <c r="R32" s="667" t="s">
        <v>14</v>
      </c>
      <c r="S32" s="668">
        <f t="shared" si="10"/>
        <v>100</v>
      </c>
      <c r="T32" s="667" t="s">
        <v>14</v>
      </c>
      <c r="U32" s="668">
        <f t="shared" si="11"/>
        <v>100</v>
      </c>
      <c r="V32" s="667" t="s">
        <v>14</v>
      </c>
      <c r="W32" s="668">
        <f t="shared" si="12"/>
        <v>100</v>
      </c>
      <c r="X32" s="1265"/>
      <c r="Y32" s="343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6"/>
      <c r="Q33" s="1263"/>
      <c r="R33" s="667"/>
      <c r="S33" s="668"/>
      <c r="T33" s="667"/>
      <c r="U33" s="668"/>
      <c r="V33" s="667"/>
      <c r="W33" s="668"/>
      <c r="X33" s="1265"/>
      <c r="Y33" s="343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6"/>
      <c r="Q34" s="1263" t="str">
        <f t="shared" si="8"/>
        <v>土地级别</v>
      </c>
      <c r="R34" s="667" t="s">
        <v>14</v>
      </c>
      <c r="S34" s="668">
        <f t="shared" si="10"/>
        <v>100</v>
      </c>
      <c r="T34" s="667" t="s">
        <v>14</v>
      </c>
      <c r="U34" s="668">
        <f t="shared" si="11"/>
        <v>100</v>
      </c>
      <c r="V34" s="667" t="s">
        <v>14</v>
      </c>
      <c r="W34" s="668">
        <f t="shared" si="12"/>
        <v>100</v>
      </c>
      <c r="X34" s="1265"/>
      <c r="Y34" s="343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6"/>
      <c r="Q35" s="1263">
        <f t="shared" si="8"/>
        <v>111</v>
      </c>
      <c r="R35" s="667" t="s">
        <v>14</v>
      </c>
      <c r="S35" s="668">
        <f t="shared" si="10"/>
        <v>100</v>
      </c>
      <c r="T35" s="667" t="s">
        <v>14</v>
      </c>
      <c r="U35" s="668">
        <f t="shared" si="11"/>
        <v>100</v>
      </c>
      <c r="V35" s="667" t="s">
        <v>14</v>
      </c>
      <c r="W35" s="668">
        <f t="shared" si="12"/>
        <v>100</v>
      </c>
      <c r="X35" s="1265"/>
      <c r="Y35" s="343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5" t="s">
        <v>1696</v>
      </c>
      <c r="Q36" s="1263">
        <f t="shared" si="8"/>
        <v>111</v>
      </c>
      <c r="R36" s="667" t="s">
        <v>14</v>
      </c>
      <c r="S36" s="668">
        <f t="shared" si="10"/>
        <v>100</v>
      </c>
      <c r="T36" s="667" t="s">
        <v>14</v>
      </c>
      <c r="U36" s="668">
        <f t="shared" si="11"/>
        <v>100</v>
      </c>
      <c r="V36" s="667" t="s">
        <v>14</v>
      </c>
      <c r="W36" s="668">
        <f t="shared" si="12"/>
        <v>100</v>
      </c>
      <c r="X36" s="1265"/>
      <c r="Y36" s="344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0"/>
      <c r="Q37" s="1263">
        <f t="shared" si="8"/>
        <v>111</v>
      </c>
      <c r="R37" s="669" t="s">
        <v>14</v>
      </c>
      <c r="S37" s="670">
        <f t="shared" si="10"/>
        <v>100</v>
      </c>
      <c r="T37" s="669" t="s">
        <v>14</v>
      </c>
      <c r="U37" s="670">
        <f t="shared" si="11"/>
        <v>100</v>
      </c>
      <c r="V37" s="669" t="s">
        <v>14</v>
      </c>
      <c r="W37" s="670">
        <f t="shared" si="12"/>
        <v>100</v>
      </c>
      <c r="X37" s="671"/>
      <c r="Y37" s="344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0"/>
      <c r="Q38" s="1263" t="str">
        <f>B38</f>
        <v>宗地面积</v>
      </c>
      <c r="R38" s="667" t="s">
        <v>14</v>
      </c>
      <c r="S38" s="668" t="e">
        <f t="shared" si="10"/>
        <v>#N/A</v>
      </c>
      <c r="T38" s="667" t="s">
        <v>14</v>
      </c>
      <c r="U38" s="668" t="e">
        <f t="shared" si="11"/>
        <v>#N/A</v>
      </c>
      <c r="V38" s="667" t="s">
        <v>14</v>
      </c>
      <c r="W38" s="668" t="e">
        <f t="shared" si="12"/>
        <v>#N/A</v>
      </c>
      <c r="X38" s="1265"/>
      <c r="Y38" s="344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0"/>
      <c r="Q39" s="1263" t="str">
        <f t="shared" ref="Q39:Q45" si="14">B39</f>
        <v>宗地形状</v>
      </c>
      <c r="R39" s="667" t="s">
        <v>14</v>
      </c>
      <c r="S39" s="668">
        <f t="shared" si="10"/>
        <v>100</v>
      </c>
      <c r="T39" s="667" t="s">
        <v>14</v>
      </c>
      <c r="U39" s="668">
        <f t="shared" si="11"/>
        <v>100</v>
      </c>
      <c r="V39" s="667" t="s">
        <v>14</v>
      </c>
      <c r="W39" s="668">
        <f t="shared" si="12"/>
        <v>100</v>
      </c>
      <c r="X39" s="1265"/>
      <c r="Y39" s="344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0"/>
      <c r="Q40" s="1263" t="str">
        <f t="shared" si="14"/>
        <v>临街宽度及深度</v>
      </c>
      <c r="R40" s="667" t="s">
        <v>14</v>
      </c>
      <c r="S40" s="668">
        <f t="shared" si="10"/>
        <v>100</v>
      </c>
      <c r="T40" s="667" t="s">
        <v>14</v>
      </c>
      <c r="U40" s="668">
        <f t="shared" si="11"/>
        <v>100</v>
      </c>
      <c r="V40" s="667" t="s">
        <v>14</v>
      </c>
      <c r="W40" s="668">
        <f t="shared" si="12"/>
        <v>100</v>
      </c>
      <c r="X40" s="1265"/>
      <c r="Y40" s="344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40"/>
      <c r="Q41" s="1263" t="str">
        <f t="shared" si="14"/>
        <v>宗地开发程度</v>
      </c>
      <c r="R41" s="664" t="s">
        <v>14</v>
      </c>
      <c r="S41" s="665">
        <f t="shared" si="10"/>
        <v>100</v>
      </c>
      <c r="T41" s="664" t="s">
        <v>14</v>
      </c>
      <c r="U41" s="665">
        <f t="shared" si="11"/>
        <v>100</v>
      </c>
      <c r="V41" s="664" t="s">
        <v>14</v>
      </c>
      <c r="W41" s="665">
        <f t="shared" si="12"/>
        <v>100</v>
      </c>
      <c r="X41" s="666"/>
      <c r="Y41" s="344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0" t="s">
        <v>1696</v>
      </c>
      <c r="Q42" s="1263" t="str">
        <f t="shared" si="14"/>
        <v>工程地质条件</v>
      </c>
      <c r="R42" s="667" t="s">
        <v>14</v>
      </c>
      <c r="S42" s="668">
        <f t="shared" si="10"/>
        <v>100</v>
      </c>
      <c r="T42" s="667" t="s">
        <v>14</v>
      </c>
      <c r="U42" s="668">
        <f t="shared" si="11"/>
        <v>100</v>
      </c>
      <c r="V42" s="667" t="s">
        <v>14</v>
      </c>
      <c r="W42" s="668">
        <f t="shared" si="12"/>
        <v>100</v>
      </c>
      <c r="X42" s="1265"/>
      <c r="Y42" s="344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0"/>
      <c r="Q43" s="1263">
        <f t="shared" si="14"/>
        <v>111</v>
      </c>
      <c r="R43" s="667" t="s">
        <v>14</v>
      </c>
      <c r="S43" s="668">
        <f t="shared" si="10"/>
        <v>100</v>
      </c>
      <c r="T43" s="667" t="s">
        <v>14</v>
      </c>
      <c r="U43" s="668">
        <f t="shared" si="11"/>
        <v>100</v>
      </c>
      <c r="V43" s="667" t="s">
        <v>14</v>
      </c>
      <c r="W43" s="668">
        <f t="shared" si="12"/>
        <v>100</v>
      </c>
      <c r="X43" s="1265"/>
      <c r="Y43" s="344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0"/>
      <c r="Q44" s="1263">
        <f t="shared" si="14"/>
        <v>111</v>
      </c>
      <c r="R44" s="667" t="s">
        <v>14</v>
      </c>
      <c r="S44" s="668">
        <f t="shared" si="10"/>
        <v>100</v>
      </c>
      <c r="T44" s="667" t="s">
        <v>14</v>
      </c>
      <c r="U44" s="668">
        <f t="shared" si="11"/>
        <v>100</v>
      </c>
      <c r="V44" s="667" t="s">
        <v>14</v>
      </c>
      <c r="W44" s="668">
        <f t="shared" si="12"/>
        <v>100</v>
      </c>
      <c r="X44" s="1265"/>
      <c r="Y44" s="344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0"/>
      <c r="Q45" s="1263">
        <f t="shared" si="14"/>
        <v>111</v>
      </c>
      <c r="R45" s="669" t="s">
        <v>14</v>
      </c>
      <c r="S45" s="670">
        <f t="shared" si="10"/>
        <v>100</v>
      </c>
      <c r="T45" s="669" t="s">
        <v>14</v>
      </c>
      <c r="U45" s="670">
        <f t="shared" si="11"/>
        <v>100</v>
      </c>
      <c r="V45" s="669" t="s">
        <v>14</v>
      </c>
      <c r="W45" s="670">
        <f t="shared" si="12"/>
        <v>100</v>
      </c>
      <c r="X45" s="671"/>
      <c r="Y45" s="344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42" t="str">
        <f>A46</f>
        <v>成交单价</v>
      </c>
      <c r="Q46" s="3442"/>
      <c r="R46" s="3406">
        <f>E46</f>
        <v>0</v>
      </c>
      <c r="S46" s="3406"/>
      <c r="T46" s="3406">
        <f>G46</f>
        <v>0</v>
      </c>
      <c r="U46" s="3406"/>
      <c r="V46" s="3406">
        <f>I46</f>
        <v>0</v>
      </c>
      <c r="W46" s="340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42" t="str">
        <f>A47</f>
        <v>比较价值（元/平方米）</v>
      </c>
      <c r="Q47" s="3442"/>
      <c r="R47" s="3487" t="e">
        <f>ROUND(PRODUCT(R46,AA7:AA45),0)</f>
        <v>#DIV/0!</v>
      </c>
      <c r="S47" s="3487"/>
      <c r="T47" s="3487" t="e">
        <f>ROUND(PRODUCT(T46,AB7:AB45),0)</f>
        <v>#DIV/0!</v>
      </c>
      <c r="U47" s="3487"/>
      <c r="V47" s="3487" t="e">
        <f>ROUND(PRODUCT(V46,AC7:AC45),0)</f>
        <v>#DIV/0!</v>
      </c>
      <c r="W47" s="348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3" t="str">
        <f>A48</f>
        <v>估价对象XX用房的比较价值（楼面单价，元/平方米）</v>
      </c>
      <c r="Q48" s="3444"/>
      <c r="R48" s="3488" t="e">
        <f>ROUND(IF(D47="简单平均",AVERAGE(R47:W47),R47*F47+T47*H47+V47*J47),0)</f>
        <v>#DIV/0!</v>
      </c>
      <c r="S48" s="3488"/>
      <c r="T48" s="3488"/>
      <c r="U48" s="3488"/>
      <c r="V48" s="3488"/>
      <c r="W48" s="348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0" t="s">
        <v>1887</v>
      </c>
      <c r="H55" s="348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242.17</v>
      </c>
      <c r="F56" s="833" t="e">
        <f t="shared" ref="F56:F64" si="15">ROUND(B56*E56/10000,0)</f>
        <v>#DIV/0!</v>
      </c>
      <c r="G56" s="3419"/>
      <c r="H56" s="344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242.17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9" t="s">
        <v>1771</v>
      </c>
      <c r="S4" s="3410"/>
      <c r="T4" s="3409" t="s">
        <v>1772</v>
      </c>
      <c r="U4" s="3410"/>
      <c r="V4" s="3406" t="s">
        <v>1773</v>
      </c>
      <c r="W4" s="3406"/>
      <c r="X4" s="1265"/>
      <c r="Y4" s="3409" t="s">
        <v>1775</v>
      </c>
      <c r="Z4" s="3410"/>
      <c r="AA4" s="3403" t="s">
        <v>1771</v>
      </c>
      <c r="AB4" s="3404" t="s">
        <v>1772</v>
      </c>
      <c r="AC4" s="3403" t="s">
        <v>1773</v>
      </c>
    </row>
    <row r="5" spans="1:29">
      <c r="A5" s="348"/>
      <c r="B5" s="349"/>
      <c r="C5" s="3469" t="s">
        <v>1673</v>
      </c>
      <c r="D5" s="3414"/>
      <c r="E5" s="3467" t="s">
        <v>1674</v>
      </c>
      <c r="F5" s="3468"/>
      <c r="G5" s="3469" t="s">
        <v>1675</v>
      </c>
      <c r="H5" s="3414"/>
      <c r="I5" s="3469" t="s">
        <v>1676</v>
      </c>
      <c r="J5" s="3414"/>
      <c r="K5" s="537"/>
      <c r="L5" s="2484"/>
      <c r="M5" s="2485"/>
      <c r="N5" s="2485"/>
      <c r="O5" s="2485"/>
      <c r="P5" s="3426"/>
      <c r="Q5" s="3427"/>
      <c r="R5" s="3411"/>
      <c r="S5" s="3412"/>
      <c r="T5" s="3411"/>
      <c r="U5" s="3412"/>
      <c r="V5" s="3406"/>
      <c r="W5" s="3406"/>
      <c r="X5" s="1265"/>
      <c r="Y5" s="3411"/>
      <c r="Z5" s="3412"/>
      <c r="AA5" s="3404"/>
      <c r="AB5" s="3404"/>
      <c r="AC5" s="3404"/>
    </row>
    <row r="6" spans="1:29" ht="15" thickBot="1">
      <c r="A6" s="350"/>
      <c r="B6" s="351"/>
      <c r="C6" s="3490" t="s">
        <v>1919</v>
      </c>
      <c r="D6" s="3491"/>
      <c r="E6" s="3492" t="s">
        <v>1919</v>
      </c>
      <c r="F6" s="3493"/>
      <c r="G6" s="3490" t="s">
        <v>1919</v>
      </c>
      <c r="H6" s="3491"/>
      <c r="I6" s="3490" t="s">
        <v>1919</v>
      </c>
      <c r="J6" s="3491"/>
      <c r="K6" s="537" t="s">
        <v>1678</v>
      </c>
      <c r="L6" s="2484"/>
      <c r="M6" s="2485"/>
      <c r="N6" s="2485"/>
      <c r="O6" s="2485"/>
      <c r="P6" s="3428"/>
      <c r="Q6" s="3429"/>
      <c r="R6" s="3411"/>
      <c r="S6" s="3412"/>
      <c r="T6" s="3430"/>
      <c r="U6" s="3431"/>
      <c r="V6" s="3406"/>
      <c r="W6" s="3406"/>
      <c r="X6" s="1265"/>
      <c r="Y6" s="3430"/>
      <c r="Z6" s="3431"/>
      <c r="AA6" s="3405"/>
      <c r="AB6" s="3405"/>
      <c r="AC6" s="3405"/>
    </row>
    <row r="7" spans="1:29" s="102" customFormat="1" ht="15" thickBot="1">
      <c r="A7" s="352" t="s">
        <v>1679</v>
      </c>
      <c r="B7" s="353"/>
      <c r="C7" s="354">
        <f>'数据-取费表'!B2</f>
        <v>45811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7" t="s">
        <v>1680</v>
      </c>
      <c r="Q7" s="3432"/>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42"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442"/>
      <c r="Q10" s="530" t="str">
        <f t="shared" si="6"/>
        <v>土地使用年限（年）</v>
      </c>
      <c r="R10" s="664" t="s">
        <v>14</v>
      </c>
      <c r="S10" s="665">
        <f t="shared" si="0"/>
        <v>118</v>
      </c>
      <c r="T10" s="664" t="s">
        <v>14</v>
      </c>
      <c r="U10" s="665">
        <f t="shared" si="1"/>
        <v>118</v>
      </c>
      <c r="V10" s="664" t="s">
        <v>14</v>
      </c>
      <c r="W10" s="665">
        <f t="shared" si="2"/>
        <v>118</v>
      </c>
      <c r="X10" s="666"/>
      <c r="Y10" s="337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42"/>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42"/>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42"/>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42"/>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6"/>
      <c r="Q19" s="1263" t="str">
        <f t="shared" ref="Q19:Q33" si="8">B19</f>
        <v>区域土地利用方向</v>
      </c>
      <c r="R19" s="667" t="s">
        <v>14</v>
      </c>
      <c r="S19" s="668">
        <f>F19</f>
        <v>100</v>
      </c>
      <c r="T19" s="667" t="s">
        <v>14</v>
      </c>
      <c r="U19" s="668">
        <f>H19</f>
        <v>100</v>
      </c>
      <c r="V19" s="667" t="s">
        <v>14</v>
      </c>
      <c r="W19" s="668">
        <f>J19</f>
        <v>100</v>
      </c>
      <c r="X19" s="1265"/>
      <c r="Y19" s="343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6"/>
      <c r="Q20" s="1263"/>
      <c r="R20" s="667"/>
      <c r="S20" s="668"/>
      <c r="T20" s="667"/>
      <c r="U20" s="668"/>
      <c r="V20" s="667"/>
      <c r="W20" s="668"/>
      <c r="X20" s="1265"/>
      <c r="Y20" s="343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6"/>
      <c r="Q21" s="1263" t="str">
        <f t="shared" si="8"/>
        <v>环境状况</v>
      </c>
      <c r="R21" s="667" t="s">
        <v>14</v>
      </c>
      <c r="S21" s="668">
        <f>F21</f>
        <v>100</v>
      </c>
      <c r="T21" s="667" t="s">
        <v>14</v>
      </c>
      <c r="U21" s="668">
        <f>H21</f>
        <v>100</v>
      </c>
      <c r="V21" s="667" t="s">
        <v>14</v>
      </c>
      <c r="W21" s="668">
        <f>J21</f>
        <v>100</v>
      </c>
      <c r="X21" s="1265"/>
      <c r="Y21" s="343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6"/>
      <c r="Q23" s="530" t="str">
        <f t="shared" si="8"/>
        <v>公共配套设施</v>
      </c>
      <c r="R23" s="664" t="s">
        <v>14</v>
      </c>
      <c r="S23" s="665">
        <f>F23</f>
        <v>100</v>
      </c>
      <c r="T23" s="664" t="s">
        <v>14</v>
      </c>
      <c r="U23" s="665">
        <f>H23</f>
        <v>100</v>
      </c>
      <c r="V23" s="664" t="s">
        <v>14</v>
      </c>
      <c r="W23" s="665">
        <f>J23</f>
        <v>100</v>
      </c>
      <c r="X23" s="666"/>
      <c r="Y23" s="343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6"/>
      <c r="Q24" s="530"/>
      <c r="R24" s="664"/>
      <c r="S24" s="665"/>
      <c r="T24" s="664"/>
      <c r="U24" s="665"/>
      <c r="V24" s="664"/>
      <c r="W24" s="665"/>
      <c r="X24" s="666"/>
      <c r="Y24" s="343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6"/>
      <c r="Q25" s="530" t="str">
        <f t="shared" ref="Q25" si="9">B25</f>
        <v>基础设施水平</v>
      </c>
      <c r="R25" s="664" t="s">
        <v>14</v>
      </c>
      <c r="S25" s="665">
        <f>F25</f>
        <v>100</v>
      </c>
      <c r="T25" s="664" t="s">
        <v>14</v>
      </c>
      <c r="U25" s="665">
        <f>H25</f>
        <v>100</v>
      </c>
      <c r="V25" s="664" t="s">
        <v>14</v>
      </c>
      <c r="W25" s="665">
        <f>J25</f>
        <v>100</v>
      </c>
      <c r="X25" s="666"/>
      <c r="Y25" s="343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6"/>
      <c r="Q26" s="530"/>
      <c r="R26" s="664"/>
      <c r="S26" s="665"/>
      <c r="T26" s="664"/>
      <c r="U26" s="665"/>
      <c r="V26" s="664"/>
      <c r="W26" s="665"/>
      <c r="X26" s="666"/>
      <c r="Y26" s="343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6"/>
      <c r="Q28" s="1263" t="str">
        <f t="shared" si="8"/>
        <v>毗邻道路的类型与等级</v>
      </c>
      <c r="R28" s="667" t="s">
        <v>14</v>
      </c>
      <c r="S28" s="668">
        <f t="shared" si="10"/>
        <v>100</v>
      </c>
      <c r="T28" s="667" t="s">
        <v>14</v>
      </c>
      <c r="U28" s="668">
        <f t="shared" si="11"/>
        <v>100</v>
      </c>
      <c r="V28" s="667" t="s">
        <v>14</v>
      </c>
      <c r="W28" s="668">
        <f t="shared" si="12"/>
        <v>100</v>
      </c>
      <c r="X28" s="1265"/>
      <c r="Y28" s="343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6"/>
      <c r="Q29" s="1263"/>
      <c r="R29" s="667"/>
      <c r="S29" s="668"/>
      <c r="T29" s="667"/>
      <c r="U29" s="668"/>
      <c r="V29" s="667"/>
      <c r="W29" s="668"/>
      <c r="X29" s="1265"/>
      <c r="Y29" s="343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6"/>
      <c r="Q30" s="1263" t="str">
        <f t="shared" si="8"/>
        <v>土地级别</v>
      </c>
      <c r="R30" s="667" t="s">
        <v>14</v>
      </c>
      <c r="S30" s="668">
        <f t="shared" si="10"/>
        <v>100</v>
      </c>
      <c r="T30" s="667" t="s">
        <v>14</v>
      </c>
      <c r="U30" s="668">
        <f t="shared" si="11"/>
        <v>100</v>
      </c>
      <c r="V30" s="667" t="s">
        <v>14</v>
      </c>
      <c r="W30" s="668">
        <f t="shared" si="12"/>
        <v>100</v>
      </c>
      <c r="X30" s="1265"/>
      <c r="Y30" s="343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6"/>
      <c r="Q31" s="1263">
        <f t="shared" si="8"/>
        <v>111</v>
      </c>
      <c r="R31" s="667" t="s">
        <v>14</v>
      </c>
      <c r="S31" s="668">
        <f t="shared" si="10"/>
        <v>100</v>
      </c>
      <c r="T31" s="667" t="s">
        <v>14</v>
      </c>
      <c r="U31" s="668">
        <f t="shared" si="11"/>
        <v>100</v>
      </c>
      <c r="V31" s="667" t="s">
        <v>14</v>
      </c>
      <c r="W31" s="668">
        <f t="shared" si="12"/>
        <v>100</v>
      </c>
      <c r="X31" s="1265"/>
      <c r="Y31" s="343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5" t="s">
        <v>1696</v>
      </c>
      <c r="Q32" s="1263">
        <f t="shared" si="8"/>
        <v>111</v>
      </c>
      <c r="R32" s="667" t="s">
        <v>14</v>
      </c>
      <c r="S32" s="668">
        <f t="shared" si="10"/>
        <v>100</v>
      </c>
      <c r="T32" s="667" t="s">
        <v>14</v>
      </c>
      <c r="U32" s="668">
        <f t="shared" si="11"/>
        <v>100</v>
      </c>
      <c r="V32" s="667" t="s">
        <v>14</v>
      </c>
      <c r="W32" s="668">
        <f t="shared" si="12"/>
        <v>100</v>
      </c>
      <c r="X32" s="1265"/>
      <c r="Y32" s="344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0"/>
      <c r="Q33" s="1263">
        <f t="shared" si="8"/>
        <v>111</v>
      </c>
      <c r="R33" s="669" t="s">
        <v>14</v>
      </c>
      <c r="S33" s="670">
        <f t="shared" si="10"/>
        <v>100</v>
      </c>
      <c r="T33" s="669" t="s">
        <v>14</v>
      </c>
      <c r="U33" s="670">
        <f t="shared" si="11"/>
        <v>100</v>
      </c>
      <c r="V33" s="669" t="s">
        <v>14</v>
      </c>
      <c r="W33" s="670">
        <f t="shared" si="12"/>
        <v>100</v>
      </c>
      <c r="X33" s="671"/>
      <c r="Y33" s="344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0"/>
      <c r="Q34" s="1263" t="str">
        <f>B34</f>
        <v>宗地面积</v>
      </c>
      <c r="R34" s="667" t="s">
        <v>14</v>
      </c>
      <c r="S34" s="668" t="e">
        <f t="shared" si="10"/>
        <v>#N/A</v>
      </c>
      <c r="T34" s="667" t="s">
        <v>14</v>
      </c>
      <c r="U34" s="668" t="e">
        <f t="shared" si="11"/>
        <v>#N/A</v>
      </c>
      <c r="V34" s="667" t="s">
        <v>14</v>
      </c>
      <c r="W34" s="668" t="e">
        <f t="shared" si="12"/>
        <v>#N/A</v>
      </c>
      <c r="X34" s="1265"/>
      <c r="Y34" s="344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0"/>
      <c r="Q35" s="1263" t="str">
        <f t="shared" ref="Q35:Q40" si="14">B35</f>
        <v>宗地形状</v>
      </c>
      <c r="R35" s="667" t="s">
        <v>14</v>
      </c>
      <c r="S35" s="668">
        <f t="shared" si="10"/>
        <v>100</v>
      </c>
      <c r="T35" s="667" t="s">
        <v>14</v>
      </c>
      <c r="U35" s="668">
        <f t="shared" si="11"/>
        <v>100</v>
      </c>
      <c r="V35" s="667" t="s">
        <v>14</v>
      </c>
      <c r="W35" s="668">
        <f t="shared" si="12"/>
        <v>100</v>
      </c>
      <c r="X35" s="1265"/>
      <c r="Y35" s="344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40"/>
      <c r="Q36" s="1263" t="str">
        <f t="shared" si="14"/>
        <v>宗地开发程度</v>
      </c>
      <c r="R36" s="664" t="s">
        <v>14</v>
      </c>
      <c r="S36" s="665">
        <f t="shared" si="10"/>
        <v>100</v>
      </c>
      <c r="T36" s="664" t="s">
        <v>14</v>
      </c>
      <c r="U36" s="665">
        <f t="shared" si="11"/>
        <v>100</v>
      </c>
      <c r="V36" s="664" t="s">
        <v>14</v>
      </c>
      <c r="W36" s="665">
        <f t="shared" si="12"/>
        <v>100</v>
      </c>
      <c r="X36" s="666"/>
      <c r="Y36" s="344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0" t="s">
        <v>1696</v>
      </c>
      <c r="Q37" s="1263" t="str">
        <f t="shared" si="14"/>
        <v>工程地质条件</v>
      </c>
      <c r="R37" s="667" t="s">
        <v>14</v>
      </c>
      <c r="S37" s="668">
        <f t="shared" si="10"/>
        <v>100</v>
      </c>
      <c r="T37" s="667" t="s">
        <v>14</v>
      </c>
      <c r="U37" s="668">
        <f t="shared" si="11"/>
        <v>100</v>
      </c>
      <c r="V37" s="667" t="s">
        <v>14</v>
      </c>
      <c r="W37" s="668">
        <f t="shared" si="12"/>
        <v>100</v>
      </c>
      <c r="X37" s="1265"/>
      <c r="Y37" s="344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0"/>
      <c r="Q38" s="1263">
        <f t="shared" si="14"/>
        <v>111</v>
      </c>
      <c r="R38" s="667" t="s">
        <v>14</v>
      </c>
      <c r="S38" s="668">
        <f t="shared" si="10"/>
        <v>100</v>
      </c>
      <c r="T38" s="667" t="s">
        <v>14</v>
      </c>
      <c r="U38" s="668">
        <f t="shared" si="11"/>
        <v>100</v>
      </c>
      <c r="V38" s="667" t="s">
        <v>14</v>
      </c>
      <c r="W38" s="668">
        <f t="shared" si="12"/>
        <v>100</v>
      </c>
      <c r="X38" s="1265"/>
      <c r="Y38" s="344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0"/>
      <c r="Q39" s="1263">
        <f t="shared" si="14"/>
        <v>111</v>
      </c>
      <c r="R39" s="667" t="s">
        <v>14</v>
      </c>
      <c r="S39" s="668">
        <f t="shared" si="10"/>
        <v>100</v>
      </c>
      <c r="T39" s="667" t="s">
        <v>14</v>
      </c>
      <c r="U39" s="668">
        <f t="shared" si="11"/>
        <v>100</v>
      </c>
      <c r="V39" s="667" t="s">
        <v>14</v>
      </c>
      <c r="W39" s="668">
        <f t="shared" si="12"/>
        <v>100</v>
      </c>
      <c r="X39" s="1265"/>
      <c r="Y39" s="344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0"/>
      <c r="Q40" s="1263">
        <f t="shared" si="14"/>
        <v>111</v>
      </c>
      <c r="R40" s="669" t="s">
        <v>14</v>
      </c>
      <c r="S40" s="670">
        <f t="shared" si="10"/>
        <v>100</v>
      </c>
      <c r="T40" s="669" t="s">
        <v>14</v>
      </c>
      <c r="U40" s="670">
        <f t="shared" si="11"/>
        <v>100</v>
      </c>
      <c r="V40" s="669" t="s">
        <v>14</v>
      </c>
      <c r="W40" s="670">
        <f t="shared" si="12"/>
        <v>100</v>
      </c>
      <c r="X40" s="671"/>
      <c r="Y40" s="344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42" t="str">
        <f>A41</f>
        <v>成交单价</v>
      </c>
      <c r="Q41" s="3442"/>
      <c r="R41" s="3406">
        <f>E41</f>
        <v>0</v>
      </c>
      <c r="S41" s="3406"/>
      <c r="T41" s="3406">
        <f>G41</f>
        <v>0</v>
      </c>
      <c r="U41" s="3406"/>
      <c r="V41" s="3406">
        <f>I41</f>
        <v>0</v>
      </c>
      <c r="W41" s="340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42" t="str">
        <f>A42</f>
        <v>比较价值（元/平方米）</v>
      </c>
      <c r="Q42" s="3442"/>
      <c r="R42" s="3487" t="e">
        <f>ROUND(PRODUCT(R41,AA7:AA40),0)</f>
        <v>#DIV/0!</v>
      </c>
      <c r="S42" s="3487"/>
      <c r="T42" s="3487" t="e">
        <f>ROUND(PRODUCT(T41,AB7:AB40),0)</f>
        <v>#DIV/0!</v>
      </c>
      <c r="U42" s="3487"/>
      <c r="V42" s="3487" t="e">
        <f>ROUND(PRODUCT(V41,AC7:AC40),0)</f>
        <v>#DIV/0!</v>
      </c>
      <c r="W42" s="348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3" t="str">
        <f>A43</f>
        <v>估价对象XX用房的比较价值（楼面单价，元/平方米）</v>
      </c>
      <c r="Q43" s="3444"/>
      <c r="R43" s="3488" t="e">
        <f>ROUND(IF(D42="简单平均",AVERAGE(R42:W42),R42*F42+T42*H42+V42*J42),0)</f>
        <v>#DIV/0!</v>
      </c>
      <c r="S43" s="3488"/>
      <c r="T43" s="3488"/>
      <c r="U43" s="3488"/>
      <c r="V43" s="3488"/>
      <c r="W43" s="348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0" t="s">
        <v>1887</v>
      </c>
      <c r="H50" s="348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242.17</v>
      </c>
      <c r="F51" s="611" t="e">
        <f t="shared" ref="F51:F60" si="15">ROUND(B51*E51/10000,0)</f>
        <v>#DIV/0!</v>
      </c>
      <c r="G51" s="3419"/>
      <c r="H51" s="344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7" t="s">
        <v>2084</v>
      </c>
      <c r="D1" s="3498"/>
      <c r="E1" s="3498"/>
      <c r="F1" s="3498"/>
      <c r="G1" s="3498"/>
      <c r="H1" s="3498"/>
      <c r="I1" s="3498"/>
      <c r="J1" s="3498"/>
      <c r="K1" s="3498"/>
      <c r="L1" s="3498"/>
      <c r="M1" s="3498"/>
      <c r="N1" s="3498"/>
      <c r="O1" s="3498"/>
      <c r="P1" s="3498"/>
      <c r="Q1" s="3498"/>
      <c r="R1" s="3498"/>
      <c r="S1" s="349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4" t="s">
        <v>27</v>
      </c>
      <c r="D22" s="3495"/>
      <c r="E22" s="3495"/>
      <c r="F22" s="3495"/>
      <c r="G22" s="3495"/>
      <c r="H22" s="3495"/>
      <c r="I22" s="3495"/>
      <c r="J22" s="3495"/>
      <c r="K22" s="3495"/>
      <c r="L22" s="3495"/>
      <c r="M22" s="3495"/>
      <c r="N22" s="3495"/>
      <c r="O22" s="3495"/>
      <c r="P22" s="3495"/>
      <c r="Q22" s="34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507"/>
      <c r="B4" s="3508"/>
      <c r="C4" s="3508"/>
      <c r="D4" s="3509"/>
      <c r="E4" s="3509"/>
      <c r="F4" s="3509"/>
      <c r="G4" s="3509"/>
      <c r="H4" s="3509"/>
      <c r="I4" s="3509"/>
      <c r="J4" s="351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504" t="s">
        <v>1960</v>
      </c>
      <c r="X8" s="350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506"/>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50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t="e">
        <f>ROUND(G18/I18,2)</f>
        <v>#DIV/0!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11" t="s">
        <v>3254</v>
      </c>
      <c r="B20" s="159" t="s">
        <v>1994</v>
      </c>
      <c r="C20" s="3029" t="e">
        <f>ROUND(IF(F21="与级别开发程度一致",0,(G21-E21)/C21),0)</f>
        <v>#DIV/0!</v>
      </c>
      <c r="D20" s="3044" t="s">
        <v>1998</v>
      </c>
      <c r="E20" s="3045"/>
      <c r="F20" s="3517" t="s">
        <v>1995</v>
      </c>
      <c r="G20" s="3518"/>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4" thickBot="1">
      <c r="A21" s="351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45811</v>
      </c>
      <c r="H23" s="3046" t="s">
        <v>3256</v>
      </c>
      <c r="I23" s="3047" t="str">
        <f>IF(H23="季度增幅（自定义）",SUMIF(N25:N28,E2,O25:O28),"")</f>
        <v/>
      </c>
      <c r="J23" s="3139" t="s">
        <v>3255</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1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1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50" t="s">
        <v>3289</v>
      </c>
      <c r="K92" s="2150" t="s">
        <v>3290</v>
      </c>
      <c r="L92" s="2150" t="s">
        <v>3291</v>
      </c>
      <c r="M92" s="2150" t="s">
        <v>3292</v>
      </c>
      <c r="N92" s="2150"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13" t="s">
        <v>3294</v>
      </c>
      <c r="B103" s="3513"/>
      <c r="C103" s="3513"/>
      <c r="D103" s="3513"/>
      <c r="E103" s="3513"/>
      <c r="F103" s="3513"/>
      <c r="G103" s="3513"/>
      <c r="H103" s="3513"/>
      <c r="I103" s="3513"/>
      <c r="J103" s="3513"/>
      <c r="K103" s="1667"/>
      <c r="L103" s="1667"/>
      <c r="M103" s="1667"/>
      <c r="N103" s="1667"/>
    </row>
    <row r="104" spans="1:14">
      <c r="A104" s="3514" t="s">
        <v>3295</v>
      </c>
      <c r="B104" s="3514" t="s">
        <v>3296</v>
      </c>
      <c r="C104" s="3088" t="s">
        <v>3297</v>
      </c>
      <c r="D104" s="3089"/>
      <c r="E104" s="3089"/>
      <c r="F104" s="3089"/>
      <c r="G104" s="3089"/>
      <c r="H104" s="3089"/>
      <c r="I104" s="3089"/>
      <c r="J104" s="3090"/>
      <c r="K104" s="3091"/>
      <c r="L104" s="3091"/>
      <c r="M104" s="3091"/>
      <c r="N104" s="3091"/>
    </row>
    <row r="105" spans="1:14">
      <c r="A105" s="3514"/>
      <c r="B105" s="3514"/>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500"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1"/>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0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03" t="s">
        <v>3311</v>
      </c>
      <c r="B113" s="3503"/>
      <c r="C113" s="3503"/>
      <c r="D113" s="3503"/>
      <c r="E113" s="3503"/>
      <c r="F113" s="3503"/>
      <c r="G113" s="3503"/>
      <c r="H113" s="3503"/>
      <c r="I113" s="3503"/>
      <c r="J113" s="350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0</v>
      </c>
      <c r="C116" s="3097" t="s">
        <v>3313</v>
      </c>
      <c r="D116" s="3098">
        <f>SUMPRODUCT((A118:A122=F116)*(B117:M117=H116)*B118:M122)</f>
        <v>0</v>
      </c>
      <c r="E116" s="162" t="s">
        <v>3314</v>
      </c>
      <c r="F116" s="3099">
        <f>E2</f>
        <v>0</v>
      </c>
      <c r="G116" s="162" t="s">
        <v>3315</v>
      </c>
      <c r="H116" s="3099">
        <f>G2</f>
        <v>0</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26" t="s">
        <v>2607</v>
      </c>
      <c r="B20" s="3519" t="s">
        <v>2628</v>
      </c>
      <c r="C20" s="2840" t="s">
        <v>2439</v>
      </c>
      <c r="D20" s="2841"/>
      <c r="E20" s="2842">
        <v>1</v>
      </c>
      <c r="F20" s="2843" t="s">
        <v>2440</v>
      </c>
      <c r="G20" s="2843"/>
    </row>
    <row r="21" spans="1:13" ht="19.5" customHeight="1">
      <c r="A21" s="3527"/>
      <c r="B21" s="3520"/>
      <c r="C21" s="2844" t="s">
        <v>2441</v>
      </c>
      <c r="D21" s="2845"/>
      <c r="E21" s="2846">
        <v>1</v>
      </c>
      <c r="F21" s="2843" t="s">
        <v>2442</v>
      </c>
      <c r="G21" s="2843"/>
    </row>
    <row r="22" spans="1:13" ht="19.5" customHeight="1">
      <c r="A22" s="3527"/>
      <c r="B22" s="3520"/>
      <c r="C22" s="2844" t="s">
        <v>2443</v>
      </c>
      <c r="D22" s="2845"/>
      <c r="E22" s="2846">
        <v>0.9</v>
      </c>
      <c r="F22" s="2843" t="s">
        <v>2444</v>
      </c>
      <c r="G22" s="2843"/>
    </row>
    <row r="23" spans="1:13" ht="19.5" customHeight="1">
      <c r="A23" s="3527"/>
      <c r="B23" s="3520"/>
      <c r="C23" s="2844" t="s">
        <v>2445</v>
      </c>
      <c r="D23" s="2845"/>
      <c r="E23" s="2846">
        <v>0.9</v>
      </c>
      <c r="F23" s="2843" t="s">
        <v>2446</v>
      </c>
      <c r="G23" s="2843"/>
    </row>
    <row r="24" spans="1:13" ht="19.5" customHeight="1">
      <c r="A24" s="3527"/>
      <c r="B24" s="3520"/>
      <c r="C24" s="2844" t="s">
        <v>2447</v>
      </c>
      <c r="D24" s="2845"/>
      <c r="E24" s="2846">
        <v>0.8</v>
      </c>
      <c r="F24" s="2843" t="s">
        <v>2448</v>
      </c>
      <c r="G24" s="2843"/>
    </row>
    <row r="25" spans="1:13" ht="19.5" customHeight="1" thickBot="1">
      <c r="A25" s="3528"/>
      <c r="B25" s="3521"/>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22" t="s">
        <v>2631</v>
      </c>
      <c r="B27" s="3519" t="s">
        <v>2612</v>
      </c>
      <c r="C27" s="2840" t="s">
        <v>2452</v>
      </c>
      <c r="D27" s="2841"/>
      <c r="E27" s="2842">
        <v>1</v>
      </c>
      <c r="F27" s="2843" t="s">
        <v>2453</v>
      </c>
      <c r="G27" s="2843"/>
    </row>
    <row r="28" spans="1:13" ht="19.5" customHeight="1">
      <c r="A28" s="3523"/>
      <c r="B28" s="3520"/>
      <c r="C28" s="2844" t="s">
        <v>2454</v>
      </c>
      <c r="D28" s="2845"/>
      <c r="E28" s="2846">
        <v>1</v>
      </c>
      <c r="F28" s="2843" t="s">
        <v>2455</v>
      </c>
      <c r="G28" s="2843"/>
    </row>
    <row r="29" spans="1:13" ht="19.5" customHeight="1">
      <c r="A29" s="3523"/>
      <c r="B29" s="3520"/>
      <c r="C29" s="2844" t="s">
        <v>2456</v>
      </c>
      <c r="D29" s="2845"/>
      <c r="E29" s="2846">
        <v>0.8</v>
      </c>
      <c r="F29" s="2843" t="s">
        <v>2457</v>
      </c>
      <c r="G29" s="2843"/>
    </row>
    <row r="30" spans="1:13" ht="19.5" customHeight="1">
      <c r="A30" s="3523"/>
      <c r="B30" s="3520"/>
      <c r="C30" s="2844" t="s">
        <v>2458</v>
      </c>
      <c r="D30" s="2845"/>
      <c r="E30" s="2846">
        <v>0.8</v>
      </c>
      <c r="F30" s="2843" t="s">
        <v>2459</v>
      </c>
      <c r="G30" s="2843"/>
    </row>
    <row r="31" spans="1:13" ht="19.5" customHeight="1">
      <c r="A31" s="3523"/>
      <c r="B31" s="3520"/>
      <c r="C31" s="2844" t="s">
        <v>2460</v>
      </c>
      <c r="D31" s="2845"/>
      <c r="E31" s="2846">
        <v>0.8</v>
      </c>
      <c r="F31" s="2843" t="s">
        <v>2461</v>
      </c>
      <c r="G31" s="2843"/>
    </row>
    <row r="32" spans="1:13" ht="19.5" customHeight="1">
      <c r="A32" s="3523"/>
      <c r="B32" s="3520"/>
      <c r="C32" s="2844" t="s">
        <v>2462</v>
      </c>
      <c r="D32" s="2845"/>
      <c r="E32" s="2846">
        <v>0.7</v>
      </c>
      <c r="F32" s="2843" t="s">
        <v>2463</v>
      </c>
      <c r="G32" s="2843"/>
    </row>
    <row r="33" spans="1:7" ht="19.5" customHeight="1">
      <c r="A33" s="3523"/>
      <c r="B33" s="3520"/>
      <c r="C33" s="2844" t="s">
        <v>2464</v>
      </c>
      <c r="D33" s="2845"/>
      <c r="E33" s="2846">
        <v>0.8</v>
      </c>
      <c r="F33" s="2843" t="s">
        <v>2465</v>
      </c>
      <c r="G33" s="2843"/>
    </row>
    <row r="34" spans="1:7" ht="19.5" customHeight="1">
      <c r="A34" s="3523"/>
      <c r="B34" s="3520"/>
      <c r="C34" s="2844" t="s">
        <v>2466</v>
      </c>
      <c r="D34" s="2845"/>
      <c r="E34" s="2846">
        <v>0.6</v>
      </c>
      <c r="F34" s="2843" t="s">
        <v>2467</v>
      </c>
      <c r="G34" s="2843"/>
    </row>
    <row r="35" spans="1:7" ht="19.5" customHeight="1">
      <c r="A35" s="3523"/>
      <c r="B35" s="3520"/>
      <c r="C35" s="2844" t="s">
        <v>2468</v>
      </c>
      <c r="D35" s="2845"/>
      <c r="E35" s="2846">
        <v>0.2</v>
      </c>
      <c r="F35" s="2843" t="s">
        <v>2469</v>
      </c>
      <c r="G35" s="2843"/>
    </row>
    <row r="36" spans="1:7" ht="19.5" customHeight="1">
      <c r="A36" s="3523"/>
      <c r="B36" s="3520"/>
      <c r="C36" s="2844" t="s">
        <v>2470</v>
      </c>
      <c r="D36" s="2845"/>
      <c r="E36" s="2846">
        <v>0.2</v>
      </c>
      <c r="F36" s="2843" t="s">
        <v>2471</v>
      </c>
      <c r="G36" s="2843"/>
    </row>
    <row r="37" spans="1:7" ht="19.5" customHeight="1">
      <c r="A37" s="3523"/>
      <c r="B37" s="3525" t="s">
        <v>2632</v>
      </c>
      <c r="C37" s="2844" t="s">
        <v>2472</v>
      </c>
      <c r="D37" s="2845"/>
      <c r="E37" s="2846">
        <v>0.6</v>
      </c>
      <c r="F37" s="2843" t="s">
        <v>2473</v>
      </c>
      <c r="G37" s="2843"/>
    </row>
    <row r="38" spans="1:7" ht="19.5" customHeight="1">
      <c r="A38" s="3523"/>
      <c r="B38" s="3520"/>
      <c r="C38" s="2844" t="s">
        <v>2474</v>
      </c>
      <c r="D38" s="2845"/>
      <c r="E38" s="2846">
        <v>0.6</v>
      </c>
      <c r="F38" s="2843" t="s">
        <v>2475</v>
      </c>
      <c r="G38" s="2843"/>
    </row>
    <row r="39" spans="1:7" ht="19.5" customHeight="1" thickBot="1">
      <c r="A39" s="3524"/>
      <c r="B39" s="3521"/>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26" t="s">
        <v>2610</v>
      </c>
      <c r="B41" s="3519" t="s">
        <v>2634</v>
      </c>
      <c r="C41" s="2840" t="s">
        <v>2479</v>
      </c>
      <c r="D41" s="2841"/>
      <c r="E41" s="2842">
        <v>1</v>
      </c>
      <c r="F41" s="2843" t="s">
        <v>2480</v>
      </c>
      <c r="G41" s="2843"/>
    </row>
    <row r="42" spans="1:7" ht="19.5" customHeight="1">
      <c r="A42" s="3527"/>
      <c r="B42" s="3520"/>
      <c r="C42" s="2844" t="s">
        <v>2481</v>
      </c>
      <c r="D42" s="2845"/>
      <c r="E42" s="2846">
        <v>1</v>
      </c>
      <c r="F42" s="2843" t="s">
        <v>2482</v>
      </c>
      <c r="G42" s="2843"/>
    </row>
    <row r="43" spans="1:7" ht="19.5" customHeight="1">
      <c r="A43" s="3527"/>
      <c r="B43" s="3529"/>
      <c r="C43" s="2844" t="s">
        <v>2483</v>
      </c>
      <c r="D43" s="2845"/>
      <c r="E43" s="2846">
        <v>1.5</v>
      </c>
      <c r="F43" s="2843" t="s">
        <v>2484</v>
      </c>
      <c r="G43" s="2843"/>
    </row>
    <row r="44" spans="1:7" ht="19.5" customHeight="1">
      <c r="A44" s="3527"/>
      <c r="B44" s="2855" t="s">
        <v>2635</v>
      </c>
      <c r="C44" s="2844" t="s">
        <v>2636</v>
      </c>
      <c r="D44" s="2845"/>
      <c r="E44" s="2846">
        <v>2</v>
      </c>
      <c r="F44" s="2843" t="s">
        <v>2485</v>
      </c>
      <c r="G44" s="2843"/>
    </row>
    <row r="45" spans="1:7" ht="19.5" customHeight="1">
      <c r="A45" s="3527"/>
      <c r="B45" s="3525" t="s">
        <v>2637</v>
      </c>
      <c r="C45" s="2844" t="s">
        <v>2486</v>
      </c>
      <c r="D45" s="2845"/>
      <c r="E45" s="2846">
        <v>1</v>
      </c>
      <c r="F45" s="2843" t="s">
        <v>2487</v>
      </c>
      <c r="G45" s="2843"/>
    </row>
    <row r="46" spans="1:7" ht="19.5" customHeight="1">
      <c r="A46" s="3527"/>
      <c r="B46" s="3520"/>
      <c r="C46" s="2844" t="s">
        <v>2488</v>
      </c>
      <c r="D46" s="2845"/>
      <c r="E46" s="2846">
        <v>1</v>
      </c>
      <c r="F46" s="2843" t="s">
        <v>2489</v>
      </c>
      <c r="G46" s="2843"/>
    </row>
    <row r="47" spans="1:7" ht="19.5" customHeight="1">
      <c r="A47" s="3527"/>
      <c r="B47" s="3520"/>
      <c r="C47" s="2844" t="s">
        <v>2490</v>
      </c>
      <c r="D47" s="2845"/>
      <c r="E47" s="2846">
        <v>1</v>
      </c>
      <c r="F47" s="2843" t="s">
        <v>2491</v>
      </c>
      <c r="G47" s="2843"/>
    </row>
    <row r="48" spans="1:7" ht="19.5" customHeight="1">
      <c r="A48" s="3527"/>
      <c r="B48" s="3520"/>
      <c r="C48" s="2844" t="s">
        <v>2492</v>
      </c>
      <c r="D48" s="2845"/>
      <c r="E48" s="2846">
        <v>1</v>
      </c>
      <c r="F48" s="2843" t="s">
        <v>2493</v>
      </c>
      <c r="G48" s="2843"/>
    </row>
    <row r="49" spans="1:7" ht="19.5" customHeight="1">
      <c r="A49" s="3527"/>
      <c r="B49" s="3520"/>
      <c r="C49" s="2844" t="s">
        <v>2494</v>
      </c>
      <c r="D49" s="2845"/>
      <c r="E49" s="2846">
        <v>1</v>
      </c>
      <c r="F49" s="2843" t="s">
        <v>2495</v>
      </c>
      <c r="G49" s="2843"/>
    </row>
    <row r="50" spans="1:7" ht="19.5" customHeight="1">
      <c r="A50" s="3527"/>
      <c r="B50" s="3520"/>
      <c r="C50" s="2844" t="s">
        <v>2496</v>
      </c>
      <c r="D50" s="2845"/>
      <c r="E50" s="2846">
        <v>1</v>
      </c>
      <c r="F50" s="2843" t="s">
        <v>2497</v>
      </c>
      <c r="G50" s="2843"/>
    </row>
    <row r="51" spans="1:7" ht="19.5" customHeight="1" thickBot="1">
      <c r="A51" s="3528"/>
      <c r="B51" s="3521"/>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525" t="s">
        <v>2651</v>
      </c>
      <c r="C73" s="2829" t="s">
        <v>2652</v>
      </c>
      <c r="D73" s="2829" t="s">
        <v>2653</v>
      </c>
      <c r="E73" s="2855">
        <v>0.2</v>
      </c>
      <c r="F73" s="2855">
        <v>25</v>
      </c>
    </row>
    <row r="74" spans="1:7" ht="24">
      <c r="A74" s="2855">
        <v>2</v>
      </c>
      <c r="B74" s="3520"/>
      <c r="C74" s="2829" t="s">
        <v>2654</v>
      </c>
      <c r="D74" s="2829" t="s">
        <v>2655</v>
      </c>
      <c r="E74" s="2855">
        <v>0.2</v>
      </c>
      <c r="F74" s="2855">
        <v>25</v>
      </c>
    </row>
    <row r="75" spans="1:7" ht="24">
      <c r="A75" s="2855">
        <v>3</v>
      </c>
      <c r="B75" s="3520"/>
      <c r="C75" s="2829" t="s">
        <v>2656</v>
      </c>
      <c r="D75" s="2829" t="s">
        <v>2657</v>
      </c>
      <c r="E75" s="2855">
        <v>0.2</v>
      </c>
      <c r="F75" s="2855">
        <v>25</v>
      </c>
    </row>
    <row r="76" spans="1:7" ht="14.4">
      <c r="A76" s="2855">
        <v>4</v>
      </c>
      <c r="B76" s="3520"/>
      <c r="C76" s="2829" t="s">
        <v>2658</v>
      </c>
      <c r="D76" s="2829" t="s">
        <v>2659</v>
      </c>
      <c r="E76" s="2855">
        <v>0.15</v>
      </c>
      <c r="F76" s="2855">
        <v>20</v>
      </c>
    </row>
    <row r="77" spans="1:7" ht="24">
      <c r="A77" s="2855">
        <v>5</v>
      </c>
      <c r="B77" s="3520"/>
      <c r="C77" s="2829" t="s">
        <v>2660</v>
      </c>
      <c r="D77" s="2829" t="s">
        <v>2661</v>
      </c>
      <c r="E77" s="2855">
        <v>0.15</v>
      </c>
      <c r="F77" s="2855">
        <v>20</v>
      </c>
    </row>
    <row r="78" spans="1:7" ht="24">
      <c r="A78" s="2855">
        <v>6</v>
      </c>
      <c r="B78" s="3520"/>
      <c r="C78" s="2829" t="s">
        <v>2662</v>
      </c>
      <c r="D78" s="2829" t="s">
        <v>2663</v>
      </c>
      <c r="E78" s="2855">
        <v>0.15</v>
      </c>
      <c r="F78" s="2855">
        <v>20</v>
      </c>
    </row>
    <row r="79" spans="1:7" ht="24">
      <c r="A79" s="2855">
        <v>7</v>
      </c>
      <c r="B79" s="3520"/>
      <c r="C79" s="2829" t="s">
        <v>2664</v>
      </c>
      <c r="D79" s="2829" t="s">
        <v>2665</v>
      </c>
      <c r="E79" s="2855">
        <v>0.15</v>
      </c>
      <c r="F79" s="2855">
        <v>20</v>
      </c>
    </row>
    <row r="80" spans="1:7" ht="24">
      <c r="A80" s="2855">
        <v>8</v>
      </c>
      <c r="B80" s="3520"/>
      <c r="C80" s="2829" t="s">
        <v>2666</v>
      </c>
      <c r="D80" s="2829" t="s">
        <v>2667</v>
      </c>
      <c r="E80" s="2855">
        <v>0.1</v>
      </c>
      <c r="F80" s="2855">
        <v>15</v>
      </c>
    </row>
    <row r="81" spans="1:6" ht="24">
      <c r="A81" s="2855">
        <v>9</v>
      </c>
      <c r="B81" s="3520"/>
      <c r="C81" s="2829" t="s">
        <v>2668</v>
      </c>
      <c r="D81" s="2829" t="s">
        <v>2669</v>
      </c>
      <c r="E81" s="2855">
        <v>0.1</v>
      </c>
      <c r="F81" s="2855">
        <v>15</v>
      </c>
    </row>
    <row r="82" spans="1:6" ht="24">
      <c r="A82" s="2855">
        <v>10</v>
      </c>
      <c r="B82" s="3520"/>
      <c r="C82" s="2829" t="s">
        <v>2670</v>
      </c>
      <c r="D82" s="2829" t="s">
        <v>2671</v>
      </c>
      <c r="E82" s="2855">
        <v>0.1</v>
      </c>
      <c r="F82" s="2855">
        <v>15</v>
      </c>
    </row>
    <row r="83" spans="1:6" ht="24">
      <c r="A83" s="2855">
        <v>11</v>
      </c>
      <c r="B83" s="3520"/>
      <c r="C83" s="2829" t="s">
        <v>2672</v>
      </c>
      <c r="D83" s="2829" t="s">
        <v>2673</v>
      </c>
      <c r="E83" s="2855">
        <v>0.1</v>
      </c>
      <c r="F83" s="2855">
        <v>15</v>
      </c>
    </row>
    <row r="84" spans="1:6" ht="24">
      <c r="A84" s="2855">
        <v>12</v>
      </c>
      <c r="B84" s="3520"/>
      <c r="C84" s="2829" t="s">
        <v>2674</v>
      </c>
      <c r="D84" s="2829" t="s">
        <v>2675</v>
      </c>
      <c r="E84" s="2855">
        <v>0.1</v>
      </c>
      <c r="F84" s="2855">
        <v>15</v>
      </c>
    </row>
    <row r="85" spans="1:6" ht="24">
      <c r="A85" s="2855">
        <v>13</v>
      </c>
      <c r="B85" s="3520"/>
      <c r="C85" s="2829" t="s">
        <v>2676</v>
      </c>
      <c r="D85" s="2829" t="s">
        <v>2677</v>
      </c>
      <c r="E85" s="2855">
        <v>0.1</v>
      </c>
      <c r="F85" s="2855">
        <v>15</v>
      </c>
    </row>
    <row r="86" spans="1:6" ht="24">
      <c r="A86" s="2855">
        <v>14</v>
      </c>
      <c r="B86" s="3520"/>
      <c r="C86" s="2829" t="s">
        <v>2678</v>
      </c>
      <c r="D86" s="2829" t="s">
        <v>2679</v>
      </c>
      <c r="E86" s="2855">
        <v>0.1</v>
      </c>
      <c r="F86" s="2855">
        <v>15</v>
      </c>
    </row>
    <row r="87" spans="1:6" ht="24">
      <c r="A87" s="2855">
        <v>15</v>
      </c>
      <c r="B87" s="3520"/>
      <c r="C87" s="2829" t="s">
        <v>2680</v>
      </c>
      <c r="D87" s="2829" t="s">
        <v>2681</v>
      </c>
      <c r="E87" s="2855">
        <v>0.1</v>
      </c>
      <c r="F87" s="2855">
        <v>15</v>
      </c>
    </row>
    <row r="88" spans="1:6" ht="24">
      <c r="A88" s="2855">
        <v>16</v>
      </c>
      <c r="B88" s="3520"/>
      <c r="C88" s="2829" t="s">
        <v>2682</v>
      </c>
      <c r="D88" s="2829" t="s">
        <v>2683</v>
      </c>
      <c r="E88" s="2855">
        <v>0.1</v>
      </c>
      <c r="F88" s="2855">
        <v>15</v>
      </c>
    </row>
    <row r="89" spans="1:6" ht="24">
      <c r="A89" s="2855">
        <v>17</v>
      </c>
      <c r="B89" s="3529"/>
      <c r="C89" s="2829" t="s">
        <v>2684</v>
      </c>
      <c r="D89" s="2829" t="s">
        <v>2685</v>
      </c>
      <c r="E89" s="2855">
        <v>0.1</v>
      </c>
      <c r="F89" s="2855">
        <v>15</v>
      </c>
    </row>
    <row r="90" spans="1:6" ht="14.4">
      <c r="A90" s="2855">
        <v>18</v>
      </c>
      <c r="B90" s="3525" t="s">
        <v>2686</v>
      </c>
      <c r="C90" s="2829" t="s">
        <v>2687</v>
      </c>
      <c r="D90" s="2829" t="s">
        <v>2688</v>
      </c>
      <c r="E90" s="2855">
        <v>0.2</v>
      </c>
      <c r="F90" s="2855">
        <v>25</v>
      </c>
    </row>
    <row r="91" spans="1:6" ht="24">
      <c r="A91" s="2855">
        <v>19</v>
      </c>
      <c r="B91" s="3520"/>
      <c r="C91" s="2829" t="s">
        <v>2689</v>
      </c>
      <c r="D91" s="2829" t="s">
        <v>2690</v>
      </c>
      <c r="E91" s="2855">
        <v>0.2</v>
      </c>
      <c r="F91" s="2855">
        <v>25</v>
      </c>
    </row>
    <row r="92" spans="1:6" ht="14.4">
      <c r="A92" s="2855">
        <v>20</v>
      </c>
      <c r="B92" s="3520"/>
      <c r="C92" s="2829" t="s">
        <v>2691</v>
      </c>
      <c r="D92" s="2829" t="s">
        <v>2692</v>
      </c>
      <c r="E92" s="2855">
        <v>0.15</v>
      </c>
      <c r="F92" s="2855">
        <v>20</v>
      </c>
    </row>
    <row r="93" spans="1:6" ht="24">
      <c r="A93" s="2855">
        <v>21</v>
      </c>
      <c r="B93" s="3520"/>
      <c r="C93" s="2829" t="s">
        <v>2693</v>
      </c>
      <c r="D93" s="2829" t="s">
        <v>2694</v>
      </c>
      <c r="E93" s="2855">
        <v>0.15</v>
      </c>
      <c r="F93" s="2855">
        <v>20</v>
      </c>
    </row>
    <row r="94" spans="1:6" ht="24">
      <c r="A94" s="2855">
        <v>22</v>
      </c>
      <c r="B94" s="3520"/>
      <c r="C94" s="2829" t="s">
        <v>2695</v>
      </c>
      <c r="D94" s="2829" t="s">
        <v>2696</v>
      </c>
      <c r="E94" s="2855">
        <v>0.15</v>
      </c>
      <c r="F94" s="2855">
        <v>20</v>
      </c>
    </row>
    <row r="95" spans="1:6" ht="36">
      <c r="A95" s="2855">
        <v>23</v>
      </c>
      <c r="B95" s="3520"/>
      <c r="C95" s="2829" t="s">
        <v>2697</v>
      </c>
      <c r="D95" s="2829" t="s">
        <v>2698</v>
      </c>
      <c r="E95" s="2855">
        <v>0.15</v>
      </c>
      <c r="F95" s="2855">
        <v>20</v>
      </c>
    </row>
    <row r="96" spans="1:6" ht="24">
      <c r="A96" s="2855">
        <v>24</v>
      </c>
      <c r="B96" s="3520"/>
      <c r="C96" s="2829" t="s">
        <v>2699</v>
      </c>
      <c r="D96" s="2829" t="s">
        <v>2700</v>
      </c>
      <c r="E96" s="2855">
        <v>0.1</v>
      </c>
      <c r="F96" s="2855">
        <v>15</v>
      </c>
    </row>
    <row r="97" spans="1:6" ht="24">
      <c r="A97" s="2855">
        <v>25</v>
      </c>
      <c r="B97" s="3520"/>
      <c r="C97" s="2829" t="s">
        <v>2701</v>
      </c>
      <c r="D97" s="2829" t="s">
        <v>2702</v>
      </c>
      <c r="E97" s="2855">
        <v>0.1</v>
      </c>
      <c r="F97" s="2855">
        <v>15</v>
      </c>
    </row>
    <row r="98" spans="1:6" ht="24">
      <c r="A98" s="2855">
        <v>26</v>
      </c>
      <c r="B98" s="3520"/>
      <c r="C98" s="2829" t="s">
        <v>2703</v>
      </c>
      <c r="D98" s="2829" t="s">
        <v>2704</v>
      </c>
      <c r="E98" s="2855">
        <v>0.1</v>
      </c>
      <c r="F98" s="2855">
        <v>15</v>
      </c>
    </row>
    <row r="99" spans="1:6" ht="24">
      <c r="A99" s="2855">
        <v>27</v>
      </c>
      <c r="B99" s="3520"/>
      <c r="C99" s="2829" t="s">
        <v>2705</v>
      </c>
      <c r="D99" s="2829" t="s">
        <v>2706</v>
      </c>
      <c r="E99" s="2855">
        <v>0.1</v>
      </c>
      <c r="F99" s="2855">
        <v>15</v>
      </c>
    </row>
    <row r="100" spans="1:6" ht="24">
      <c r="A100" s="2855">
        <v>28</v>
      </c>
      <c r="B100" s="3520"/>
      <c r="C100" s="2829" t="s">
        <v>2707</v>
      </c>
      <c r="D100" s="2829" t="s">
        <v>2708</v>
      </c>
      <c r="E100" s="2855">
        <v>0.1</v>
      </c>
      <c r="F100" s="2855">
        <v>15</v>
      </c>
    </row>
    <row r="101" spans="1:6" ht="24">
      <c r="A101" s="2855">
        <v>29</v>
      </c>
      <c r="B101" s="3520"/>
      <c r="C101" s="2829" t="s">
        <v>2709</v>
      </c>
      <c r="D101" s="2829" t="s">
        <v>2710</v>
      </c>
      <c r="E101" s="2855">
        <v>0.1</v>
      </c>
      <c r="F101" s="2855">
        <v>15</v>
      </c>
    </row>
    <row r="102" spans="1:6" ht="24">
      <c r="A102" s="2855">
        <v>30</v>
      </c>
      <c r="B102" s="3520"/>
      <c r="C102" s="2829" t="s">
        <v>2711</v>
      </c>
      <c r="D102" s="2829" t="s">
        <v>2712</v>
      </c>
      <c r="E102" s="2855">
        <v>0.1</v>
      </c>
      <c r="F102" s="2855">
        <v>15</v>
      </c>
    </row>
    <row r="103" spans="1:6" ht="24">
      <c r="A103" s="2855">
        <v>31</v>
      </c>
      <c r="B103" s="3520"/>
      <c r="C103" s="2829" t="s">
        <v>2713</v>
      </c>
      <c r="D103" s="2829" t="s">
        <v>2714</v>
      </c>
      <c r="E103" s="2855">
        <v>0.1</v>
      </c>
      <c r="F103" s="2855">
        <v>15</v>
      </c>
    </row>
    <row r="104" spans="1:6" ht="24">
      <c r="A104" s="2855">
        <v>32</v>
      </c>
      <c r="B104" s="3520"/>
      <c r="C104" s="2829" t="s">
        <v>2715</v>
      </c>
      <c r="D104" s="2829" t="s">
        <v>2716</v>
      </c>
      <c r="E104" s="2855">
        <v>0.1</v>
      </c>
      <c r="F104" s="2855">
        <v>15</v>
      </c>
    </row>
    <row r="105" spans="1:6" ht="24">
      <c r="A105" s="2855">
        <v>33</v>
      </c>
      <c r="B105" s="3520"/>
      <c r="C105" s="2829" t="s">
        <v>2717</v>
      </c>
      <c r="D105" s="2829" t="s">
        <v>2718</v>
      </c>
      <c r="E105" s="2855">
        <v>0.1</v>
      </c>
      <c r="F105" s="2855">
        <v>15</v>
      </c>
    </row>
    <row r="106" spans="1:6" ht="24">
      <c r="A106" s="2855">
        <v>34</v>
      </c>
      <c r="B106" s="3529"/>
      <c r="C106" s="2829" t="s">
        <v>2719</v>
      </c>
      <c r="D106" s="2829" t="s">
        <v>2720</v>
      </c>
      <c r="E106" s="2855">
        <v>0.1</v>
      </c>
      <c r="F106" s="2855">
        <v>15</v>
      </c>
    </row>
    <row r="107" spans="1:6" ht="36">
      <c r="A107" s="2855">
        <v>35</v>
      </c>
      <c r="B107" s="3525" t="s">
        <v>2721</v>
      </c>
      <c r="C107" s="2855" t="s">
        <v>2722</v>
      </c>
      <c r="D107" s="2829" t="s">
        <v>2723</v>
      </c>
      <c r="E107" s="2855">
        <v>0.15</v>
      </c>
      <c r="F107" s="2855">
        <v>20</v>
      </c>
    </row>
    <row r="108" spans="1:6" ht="24">
      <c r="A108" s="2855">
        <v>36</v>
      </c>
      <c r="B108" s="3520"/>
      <c r="C108" s="2855" t="s">
        <v>2724</v>
      </c>
      <c r="D108" s="2829" t="s">
        <v>2725</v>
      </c>
      <c r="E108" s="2855">
        <v>0.15</v>
      </c>
      <c r="F108" s="2855">
        <v>20</v>
      </c>
    </row>
    <row r="109" spans="1:6" ht="24">
      <c r="A109" s="2855">
        <v>37</v>
      </c>
      <c r="B109" s="3520"/>
      <c r="C109" s="2855" t="s">
        <v>2726</v>
      </c>
      <c r="D109" s="2829" t="s">
        <v>2727</v>
      </c>
      <c r="E109" s="2855">
        <v>0.15</v>
      </c>
      <c r="F109" s="2855">
        <v>20</v>
      </c>
    </row>
    <row r="110" spans="1:6" ht="24">
      <c r="A110" s="2855">
        <v>38</v>
      </c>
      <c r="B110" s="3520"/>
      <c r="C110" s="2855" t="s">
        <v>2728</v>
      </c>
      <c r="D110" s="2829" t="s">
        <v>2729</v>
      </c>
      <c r="E110" s="2855">
        <v>0.1</v>
      </c>
      <c r="F110" s="2855">
        <v>15</v>
      </c>
    </row>
    <row r="111" spans="1:6" ht="24">
      <c r="A111" s="2855">
        <v>39</v>
      </c>
      <c r="B111" s="3520"/>
      <c r="C111" s="2855" t="s">
        <v>2730</v>
      </c>
      <c r="D111" s="2829" t="s">
        <v>2731</v>
      </c>
      <c r="E111" s="2855">
        <v>0.1</v>
      </c>
      <c r="F111" s="2855">
        <v>15</v>
      </c>
    </row>
    <row r="112" spans="1:6" ht="24">
      <c r="A112" s="2855">
        <v>40</v>
      </c>
      <c r="B112" s="3529"/>
      <c r="C112" s="2855" t="s">
        <v>2732</v>
      </c>
      <c r="D112" s="2829" t="s">
        <v>2733</v>
      </c>
      <c r="E112" s="2855">
        <v>0.1</v>
      </c>
      <c r="F112" s="2855">
        <v>15</v>
      </c>
    </row>
    <row r="113" spans="1:6" ht="24">
      <c r="A113" s="2855">
        <v>41</v>
      </c>
      <c r="B113" s="3530" t="s">
        <v>2734</v>
      </c>
      <c r="C113" s="2855" t="s">
        <v>2735</v>
      </c>
      <c r="D113" s="2829" t="s">
        <v>2736</v>
      </c>
      <c r="E113" s="2855">
        <v>0.1</v>
      </c>
      <c r="F113" s="2855">
        <v>15</v>
      </c>
    </row>
    <row r="114" spans="1:6" ht="24">
      <c r="A114" s="2855">
        <v>42</v>
      </c>
      <c r="B114" s="3530"/>
      <c r="C114" s="2855" t="s">
        <v>2737</v>
      </c>
      <c r="D114" s="2829" t="s">
        <v>2738</v>
      </c>
      <c r="E114" s="2855">
        <v>0.1</v>
      </c>
      <c r="F114" s="2855">
        <v>15</v>
      </c>
    </row>
    <row r="115" spans="1:6" ht="24">
      <c r="A115" s="2855">
        <v>43</v>
      </c>
      <c r="B115" s="3530"/>
      <c r="C115" s="2855" t="s">
        <v>2739</v>
      </c>
      <c r="D115" s="2829" t="s">
        <v>2740</v>
      </c>
      <c r="E115" s="2855">
        <v>0.1</v>
      </c>
      <c r="F115" s="2855">
        <v>15</v>
      </c>
    </row>
    <row r="116" spans="1:6" ht="24">
      <c r="A116" s="2855">
        <v>44</v>
      </c>
      <c r="B116" s="3525" t="s">
        <v>2741</v>
      </c>
      <c r="C116" s="2855" t="s">
        <v>2742</v>
      </c>
      <c r="D116" s="2829" t="s">
        <v>2743</v>
      </c>
      <c r="E116" s="2855">
        <v>0.1</v>
      </c>
      <c r="F116" s="2855">
        <v>15</v>
      </c>
    </row>
    <row r="117" spans="1:6" ht="24">
      <c r="A117" s="2855">
        <v>45</v>
      </c>
      <c r="B117" s="3529"/>
      <c r="C117" s="2829" t="s">
        <v>2744</v>
      </c>
      <c r="D117" s="2829" t="s">
        <v>2745</v>
      </c>
      <c r="E117" s="2855">
        <v>0.1</v>
      </c>
      <c r="F117" s="2855">
        <v>15</v>
      </c>
    </row>
    <row r="118" spans="1:6" ht="24">
      <c r="A118" s="2855">
        <v>46</v>
      </c>
      <c r="B118" s="3525" t="s">
        <v>2746</v>
      </c>
      <c r="C118" s="2855" t="s">
        <v>2747</v>
      </c>
      <c r="D118" s="2829" t="s">
        <v>2748</v>
      </c>
      <c r="E118" s="2855">
        <v>0.1</v>
      </c>
      <c r="F118" s="2855">
        <v>15</v>
      </c>
    </row>
    <row r="119" spans="1:6" ht="24">
      <c r="A119" s="2855">
        <v>47</v>
      </c>
      <c r="B119" s="3529"/>
      <c r="C119" s="2855" t="s">
        <v>2749</v>
      </c>
      <c r="D119" s="2829" t="s">
        <v>2750</v>
      </c>
      <c r="E119" s="2855">
        <v>0.1</v>
      </c>
      <c r="F119" s="2855">
        <v>15</v>
      </c>
    </row>
    <row r="120" spans="1:6" ht="24">
      <c r="A120" s="2855">
        <v>48</v>
      </c>
      <c r="B120" s="3525" t="s">
        <v>2751</v>
      </c>
      <c r="C120" s="2855" t="s">
        <v>2752</v>
      </c>
      <c r="D120" s="2829" t="s">
        <v>2753</v>
      </c>
      <c r="E120" s="2855">
        <v>0.1</v>
      </c>
      <c r="F120" s="2855">
        <v>15</v>
      </c>
    </row>
    <row r="121" spans="1:6" ht="24">
      <c r="A121" s="2855">
        <v>49</v>
      </c>
      <c r="B121" s="3529"/>
      <c r="C121" s="2855" t="s">
        <v>2754</v>
      </c>
      <c r="D121" s="2829" t="s">
        <v>2755</v>
      </c>
      <c r="E121" s="2855">
        <v>0.1</v>
      </c>
      <c r="F121" s="2855">
        <v>15</v>
      </c>
    </row>
    <row r="122" spans="1:6" ht="24">
      <c r="A122" s="2855">
        <v>50</v>
      </c>
      <c r="B122" s="3530" t="s">
        <v>2756</v>
      </c>
      <c r="C122" s="2855" t="s">
        <v>2757</v>
      </c>
      <c r="D122" s="2829" t="s">
        <v>2758</v>
      </c>
      <c r="E122" s="2855">
        <v>0.1</v>
      </c>
      <c r="F122" s="2855">
        <v>15</v>
      </c>
    </row>
    <row r="123" spans="1:6" ht="24">
      <c r="A123" s="2855">
        <v>51</v>
      </c>
      <c r="B123" s="3530"/>
      <c r="C123" s="2855" t="s">
        <v>2759</v>
      </c>
      <c r="D123" s="2829" t="s">
        <v>2760</v>
      </c>
      <c r="E123" s="2855">
        <v>0.1</v>
      </c>
      <c r="F123" s="2855">
        <v>15</v>
      </c>
    </row>
    <row r="124" spans="1:6" ht="24">
      <c r="A124" s="2855">
        <v>52</v>
      </c>
      <c r="B124" s="3530" t="s">
        <v>2761</v>
      </c>
      <c r="C124" s="2855" t="s">
        <v>2762</v>
      </c>
      <c r="D124" s="2829" t="s">
        <v>2763</v>
      </c>
      <c r="E124" s="2855">
        <v>0.1</v>
      </c>
      <c r="F124" s="2855">
        <v>15</v>
      </c>
    </row>
    <row r="125" spans="1:6" ht="24">
      <c r="A125" s="2855">
        <v>53</v>
      </c>
      <c r="B125" s="3530"/>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530" t="s">
        <v>2769</v>
      </c>
      <c r="C127" s="2855" t="s">
        <v>2770</v>
      </c>
      <c r="D127" s="2829" t="s">
        <v>2771</v>
      </c>
      <c r="E127" s="2855">
        <v>0.1</v>
      </c>
      <c r="F127" s="2855">
        <v>15</v>
      </c>
    </row>
    <row r="128" spans="1:6" ht="24">
      <c r="A128" s="2855">
        <v>56</v>
      </c>
      <c r="B128" s="3530"/>
      <c r="C128" s="2855" t="s">
        <v>2772</v>
      </c>
      <c r="D128" s="2829" t="s">
        <v>2773</v>
      </c>
      <c r="E128" s="2855">
        <v>0.1</v>
      </c>
      <c r="F128" s="2855">
        <v>15</v>
      </c>
    </row>
    <row r="129" spans="1:6" ht="24">
      <c r="A129" s="2855">
        <v>57</v>
      </c>
      <c r="B129" s="3530"/>
      <c r="C129" s="2855" t="s">
        <v>2774</v>
      </c>
      <c r="D129" s="2829" t="s">
        <v>2775</v>
      </c>
      <c r="E129" s="2855">
        <v>0.1</v>
      </c>
      <c r="F129" s="2855">
        <v>15</v>
      </c>
    </row>
    <row r="130" spans="1:6" ht="24">
      <c r="A130" s="2855">
        <v>58</v>
      </c>
      <c r="B130" s="3530" t="s">
        <v>2776</v>
      </c>
      <c r="C130" s="2855" t="s">
        <v>2777</v>
      </c>
      <c r="D130" s="2829" t="s">
        <v>2778</v>
      </c>
      <c r="E130" s="2855">
        <v>0.1</v>
      </c>
      <c r="F130" s="2855">
        <v>15</v>
      </c>
    </row>
    <row r="131" spans="1:6" ht="24">
      <c r="A131" s="2855">
        <v>59</v>
      </c>
      <c r="B131" s="3530"/>
      <c r="C131" s="2855" t="s">
        <v>2779</v>
      </c>
      <c r="D131" s="2829" t="s">
        <v>2780</v>
      </c>
      <c r="E131" s="2855">
        <v>0.1</v>
      </c>
      <c r="F131" s="2855">
        <v>15</v>
      </c>
    </row>
    <row r="132" spans="1:6" ht="24">
      <c r="A132" s="2855">
        <v>60</v>
      </c>
      <c r="B132" s="3525" t="s">
        <v>2781</v>
      </c>
      <c r="C132" s="2855" t="s">
        <v>2782</v>
      </c>
      <c r="D132" s="2829" t="s">
        <v>2783</v>
      </c>
      <c r="E132" s="2855">
        <v>0.1</v>
      </c>
      <c r="F132" s="2855">
        <v>15</v>
      </c>
    </row>
    <row r="133" spans="1:6" ht="24">
      <c r="A133" s="2855">
        <v>61</v>
      </c>
      <c r="B133" s="3529"/>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530" t="s">
        <v>2789</v>
      </c>
      <c r="C135" s="2855" t="s">
        <v>2790</v>
      </c>
      <c r="D135" s="2829" t="s">
        <v>2791</v>
      </c>
      <c r="E135" s="2855">
        <v>0.1</v>
      </c>
      <c r="F135" s="2855">
        <v>15</v>
      </c>
    </row>
    <row r="136" spans="1:6" ht="24">
      <c r="A136" s="2855">
        <v>64</v>
      </c>
      <c r="B136" s="3530"/>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27685</v>
      </c>
      <c r="C2" s="2" t="s">
        <v>106</v>
      </c>
      <c r="D2" s="191"/>
      <c r="E2" s="191"/>
      <c r="F2" s="191"/>
      <c r="G2" s="191"/>
    </row>
    <row r="3" spans="1:7" s="192" customFormat="1" ht="18" customHeight="1" thickBot="1">
      <c r="A3" s="195" t="s">
        <v>58</v>
      </c>
      <c r="B3" s="196">
        <f ca="1">ROUND(B2*10000/'数据-汇总表'!E3,0)</f>
        <v>1143205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242.17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242.17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242.17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95" t="s">
        <v>94</v>
      </c>
    </row>
    <row r="43" spans="1:7" ht="13.5" customHeight="1">
      <c r="A43" s="734" t="s">
        <v>347</v>
      </c>
      <c r="B43" s="207" t="s">
        <v>426</v>
      </c>
      <c r="C43" s="230">
        <f ca="1">ROUND(IF('数据-取费表'!B22&lt;=1,C39*F22*'数据-取费表'!B21/2,C39*(POWER((1+F22),'数据-取费表'!B21/2)-1)),0)</f>
        <v>0</v>
      </c>
      <c r="D43" s="230"/>
      <c r="E43" s="230"/>
      <c r="F43" s="231"/>
      <c r="G43" s="3396"/>
    </row>
    <row r="44" spans="1:7" ht="13.5" customHeight="1">
      <c r="A44" s="734" t="s">
        <v>348</v>
      </c>
      <c r="B44" s="207" t="s">
        <v>428</v>
      </c>
      <c r="C44" s="230">
        <f ca="1">ROUND(IF('数据-取费表'!B22&lt;=1,C40*F22*'数据-取费表'!B21/2,C40*(POWER((1+F22),'数据-取费表'!B21/2)-1)),4)</f>
        <v>5.9999999999999995E-4</v>
      </c>
      <c r="D44" s="230"/>
      <c r="E44" s="230"/>
      <c r="F44" s="231"/>
      <c r="G44" s="3397"/>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142</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27685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7.399999999999999">
      <c r="A3" s="3219" t="str">
        <f>IF(项目基本情况!B9="房地产市场价值","估价结果一览表（市场价值不需“结果表-1”）","估价结果一览表")</f>
        <v>估价结果一览表</v>
      </c>
      <c r="B3" s="3219"/>
      <c r="C3" s="3219"/>
      <c r="D3" s="3219"/>
      <c r="E3" s="3219"/>
    </row>
    <row r="4" spans="1:5" ht="18" thickBot="1">
      <c r="A4" s="1391"/>
      <c r="B4" s="3217" t="s">
        <v>917</v>
      </c>
      <c r="C4" s="3217"/>
      <c r="D4" s="3217"/>
      <c r="E4" s="1391"/>
    </row>
    <row r="5" spans="1:5" ht="16.2" thickTop="1">
      <c r="B5" s="3215" t="s">
        <v>909</v>
      </c>
      <c r="C5" s="1392" t="s">
        <v>910</v>
      </c>
      <c r="D5" s="797">
        <f ca="1">结果表!H101</f>
        <v>700</v>
      </c>
    </row>
    <row r="6" spans="1:5" ht="15.6">
      <c r="B6" s="3215"/>
      <c r="C6" s="1392" t="s">
        <v>911</v>
      </c>
      <c r="D6" s="797" t="str">
        <f ca="1">NUMBERSTRING(INT(D5*10000),2)&amp;"元整"</f>
        <v>柒佰万元整</v>
      </c>
    </row>
    <row r="7" spans="1:5" ht="15.6">
      <c r="B7" s="3220"/>
      <c r="C7" s="1393" t="s">
        <v>912</v>
      </c>
      <c r="D7" s="798">
        <f ca="1">结果表!H102</f>
        <v>28915</v>
      </c>
    </row>
    <row r="8" spans="1:5" ht="15.6">
      <c r="B8" s="3221" t="str">
        <f>结果表!E103</f>
        <v>2.估价师知悉的法定优先受偿款</v>
      </c>
      <c r="C8" s="1394" t="s">
        <v>913</v>
      </c>
      <c r="D8" s="798">
        <f>结果表!H103</f>
        <v>0</v>
      </c>
    </row>
    <row r="9" spans="1:5" ht="15.6">
      <c r="B9" s="322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4" t="str">
        <f>结果表!E107</f>
        <v>3.房地产抵押价值</v>
      </c>
      <c r="C13" s="1397" t="s">
        <v>910</v>
      </c>
      <c r="D13" s="800">
        <f ca="1">结果表!H107</f>
        <v>700</v>
      </c>
    </row>
    <row r="14" spans="1:5" ht="15.6">
      <c r="B14" s="3215"/>
      <c r="C14" s="1392" t="s">
        <v>911</v>
      </c>
      <c r="D14" s="797" t="str">
        <f ca="1">NUMBERSTRING(INT(D13*10000),2)&amp;"元整"</f>
        <v>柒佰万元整</v>
      </c>
    </row>
    <row r="15" spans="1:5" ht="15.6">
      <c r="B15" s="3220"/>
      <c r="C15" s="1393" t="s">
        <v>921</v>
      </c>
      <c r="D15" s="806">
        <f ca="1">结果表!H108</f>
        <v>28915</v>
      </c>
    </row>
    <row r="16" spans="1:5" ht="15.6">
      <c r="B16" s="3221" t="str">
        <f>结果表!E109</f>
        <v>——</v>
      </c>
      <c r="C16" s="1397" t="s">
        <v>922</v>
      </c>
      <c r="D16" s="1398" t="str">
        <f>结果表!H109</f>
        <v>——</v>
      </c>
    </row>
    <row r="17" spans="1:5" ht="15.6">
      <c r="B17" s="3222"/>
      <c r="C17" s="1392" t="s">
        <v>923</v>
      </c>
      <c r="D17" s="797" t="e">
        <f>NUMBERSTRING(INT(D16*10000),2)&amp;"元整"</f>
        <v>#VALUE!</v>
      </c>
    </row>
    <row r="18" spans="1:5" ht="15.6">
      <c r="B18" s="3223"/>
      <c r="C18" s="1393" t="s">
        <v>912</v>
      </c>
      <c r="D18" s="806" t="str">
        <f>结果表!H110</f>
        <v>——</v>
      </c>
    </row>
    <row r="19" spans="1:5" ht="15.6">
      <c r="B19" s="3214" t="str">
        <f>结果表!E111</f>
        <v>——</v>
      </c>
      <c r="C19" s="1397" t="s">
        <v>910</v>
      </c>
      <c r="D19" s="798" t="str">
        <f>结果表!H111</f>
        <v>——</v>
      </c>
    </row>
    <row r="20" spans="1:5" ht="15.6">
      <c r="B20" s="3215"/>
      <c r="C20" s="1392" t="s">
        <v>923</v>
      </c>
      <c r="D20" s="797" t="e">
        <f>NUMBERSTRING(INT(D19*10000),2)&amp;"元整"</f>
        <v>#VALUE!</v>
      </c>
    </row>
    <row r="21" spans="1:5" ht="16.2" thickBot="1">
      <c r="B21" s="321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31" t="s">
        <v>3181</v>
      </c>
      <c r="B1" s="3531"/>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32" t="s">
        <v>3232</v>
      </c>
      <c r="B1" s="3532"/>
      <c r="C1" s="3532"/>
      <c r="D1" s="3532"/>
      <c r="E1" s="3532"/>
      <c r="F1" s="353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A625-53EB-47B3-8846-CA23097B9B66}">
  <sheetPr>
    <tabColor rgb="FF7030A0"/>
  </sheetPr>
  <dimension ref="A1:U35"/>
  <sheetViews>
    <sheetView topLeftCell="G14" workbookViewId="0">
      <selection activeCell="M28" sqref="M28"/>
    </sheetView>
  </sheetViews>
  <sheetFormatPr defaultRowHeight="14.4"/>
  <cols>
    <col min="1" max="1" width="11.6640625" bestFit="1" customWidth="1"/>
  </cols>
  <sheetData>
    <row r="1" spans="1:21">
      <c r="A1" s="3212"/>
      <c r="B1" s="1156" t="s">
        <v>3435</v>
      </c>
      <c r="C1" s="1156" t="s">
        <v>3436</v>
      </c>
      <c r="D1" s="1156" t="s">
        <v>3437</v>
      </c>
      <c r="E1" s="1156" t="s">
        <v>3438</v>
      </c>
      <c r="F1" s="1156" t="s">
        <v>3439</v>
      </c>
      <c r="G1" s="1156" t="s">
        <v>3440</v>
      </c>
      <c r="H1" s="1156" t="s">
        <v>3441</v>
      </c>
      <c r="I1" s="1156" t="s">
        <v>3442</v>
      </c>
      <c r="J1" s="1156" t="s">
        <v>3443</v>
      </c>
      <c r="K1" s="1156" t="s">
        <v>3444</v>
      </c>
      <c r="L1" s="1156" t="s">
        <v>3445</v>
      </c>
      <c r="M1" s="1156" t="s">
        <v>3446</v>
      </c>
      <c r="N1" s="1156"/>
      <c r="O1" s="1156"/>
      <c r="P1" s="1156" t="s">
        <v>3447</v>
      </c>
      <c r="Q1" s="1156"/>
      <c r="R1" s="1156"/>
      <c r="S1" s="1156"/>
      <c r="T1" s="1156"/>
      <c r="U1" s="1156"/>
    </row>
    <row r="2" spans="1:21">
      <c r="A2" s="3212">
        <v>45676.333831018521</v>
      </c>
      <c r="B2" s="1156" t="s">
        <v>3448</v>
      </c>
      <c r="C2" s="1156" t="s">
        <v>3449</v>
      </c>
      <c r="D2" s="1156" t="s">
        <v>3448</v>
      </c>
      <c r="E2" s="1156" t="s">
        <v>3448</v>
      </c>
      <c r="F2" s="1156">
        <v>1</v>
      </c>
      <c r="G2" s="1156">
        <v>104</v>
      </c>
      <c r="H2" s="1156" t="s">
        <v>3450</v>
      </c>
      <c r="I2" s="1156" t="s">
        <v>673</v>
      </c>
      <c r="J2" s="1156" t="s">
        <v>3451</v>
      </c>
      <c r="K2" s="1156">
        <v>302.10000000000002</v>
      </c>
      <c r="L2" s="1156">
        <v>895.73</v>
      </c>
      <c r="M2" s="1156">
        <v>29650</v>
      </c>
      <c r="N2" s="1156"/>
      <c r="O2" s="1156"/>
      <c r="P2" s="2579"/>
      <c r="Q2" s="1156"/>
      <c r="R2" s="1156"/>
      <c r="S2" s="1156"/>
      <c r="T2" s="1156"/>
      <c r="U2" s="1156"/>
    </row>
    <row r="3" spans="1:21" s="3172" customFormat="1">
      <c r="A3" s="3212">
        <v>45676.333831018521</v>
      </c>
      <c r="B3" s="3165" t="s">
        <v>3448</v>
      </c>
      <c r="C3" s="3165" t="s">
        <v>3449</v>
      </c>
      <c r="D3" s="3165" t="s">
        <v>3448</v>
      </c>
      <c r="E3" s="3165" t="s">
        <v>3448</v>
      </c>
      <c r="F3" s="3165">
        <v>1</v>
      </c>
      <c r="G3" s="3165">
        <v>102</v>
      </c>
      <c r="H3" s="3165" t="s">
        <v>3450</v>
      </c>
      <c r="I3" s="3165" t="s">
        <v>673</v>
      </c>
      <c r="J3" s="3165" t="s">
        <v>3451</v>
      </c>
      <c r="K3" s="3165">
        <v>242.17</v>
      </c>
      <c r="L3" s="3165">
        <v>929.45</v>
      </c>
      <c r="M3" s="3165">
        <v>38380</v>
      </c>
      <c r="N3" s="3166" t="s">
        <v>3452</v>
      </c>
      <c r="O3" s="3165">
        <v>0.63</v>
      </c>
      <c r="P3" s="3166"/>
      <c r="Q3" s="3165"/>
      <c r="R3" s="3165"/>
      <c r="S3" s="3166" t="s">
        <v>3469</v>
      </c>
      <c r="T3" s="3165"/>
      <c r="U3" s="3165"/>
    </row>
    <row r="4" spans="1:21">
      <c r="A4" s="3212">
        <v>45676.333831018521</v>
      </c>
      <c r="B4" s="1156" t="s">
        <v>3448</v>
      </c>
      <c r="C4" s="1156" t="s">
        <v>3449</v>
      </c>
      <c r="D4" s="1156" t="s">
        <v>3448</v>
      </c>
      <c r="E4" s="1156" t="s">
        <v>3448</v>
      </c>
      <c r="F4" s="1156">
        <v>1</v>
      </c>
      <c r="G4" s="1156">
        <v>101</v>
      </c>
      <c r="H4" s="1156" t="s">
        <v>3450</v>
      </c>
      <c r="I4" s="1156" t="s">
        <v>673</v>
      </c>
      <c r="J4" s="1156" t="s">
        <v>3451</v>
      </c>
      <c r="K4" s="1156">
        <v>285.11</v>
      </c>
      <c r="L4" s="1156">
        <v>784.05</v>
      </c>
      <c r="M4" s="1156">
        <v>27500</v>
      </c>
      <c r="N4" s="1156"/>
      <c r="O4" s="1156"/>
      <c r="P4" s="2579"/>
      <c r="Q4" s="1156"/>
      <c r="R4" s="1156"/>
      <c r="S4" s="1156"/>
      <c r="T4" s="1156"/>
      <c r="U4" s="1156"/>
    </row>
    <row r="5" spans="1:21">
      <c r="A5" s="3212">
        <v>45630.333831018521</v>
      </c>
      <c r="B5" s="3165" t="s">
        <v>3448</v>
      </c>
      <c r="C5" s="3165" t="s">
        <v>3449</v>
      </c>
      <c r="D5" s="3165" t="s">
        <v>3448</v>
      </c>
      <c r="E5" s="3165" t="s">
        <v>3448</v>
      </c>
      <c r="F5" s="3165">
        <v>1</v>
      </c>
      <c r="G5" s="3165">
        <v>103</v>
      </c>
      <c r="H5" s="3165" t="s">
        <v>3450</v>
      </c>
      <c r="I5" s="3165" t="s">
        <v>673</v>
      </c>
      <c r="J5" s="3165" t="s">
        <v>3451</v>
      </c>
      <c r="K5" s="3165">
        <v>242.22</v>
      </c>
      <c r="L5" s="3165">
        <v>690.33</v>
      </c>
      <c r="M5" s="3165">
        <v>28500</v>
      </c>
      <c r="N5" s="3165"/>
      <c r="O5" s="3166"/>
      <c r="P5" s="3166"/>
      <c r="Q5" s="3165"/>
      <c r="R5" s="3165"/>
      <c r="S5" s="3166" t="s">
        <v>3468</v>
      </c>
      <c r="T5" s="3165"/>
      <c r="U5" s="3165"/>
    </row>
    <row r="6" spans="1:21">
      <c r="A6" s="3212">
        <v>45590.333831018521</v>
      </c>
      <c r="B6" s="1156" t="s">
        <v>3448</v>
      </c>
      <c r="C6" s="1156" t="s">
        <v>3449</v>
      </c>
      <c r="D6" s="1156" t="s">
        <v>3448</v>
      </c>
      <c r="E6" s="1156" t="s">
        <v>3448</v>
      </c>
      <c r="F6" s="1156">
        <v>1</v>
      </c>
      <c r="G6" s="1156">
        <v>106</v>
      </c>
      <c r="H6" s="1156" t="s">
        <v>3453</v>
      </c>
      <c r="I6" s="1156" t="s">
        <v>673</v>
      </c>
      <c r="J6" s="1156" t="s">
        <v>3451</v>
      </c>
      <c r="K6" s="1156">
        <v>278.18</v>
      </c>
      <c r="L6" s="1156">
        <v>834.54</v>
      </c>
      <c r="M6" s="1156">
        <v>30000</v>
      </c>
      <c r="N6" s="1156"/>
      <c r="O6" s="1156"/>
      <c r="P6" s="1156"/>
      <c r="Q6" s="1156"/>
      <c r="R6" s="1156"/>
      <c r="S6" s="1156"/>
      <c r="T6" s="1156"/>
      <c r="U6" s="1156"/>
    </row>
    <row r="7" spans="1:21" s="3172" customFormat="1">
      <c r="A7" s="3212">
        <v>45590.333831018521</v>
      </c>
      <c r="B7" s="3165" t="s">
        <v>3448</v>
      </c>
      <c r="C7" s="3165" t="s">
        <v>3454</v>
      </c>
      <c r="D7" s="3165" t="s">
        <v>3448</v>
      </c>
      <c r="E7" s="3165" t="s">
        <v>3448</v>
      </c>
      <c r="F7" s="3165">
        <v>1</v>
      </c>
      <c r="G7" s="3165">
        <v>105</v>
      </c>
      <c r="H7" s="3165" t="s">
        <v>3455</v>
      </c>
      <c r="I7" s="3165" t="s">
        <v>673</v>
      </c>
      <c r="J7" s="3165" t="s">
        <v>3451</v>
      </c>
      <c r="K7" s="3165">
        <v>322.3</v>
      </c>
      <c r="L7" s="3165">
        <v>837.98</v>
      </c>
      <c r="M7" s="3165">
        <v>26000</v>
      </c>
      <c r="N7" s="3165"/>
      <c r="O7" s="3165"/>
      <c r="P7" s="3166" t="s">
        <v>3456</v>
      </c>
      <c r="Q7" s="3165"/>
      <c r="R7" s="3165"/>
      <c r="S7" s="3166" t="s">
        <v>3467</v>
      </c>
      <c r="T7" s="3165"/>
      <c r="U7" s="3165"/>
    </row>
    <row r="8" spans="1:21">
      <c r="A8" s="3212">
        <v>45587.333831018521</v>
      </c>
      <c r="B8" s="1156" t="s">
        <v>3448</v>
      </c>
      <c r="C8" s="1156" t="s">
        <v>3449</v>
      </c>
      <c r="D8" s="1156" t="s">
        <v>3448</v>
      </c>
      <c r="E8" s="1156" t="s">
        <v>3448</v>
      </c>
      <c r="F8" s="1156">
        <v>1</v>
      </c>
      <c r="G8" s="1156">
        <v>109</v>
      </c>
      <c r="H8" s="1156" t="s">
        <v>3453</v>
      </c>
      <c r="I8" s="1156" t="s">
        <v>673</v>
      </c>
      <c r="J8" s="1156" t="s">
        <v>3451</v>
      </c>
      <c r="K8" s="1156">
        <v>146.1</v>
      </c>
      <c r="L8" s="1156">
        <v>540.57000000000005</v>
      </c>
      <c r="M8" s="1156">
        <v>37000</v>
      </c>
      <c r="N8" s="1156"/>
      <c r="O8" s="1156"/>
      <c r="P8" s="2579"/>
      <c r="Q8" s="1156"/>
      <c r="R8" s="1156"/>
      <c r="S8" s="1156"/>
      <c r="T8" s="1156"/>
      <c r="U8" s="1156"/>
    </row>
    <row r="9" spans="1:21">
      <c r="A9" s="3212">
        <v>45587.333831018521</v>
      </c>
      <c r="B9" s="3169" t="s">
        <v>3448</v>
      </c>
      <c r="C9" s="3169" t="s">
        <v>3454</v>
      </c>
      <c r="D9" s="3169" t="s">
        <v>3448</v>
      </c>
      <c r="E9" s="3169" t="s">
        <v>3448</v>
      </c>
      <c r="F9" s="3169">
        <v>1</v>
      </c>
      <c r="G9" s="3169">
        <v>104</v>
      </c>
      <c r="H9" s="3169" t="s">
        <v>3455</v>
      </c>
      <c r="I9" s="3169" t="s">
        <v>673</v>
      </c>
      <c r="J9" s="3169" t="s">
        <v>3451</v>
      </c>
      <c r="K9" s="3169">
        <v>145.44999999999999</v>
      </c>
      <c r="L9" s="3169">
        <v>523.62</v>
      </c>
      <c r="M9" s="3169">
        <v>36000</v>
      </c>
      <c r="N9" s="3169"/>
      <c r="O9" s="3169"/>
      <c r="P9" s="3170" t="s">
        <v>3457</v>
      </c>
      <c r="Q9" s="3169"/>
      <c r="R9" s="3169"/>
      <c r="S9" s="3169"/>
      <c r="T9" s="3169"/>
      <c r="U9" s="3169"/>
    </row>
    <row r="10" spans="1:21">
      <c r="A10" s="3212">
        <v>45587.333831018521</v>
      </c>
      <c r="B10" s="1156" t="s">
        <v>3448</v>
      </c>
      <c r="C10" s="1156" t="s">
        <v>3449</v>
      </c>
      <c r="D10" s="1156" t="s">
        <v>3448</v>
      </c>
      <c r="E10" s="1156" t="s">
        <v>3448</v>
      </c>
      <c r="F10" s="1156">
        <v>1</v>
      </c>
      <c r="G10" s="1156">
        <v>101</v>
      </c>
      <c r="H10" s="1156" t="s">
        <v>3453</v>
      </c>
      <c r="I10" s="1156" t="s">
        <v>673</v>
      </c>
      <c r="J10" s="1156" t="s">
        <v>3451</v>
      </c>
      <c r="K10" s="1156">
        <v>268.64999999999998</v>
      </c>
      <c r="L10" s="1156">
        <v>832.82</v>
      </c>
      <c r="M10" s="1156">
        <v>31000</v>
      </c>
      <c r="N10" s="2579" t="s">
        <v>3458</v>
      </c>
      <c r="O10" s="1156"/>
      <c r="P10" s="1156"/>
      <c r="Q10" s="1156"/>
      <c r="R10" s="1156"/>
      <c r="S10" s="1156"/>
      <c r="T10" s="1156"/>
      <c r="U10" s="1156"/>
    </row>
    <row r="11" spans="1:21">
      <c r="A11" s="3212">
        <v>45587.333831018521</v>
      </c>
      <c r="B11" s="3169" t="s">
        <v>3448</v>
      </c>
      <c r="C11" s="3169" t="s">
        <v>3454</v>
      </c>
      <c r="D11" s="3169" t="s">
        <v>3448</v>
      </c>
      <c r="E11" s="3169" t="s">
        <v>3448</v>
      </c>
      <c r="F11" s="3169">
        <v>1</v>
      </c>
      <c r="G11" s="3169">
        <v>103</v>
      </c>
      <c r="H11" s="3169" t="s">
        <v>3455</v>
      </c>
      <c r="I11" s="3169" t="s">
        <v>673</v>
      </c>
      <c r="J11" s="3169" t="s">
        <v>3451</v>
      </c>
      <c r="K11" s="3169">
        <v>151.93</v>
      </c>
      <c r="L11" s="3169">
        <v>546.95000000000005</v>
      </c>
      <c r="M11" s="3169">
        <v>36000</v>
      </c>
      <c r="N11" s="3169"/>
      <c r="O11" s="3169"/>
      <c r="P11" s="3170" t="s">
        <v>3457</v>
      </c>
      <c r="Q11" s="3169"/>
      <c r="R11" s="3169"/>
      <c r="S11" s="3169"/>
      <c r="T11" s="3169"/>
      <c r="U11" s="3169"/>
    </row>
    <row r="12" spans="1:21">
      <c r="A12" s="3212">
        <v>45587.333831018521</v>
      </c>
      <c r="B12" s="1156" t="s">
        <v>3448</v>
      </c>
      <c r="C12" s="1156" t="s">
        <v>3449</v>
      </c>
      <c r="D12" s="1156" t="s">
        <v>3448</v>
      </c>
      <c r="E12" s="1156" t="s">
        <v>3448</v>
      </c>
      <c r="F12" s="1156">
        <v>1</v>
      </c>
      <c r="G12" s="1156">
        <v>108</v>
      </c>
      <c r="H12" s="1156" t="s">
        <v>3453</v>
      </c>
      <c r="I12" s="1156" t="s">
        <v>673</v>
      </c>
      <c r="J12" s="1156" t="s">
        <v>3451</v>
      </c>
      <c r="K12" s="1156">
        <v>152.38999999999999</v>
      </c>
      <c r="L12" s="1156">
        <v>563.84</v>
      </c>
      <c r="M12" s="1156">
        <v>37000</v>
      </c>
      <c r="N12" s="1156"/>
      <c r="O12" s="1156"/>
      <c r="P12" s="1156"/>
      <c r="Q12" s="1156"/>
      <c r="R12" s="1156"/>
      <c r="S12" s="1156"/>
      <c r="T12" s="1156"/>
      <c r="U12" s="1156"/>
    </row>
    <row r="13" spans="1:21">
      <c r="A13" s="3212">
        <v>45573.333831018521</v>
      </c>
      <c r="B13" s="3167" t="s">
        <v>3448</v>
      </c>
      <c r="C13" s="3167" t="s">
        <v>3454</v>
      </c>
      <c r="D13" s="3167" t="s">
        <v>3448</v>
      </c>
      <c r="E13" s="3167" t="s">
        <v>3448</v>
      </c>
      <c r="F13" s="3167">
        <v>1</v>
      </c>
      <c r="G13" s="3167">
        <v>102</v>
      </c>
      <c r="H13" s="3167" t="s">
        <v>3455</v>
      </c>
      <c r="I13" s="3167" t="s">
        <v>673</v>
      </c>
      <c r="J13" s="3167" t="s">
        <v>3451</v>
      </c>
      <c r="K13" s="3167">
        <v>245.74</v>
      </c>
      <c r="L13" s="3167">
        <v>737.22</v>
      </c>
      <c r="M13" s="3167">
        <v>30000</v>
      </c>
      <c r="N13" s="3167"/>
      <c r="O13" s="3167"/>
      <c r="P13" s="3168" t="s">
        <v>3457</v>
      </c>
      <c r="Q13" s="3168" t="s">
        <v>3471</v>
      </c>
      <c r="R13" s="3167"/>
      <c r="S13" s="3168" t="s">
        <v>3466</v>
      </c>
      <c r="T13" s="3167"/>
      <c r="U13" s="3167"/>
    </row>
    <row r="14" spans="1:21">
      <c r="A14" s="3212">
        <v>45573.333831018521</v>
      </c>
      <c r="B14" s="3169" t="s">
        <v>3448</v>
      </c>
      <c r="C14" s="3169" t="s">
        <v>3454</v>
      </c>
      <c r="D14" s="3169" t="s">
        <v>3448</v>
      </c>
      <c r="E14" s="3169" t="s">
        <v>3448</v>
      </c>
      <c r="F14" s="3169">
        <v>1</v>
      </c>
      <c r="G14" s="3169">
        <v>106</v>
      </c>
      <c r="H14" s="3169" t="s">
        <v>3455</v>
      </c>
      <c r="I14" s="3169" t="s">
        <v>673</v>
      </c>
      <c r="J14" s="3169" t="s">
        <v>3451</v>
      </c>
      <c r="K14" s="3169">
        <v>111.77</v>
      </c>
      <c r="L14" s="3169">
        <v>380.02</v>
      </c>
      <c r="M14" s="3169">
        <v>34000</v>
      </c>
      <c r="N14" s="3169"/>
      <c r="O14" s="3169"/>
      <c r="P14" s="3170" t="s">
        <v>3456</v>
      </c>
      <c r="Q14" s="3169"/>
      <c r="R14" s="3169"/>
      <c r="S14" s="3169"/>
      <c r="T14" s="3169"/>
      <c r="U14" s="3169"/>
    </row>
    <row r="15" spans="1:21">
      <c r="A15" s="3212">
        <v>45573.333831018521</v>
      </c>
      <c r="B15" s="1156" t="s">
        <v>3448</v>
      </c>
      <c r="C15" s="1156" t="s">
        <v>3449</v>
      </c>
      <c r="D15" s="1156" t="s">
        <v>3448</v>
      </c>
      <c r="E15" s="1156" t="s">
        <v>3448</v>
      </c>
      <c r="F15" s="1156">
        <v>1</v>
      </c>
      <c r="G15" s="1156">
        <v>107</v>
      </c>
      <c r="H15" s="1156" t="s">
        <v>3453</v>
      </c>
      <c r="I15" s="1156" t="s">
        <v>673</v>
      </c>
      <c r="J15" s="1156" t="s">
        <v>3451</v>
      </c>
      <c r="K15" s="1156">
        <v>185.8</v>
      </c>
      <c r="L15" s="1156">
        <v>687.46</v>
      </c>
      <c r="M15" s="1156">
        <v>37000</v>
      </c>
      <c r="N15" s="1156"/>
      <c r="O15" s="1156"/>
      <c r="P15" s="1156"/>
      <c r="Q15" s="1156"/>
      <c r="R15" s="1156"/>
      <c r="S15" s="1156"/>
      <c r="T15" s="1156"/>
      <c r="U15" s="1156"/>
    </row>
    <row r="16" spans="1:21">
      <c r="A16" s="3212">
        <v>45573.333831018521</v>
      </c>
      <c r="C16" s="1156" t="s">
        <v>3454</v>
      </c>
      <c r="D16" s="1156" t="s">
        <v>3448</v>
      </c>
      <c r="F16" s="1156">
        <v>1</v>
      </c>
      <c r="G16" s="1156">
        <v>101</v>
      </c>
      <c r="H16" s="1156" t="s">
        <v>3455</v>
      </c>
      <c r="I16" s="1156" t="s">
        <v>673</v>
      </c>
      <c r="J16" s="1156" t="s">
        <v>3451</v>
      </c>
      <c r="K16" s="1156">
        <v>101.42</v>
      </c>
      <c r="L16" s="1156">
        <v>395.54</v>
      </c>
      <c r="M16" s="1156">
        <v>39000</v>
      </c>
      <c r="N16" s="1156"/>
      <c r="O16" s="2579"/>
      <c r="P16" s="1156"/>
      <c r="Q16" s="1156"/>
      <c r="R16" s="1156"/>
      <c r="S16" s="1156"/>
      <c r="T16" s="1156"/>
    </row>
    <row r="17" spans="1:20">
      <c r="A17" s="3212"/>
      <c r="C17" s="1156"/>
      <c r="D17" s="1156"/>
      <c r="F17" s="1156"/>
      <c r="G17" s="1156"/>
      <c r="H17" s="1156"/>
      <c r="I17" s="1156"/>
      <c r="J17" s="1156"/>
      <c r="K17" s="1156"/>
      <c r="L17" s="1156"/>
      <c r="M17" s="1156"/>
      <c r="N17" s="1156"/>
      <c r="O17" s="2579"/>
      <c r="P17" s="1156"/>
      <c r="Q17" s="1156"/>
      <c r="R17" s="1156"/>
      <c r="S17" s="1156"/>
      <c r="T17" s="1156"/>
    </row>
    <row r="18" spans="1:20">
      <c r="A18" s="3212"/>
      <c r="C18" s="1156"/>
      <c r="D18" s="1156"/>
      <c r="F18" s="1156"/>
      <c r="G18" s="1156"/>
      <c r="H18" s="1156"/>
      <c r="I18" s="1156"/>
      <c r="J18" s="1156"/>
      <c r="K18" s="1156"/>
      <c r="L18" s="1156"/>
      <c r="M18" s="1156"/>
      <c r="N18" s="1156"/>
      <c r="O18" s="2579"/>
      <c r="P18" s="1156"/>
      <c r="Q18" s="1156"/>
      <c r="R18" s="1156"/>
      <c r="S18" s="1156"/>
      <c r="T18" s="1156"/>
    </row>
    <row r="19" spans="1:20">
      <c r="L19" s="3552" t="s">
        <v>3663</v>
      </c>
      <c r="M19" s="3552"/>
      <c r="N19" s="3552"/>
      <c r="O19" s="3552"/>
      <c r="P19" s="3552"/>
      <c r="Q19" s="3552"/>
      <c r="R19" s="3552"/>
      <c r="S19" s="3552"/>
      <c r="T19" s="3552"/>
    </row>
    <row r="20" spans="1:20">
      <c r="O20" s="1405" t="s">
        <v>3459</v>
      </c>
      <c r="P20" s="1405" t="s">
        <v>3390</v>
      </c>
      <c r="Q20" s="1405" t="s">
        <v>3459</v>
      </c>
      <c r="R20" s="1405" t="s">
        <v>3390</v>
      </c>
      <c r="S20" s="1405" t="s">
        <v>3389</v>
      </c>
    </row>
    <row r="21" spans="1:20">
      <c r="L21" s="3550" t="s">
        <v>3659</v>
      </c>
      <c r="M21" s="3550" t="s">
        <v>3660</v>
      </c>
      <c r="N21" s="3550" t="s">
        <v>3661</v>
      </c>
      <c r="O21" s="3550">
        <f ca="1">[5]系统读取表!$D$14</f>
        <v>832</v>
      </c>
      <c r="P21" s="3550">
        <f ca="1">[5]系统读取表!$E$14</f>
        <v>33857</v>
      </c>
      <c r="Q21" s="3551">
        <f>L13</f>
        <v>737.22</v>
      </c>
      <c r="R21" s="3551">
        <f>M13</f>
        <v>30000</v>
      </c>
      <c r="S21" s="3550">
        <f>K13</f>
        <v>245.74</v>
      </c>
      <c r="T21" s="3550">
        <f ca="1">P21/R21</f>
        <v>1.1285666666666667</v>
      </c>
    </row>
    <row r="22" spans="1:20">
      <c r="M22" s="1405" t="s">
        <v>3467</v>
      </c>
      <c r="N22" s="1405" t="s">
        <v>3460</v>
      </c>
      <c r="O22">
        <f>[2]结果表!$H$101</f>
        <v>960</v>
      </c>
      <c r="P22">
        <f>[2]结果表!$H$102</f>
        <v>29775</v>
      </c>
      <c r="Q22" s="3171">
        <f>L7</f>
        <v>837.98</v>
      </c>
      <c r="R22" s="3171">
        <f>M7</f>
        <v>26000</v>
      </c>
      <c r="S22">
        <f>K7</f>
        <v>322.3</v>
      </c>
      <c r="T22">
        <f>P22/R22</f>
        <v>1.1451923076923076</v>
      </c>
    </row>
    <row r="23" spans="1:20">
      <c r="M23" s="1405" t="s">
        <v>3468</v>
      </c>
      <c r="N23" s="1405" t="s">
        <v>3461</v>
      </c>
      <c r="O23">
        <f>[3]结果表!$H$101</f>
        <v>711</v>
      </c>
      <c r="P23">
        <f>[3]结果表!$H$102</f>
        <v>29334</v>
      </c>
      <c r="Q23" s="3171">
        <f>L5</f>
        <v>690.33</v>
      </c>
      <c r="R23" s="3171">
        <f>M5</f>
        <v>28500</v>
      </c>
      <c r="S23">
        <f>K5</f>
        <v>242.22</v>
      </c>
      <c r="T23">
        <f>P23/R23</f>
        <v>1.0292631578947369</v>
      </c>
    </row>
    <row r="24" spans="1:20">
      <c r="L24" s="1405" t="s">
        <v>3662</v>
      </c>
      <c r="M24" s="1405" t="s">
        <v>3470</v>
      </c>
      <c r="N24" s="1405" t="s">
        <v>3658</v>
      </c>
      <c r="O24">
        <f ca="1">系统读取表!D14</f>
        <v>700</v>
      </c>
      <c r="P24">
        <f ca="1">系统读取表!E14</f>
        <v>28915</v>
      </c>
      <c r="Q24">
        <f>L3</f>
        <v>929.45</v>
      </c>
      <c r="R24">
        <f>M3</f>
        <v>38380</v>
      </c>
      <c r="S24">
        <f>K3</f>
        <v>242.17</v>
      </c>
      <c r="T24">
        <f ca="1">P24/R24</f>
        <v>0.75338718082334544</v>
      </c>
    </row>
    <row r="25" spans="1:20">
      <c r="N25" s="1405" t="s">
        <v>2592</v>
      </c>
      <c r="O25">
        <f ca="1">O22+O23+O24</f>
        <v>2371</v>
      </c>
    </row>
    <row r="27" spans="1:20">
      <c r="M27" s="1405" t="s">
        <v>3664</v>
      </c>
      <c r="N27">
        <v>6.27</v>
      </c>
      <c r="O27">
        <v>14.5</v>
      </c>
      <c r="P27">
        <f>N27*O27</f>
        <v>90.914999999999992</v>
      </c>
    </row>
    <row r="28" spans="1:20">
      <c r="N28" s="1405">
        <f>13.95-6.27</f>
        <v>7.68</v>
      </c>
      <c r="O28">
        <v>3.51</v>
      </c>
      <c r="P28">
        <f t="shared" ref="P28:P30" si="0">N28*O28</f>
        <v>26.956799999999998</v>
      </c>
    </row>
    <row r="29" spans="1:20">
      <c r="N29">
        <v>0.98</v>
      </c>
      <c r="O29">
        <v>1.47</v>
      </c>
      <c r="P29">
        <f t="shared" si="0"/>
        <v>1.4405999999999999</v>
      </c>
    </row>
    <row r="30" spans="1:20">
      <c r="N30">
        <f>5.92-0.98</f>
        <v>4.9399999999999995</v>
      </c>
      <c r="O30">
        <f>14.5-4.03-3.51</f>
        <v>6.9599999999999991</v>
      </c>
      <c r="P30">
        <f t="shared" si="0"/>
        <v>34.38239999999999</v>
      </c>
      <c r="Q30" s="1405" t="s">
        <v>3462</v>
      </c>
    </row>
    <row r="31" spans="1:20">
      <c r="O31" s="1405" t="s">
        <v>3463</v>
      </c>
      <c r="P31">
        <f>SUM(P27:P30)</f>
        <v>153.69479999999999</v>
      </c>
      <c r="Q31">
        <f>ROUND(P31/P35,2)</f>
        <v>0.63</v>
      </c>
    </row>
    <row r="32" spans="1:20">
      <c r="O32" s="1405" t="s">
        <v>3464</v>
      </c>
      <c r="P32">
        <f>P35-P31</f>
        <v>88.475200000000001</v>
      </c>
      <c r="Q32">
        <f>ROUND(P32/P35,2)</f>
        <v>0.37</v>
      </c>
    </row>
    <row r="35" spans="15:16">
      <c r="O35" s="1405" t="s">
        <v>3465</v>
      </c>
      <c r="P35">
        <v>242.17</v>
      </c>
    </row>
  </sheetData>
  <mergeCells count="1">
    <mergeCell ref="L19:T19"/>
  </mergeCells>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0A26-9C66-4AE6-BC93-1662252DDA39}">
  <sheetPr>
    <tabColor rgb="FF7030A0"/>
  </sheetPr>
  <dimension ref="A1:N165"/>
  <sheetViews>
    <sheetView workbookViewId="0">
      <selection activeCell="C12" sqref="C12"/>
    </sheetView>
  </sheetViews>
  <sheetFormatPr defaultRowHeight="14.4"/>
  <cols>
    <col min="1" max="1" width="19.109375" style="3178" customWidth="1"/>
    <col min="2" max="2" width="13" style="3178" customWidth="1"/>
    <col min="3" max="3" width="15.33203125" style="3178" customWidth="1"/>
    <col min="4" max="4" width="19" style="3178" customWidth="1"/>
    <col min="5" max="5" width="17.21875" style="3178" customWidth="1"/>
    <col min="6" max="6" width="13.88671875" style="3178" customWidth="1"/>
    <col min="7" max="8" width="11.6640625" style="3178" bestFit="1" customWidth="1"/>
    <col min="9" max="9" width="11" style="3178" customWidth="1"/>
    <col min="10" max="10" width="11.33203125" style="3178" customWidth="1"/>
    <col min="11" max="11" width="10.44140625" style="3178" customWidth="1"/>
    <col min="12" max="16384" width="8.88671875" style="3178"/>
  </cols>
  <sheetData>
    <row r="1" spans="1:14">
      <c r="A1" s="3177" t="s">
        <v>3478</v>
      </c>
    </row>
    <row r="2" spans="1:14">
      <c r="A2" s="3179" t="s">
        <v>3479</v>
      </c>
      <c r="B2" s="3179" t="s">
        <v>3480</v>
      </c>
      <c r="C2" s="3179" t="s">
        <v>3481</v>
      </c>
      <c r="D2" s="3179" t="s">
        <v>3482</v>
      </c>
      <c r="E2" s="3179" t="s">
        <v>3483</v>
      </c>
      <c r="F2" s="3180"/>
      <c r="G2" s="3180" t="str">
        <f>D12</f>
        <v>租赁期限</v>
      </c>
      <c r="H2" s="3180"/>
    </row>
    <row r="3" spans="1:14">
      <c r="A3" s="3179" t="str">
        <f>A13</f>
        <v>68-3-102-02</v>
      </c>
      <c r="B3" s="3180">
        <f>B13</f>
        <v>55</v>
      </c>
      <c r="C3" s="3179" t="s">
        <v>3484</v>
      </c>
      <c r="D3" s="3180">
        <f>E40</f>
        <v>8.56</v>
      </c>
      <c r="E3" s="3180">
        <f>J40</f>
        <v>8.99</v>
      </c>
      <c r="F3" s="3180" t="str">
        <f>F15</f>
        <v>每两年递增6%</v>
      </c>
      <c r="G3" s="3181">
        <f>D13</f>
        <v>45627</v>
      </c>
      <c r="H3" s="3181">
        <f>E13</f>
        <v>47817</v>
      </c>
    </row>
    <row r="4" spans="1:14">
      <c r="A4" s="3179" t="str">
        <f>A43</f>
        <v>68-3-105-02</v>
      </c>
      <c r="B4" s="3180">
        <f>B43</f>
        <v>20</v>
      </c>
      <c r="C4" s="3179" t="s">
        <v>3484</v>
      </c>
      <c r="D4" s="3180">
        <f>D67</f>
        <v>7.35</v>
      </c>
      <c r="E4" s="3180">
        <f>J67</f>
        <v>7.35</v>
      </c>
      <c r="F4" s="3180" t="str">
        <f>G45</f>
        <v>每两年递增5%</v>
      </c>
      <c r="G4" s="3181">
        <f>D43</f>
        <v>45728</v>
      </c>
      <c r="H4" s="3181">
        <f>E43</f>
        <v>47553</v>
      </c>
    </row>
    <row r="5" spans="1:14">
      <c r="A5" s="3179" t="str">
        <f>A71</f>
        <v>68-3-105-03</v>
      </c>
      <c r="B5" s="3180">
        <f>B71</f>
        <v>40</v>
      </c>
      <c r="C5" s="3179" t="s">
        <v>3484</v>
      </c>
      <c r="D5" s="3180">
        <f>E95</f>
        <v>8.65</v>
      </c>
      <c r="E5" s="3180">
        <f>J95</f>
        <v>9.08</v>
      </c>
      <c r="F5" s="3180" t="str">
        <f>G73</f>
        <v>每两年递增5%</v>
      </c>
      <c r="G5" s="3181">
        <f>D71</f>
        <v>45651</v>
      </c>
      <c r="H5" s="3181">
        <f>E71</f>
        <v>47476</v>
      </c>
    </row>
    <row r="6" spans="1:14">
      <c r="A6" s="3179" t="str">
        <f>A100</f>
        <v>66-1-103-01</v>
      </c>
      <c r="B6" s="3180">
        <f>B100</f>
        <v>100</v>
      </c>
      <c r="C6" s="3179" t="s">
        <v>3484</v>
      </c>
      <c r="D6" s="3180">
        <f>E124</f>
        <v>5.6</v>
      </c>
      <c r="E6" s="3180">
        <f>J124</f>
        <v>5.88</v>
      </c>
      <c r="F6" s="3180" t="str">
        <f>H102</f>
        <v>每三年递增5%</v>
      </c>
      <c r="G6" s="3181">
        <f>D100</f>
        <v>45764</v>
      </c>
      <c r="H6" s="3181">
        <f>E100</f>
        <v>47589</v>
      </c>
    </row>
    <row r="7" spans="1:14">
      <c r="A7" s="3179" t="str">
        <f>A128</f>
        <v>66-1-103-02</v>
      </c>
      <c r="B7" s="3180">
        <f>B128</f>
        <v>62</v>
      </c>
      <c r="C7" s="3179" t="s">
        <v>3484</v>
      </c>
      <c r="D7" s="3180">
        <f>E151</f>
        <v>6.62</v>
      </c>
      <c r="E7" s="3180">
        <f>J151</f>
        <v>6.95</v>
      </c>
      <c r="F7" s="3180" t="str">
        <f>H130</f>
        <v>每两年递增6%</v>
      </c>
      <c r="G7" s="3181">
        <f>D128</f>
        <v>45641</v>
      </c>
      <c r="H7" s="3181">
        <f>E128</f>
        <v>47466</v>
      </c>
    </row>
    <row r="8" spans="1:14">
      <c r="A8" s="3182" t="s">
        <v>3485</v>
      </c>
      <c r="B8" s="3183">
        <v>62</v>
      </c>
      <c r="C8" s="3183" t="s">
        <v>3486</v>
      </c>
      <c r="D8" s="3183">
        <f>E165</f>
        <v>6.95</v>
      </c>
      <c r="E8" s="3183">
        <f>I165</f>
        <v>7.3</v>
      </c>
      <c r="F8" s="3183" t="str">
        <f>H158</f>
        <v>每两年递增6%</v>
      </c>
      <c r="G8" s="3184">
        <v>45698</v>
      </c>
      <c r="H8" s="3184">
        <v>47523</v>
      </c>
    </row>
    <row r="9" spans="1:14">
      <c r="A9" s="3177"/>
    </row>
    <row r="10" spans="1:14">
      <c r="A10" s="3177"/>
    </row>
    <row r="12" spans="1:14">
      <c r="A12" s="3185" t="s">
        <v>3479</v>
      </c>
      <c r="B12" s="3177" t="s">
        <v>2328</v>
      </c>
      <c r="C12" s="3177" t="s">
        <v>3487</v>
      </c>
      <c r="D12" s="3177" t="s">
        <v>3488</v>
      </c>
      <c r="F12" s="3177" t="s">
        <v>3489</v>
      </c>
      <c r="H12" s="3177" t="s">
        <v>3490</v>
      </c>
      <c r="K12" s="3177" t="s">
        <v>3491</v>
      </c>
      <c r="M12" s="3177" t="s">
        <v>3492</v>
      </c>
      <c r="N12" s="3177" t="s">
        <v>3493</v>
      </c>
    </row>
    <row r="13" spans="1:14">
      <c r="A13" s="3185" t="s">
        <v>3494</v>
      </c>
      <c r="B13" s="3177">
        <v>55</v>
      </c>
      <c r="C13" s="3177" t="s">
        <v>3495</v>
      </c>
      <c r="D13" s="3186">
        <v>45627</v>
      </c>
      <c r="E13" s="3186">
        <v>47817</v>
      </c>
      <c r="F13" s="3186">
        <v>45627</v>
      </c>
      <c r="G13" s="3186">
        <v>45676</v>
      </c>
      <c r="H13" s="3178">
        <v>50</v>
      </c>
      <c r="I13" s="3187" t="s">
        <v>3496</v>
      </c>
      <c r="J13" s="3177" t="s">
        <v>3497</v>
      </c>
      <c r="K13" s="3177">
        <v>13333</v>
      </c>
      <c r="M13" s="3178">
        <f>E13-D13-H13</f>
        <v>2140</v>
      </c>
      <c r="N13" s="3188">
        <v>0.06</v>
      </c>
    </row>
    <row r="15" spans="1:14">
      <c r="A15" s="3177" t="s">
        <v>3498</v>
      </c>
      <c r="B15" s="3177" t="s">
        <v>3499</v>
      </c>
      <c r="C15" s="3177" t="s">
        <v>3500</v>
      </c>
      <c r="D15" s="3177" t="s">
        <v>3501</v>
      </c>
      <c r="E15" s="3177" t="s">
        <v>3502</v>
      </c>
      <c r="F15" s="3177" t="s">
        <v>3503</v>
      </c>
      <c r="H15" s="3177" t="s">
        <v>3504</v>
      </c>
    </row>
    <row r="16" spans="1:14">
      <c r="A16" s="3186">
        <v>45621</v>
      </c>
      <c r="B16" s="3186">
        <v>45627</v>
      </c>
      <c r="C16" s="3186">
        <v>45777</v>
      </c>
      <c r="D16" s="3189">
        <v>7.97</v>
      </c>
      <c r="E16" s="3178">
        <v>45260</v>
      </c>
      <c r="H16" s="3178">
        <f>C16-B16-H13</f>
        <v>100</v>
      </c>
    </row>
    <row r="17" spans="1:8">
      <c r="A17" s="3186">
        <v>45762</v>
      </c>
      <c r="B17" s="3190">
        <v>45778</v>
      </c>
      <c r="C17" s="3186">
        <v>45900</v>
      </c>
      <c r="D17" s="3189">
        <v>7.97</v>
      </c>
      <c r="E17" s="3178">
        <v>53333</v>
      </c>
      <c r="H17" s="3178">
        <f>C17-B17</f>
        <v>122</v>
      </c>
    </row>
    <row r="18" spans="1:8">
      <c r="A18" s="3186">
        <v>45884</v>
      </c>
      <c r="B18" s="3186">
        <v>45901</v>
      </c>
      <c r="C18" s="3186">
        <v>45991</v>
      </c>
      <c r="D18" s="3189">
        <v>7.97</v>
      </c>
      <c r="E18" s="3178">
        <v>40000</v>
      </c>
      <c r="H18" s="3178">
        <f t="shared" ref="H18:H38" si="0">C18-B18</f>
        <v>90</v>
      </c>
    </row>
    <row r="19" spans="1:8">
      <c r="A19" s="3186">
        <v>45976</v>
      </c>
      <c r="B19" s="3186">
        <v>45992</v>
      </c>
      <c r="C19" s="3186">
        <v>46081</v>
      </c>
      <c r="D19" s="3189">
        <v>7.97</v>
      </c>
      <c r="E19" s="3178">
        <v>40000</v>
      </c>
      <c r="H19" s="3178">
        <f t="shared" si="0"/>
        <v>89</v>
      </c>
    </row>
    <row r="20" spans="1:8">
      <c r="A20" s="3186">
        <v>46068</v>
      </c>
      <c r="B20" s="3186">
        <v>46082</v>
      </c>
      <c r="C20" s="3186">
        <v>46173</v>
      </c>
      <c r="D20" s="3189">
        <v>7.97</v>
      </c>
      <c r="E20" s="3178">
        <v>40000</v>
      </c>
      <c r="H20" s="3178">
        <f t="shared" si="0"/>
        <v>91</v>
      </c>
    </row>
    <row r="21" spans="1:8">
      <c r="A21" s="3186">
        <v>46157</v>
      </c>
      <c r="B21" s="3186">
        <v>46174</v>
      </c>
      <c r="C21" s="3186">
        <v>46265</v>
      </c>
      <c r="D21" s="3189">
        <v>7.97</v>
      </c>
      <c r="E21" s="3178">
        <v>40000</v>
      </c>
      <c r="H21" s="3178">
        <f t="shared" si="0"/>
        <v>91</v>
      </c>
    </row>
    <row r="22" spans="1:8">
      <c r="A22" s="3186">
        <v>46249</v>
      </c>
      <c r="B22" s="3186">
        <v>46266</v>
      </c>
      <c r="C22" s="3186">
        <v>46356</v>
      </c>
      <c r="D22" s="3189">
        <v>7.97</v>
      </c>
      <c r="E22" s="3178">
        <v>40000</v>
      </c>
      <c r="H22" s="3178">
        <f t="shared" si="0"/>
        <v>90</v>
      </c>
    </row>
    <row r="23" spans="1:8">
      <c r="A23" s="3186">
        <v>46341</v>
      </c>
      <c r="B23" s="3186">
        <v>46357</v>
      </c>
      <c r="C23" s="3186">
        <v>46446</v>
      </c>
      <c r="D23" s="3189">
        <v>8.4499999999999993</v>
      </c>
      <c r="E23" s="3178">
        <v>42400</v>
      </c>
      <c r="F23" s="3178">
        <f>ROUND((D23-D22)/D22,2)</f>
        <v>0.06</v>
      </c>
      <c r="H23" s="3178">
        <f t="shared" si="0"/>
        <v>89</v>
      </c>
    </row>
    <row r="24" spans="1:8">
      <c r="A24" s="3186">
        <v>46433</v>
      </c>
      <c r="B24" s="3186">
        <v>46447</v>
      </c>
      <c r="C24" s="3186">
        <v>46538</v>
      </c>
      <c r="D24" s="3189">
        <v>8.4499999999999993</v>
      </c>
      <c r="E24" s="3178">
        <v>42400</v>
      </c>
      <c r="H24" s="3178">
        <f t="shared" si="0"/>
        <v>91</v>
      </c>
    </row>
    <row r="25" spans="1:8">
      <c r="A25" s="3186">
        <v>46522</v>
      </c>
      <c r="B25" s="3186">
        <v>46539</v>
      </c>
      <c r="C25" s="3186">
        <v>46630</v>
      </c>
      <c r="D25" s="3189">
        <v>8.4499999999999993</v>
      </c>
      <c r="E25" s="3178">
        <v>42400</v>
      </c>
      <c r="H25" s="3178">
        <f t="shared" si="0"/>
        <v>91</v>
      </c>
    </row>
    <row r="26" spans="1:8">
      <c r="A26" s="3186">
        <v>46614</v>
      </c>
      <c r="B26" s="3186">
        <v>46631</v>
      </c>
      <c r="C26" s="3186">
        <v>46721</v>
      </c>
      <c r="D26" s="3189">
        <v>8.4499999999999993</v>
      </c>
      <c r="E26" s="3178">
        <v>42400</v>
      </c>
      <c r="H26" s="3178">
        <f t="shared" si="0"/>
        <v>90</v>
      </c>
    </row>
    <row r="27" spans="1:8">
      <c r="A27" s="3186">
        <v>46706</v>
      </c>
      <c r="B27" s="3186">
        <v>46722</v>
      </c>
      <c r="C27" s="3186">
        <v>46812</v>
      </c>
      <c r="D27" s="3189">
        <v>8.4499999999999993</v>
      </c>
      <c r="E27" s="3178">
        <v>42400</v>
      </c>
      <c r="H27" s="3178">
        <f t="shared" si="0"/>
        <v>90</v>
      </c>
    </row>
    <row r="28" spans="1:8">
      <c r="A28" s="3186">
        <v>46798</v>
      </c>
      <c r="B28" s="3186">
        <v>46813</v>
      </c>
      <c r="C28" s="3186">
        <v>46904</v>
      </c>
      <c r="D28" s="3189">
        <v>8.4499999999999993</v>
      </c>
      <c r="E28" s="3178">
        <v>42400</v>
      </c>
      <c r="H28" s="3178">
        <f t="shared" si="0"/>
        <v>91</v>
      </c>
    </row>
    <row r="29" spans="1:8">
      <c r="A29" s="3186">
        <v>46888</v>
      </c>
      <c r="B29" s="3186">
        <v>46905</v>
      </c>
      <c r="C29" s="3186">
        <v>46996</v>
      </c>
      <c r="D29" s="3189">
        <v>8.4499999999999993</v>
      </c>
      <c r="E29" s="3178">
        <v>42400</v>
      </c>
      <c r="H29" s="3178">
        <f t="shared" si="0"/>
        <v>91</v>
      </c>
    </row>
    <row r="30" spans="1:8">
      <c r="A30" s="3186">
        <v>46980</v>
      </c>
      <c r="B30" s="3186">
        <v>46997</v>
      </c>
      <c r="C30" s="3186">
        <v>47087</v>
      </c>
      <c r="D30" s="3189">
        <v>8.4499999999999993</v>
      </c>
      <c r="E30" s="3178">
        <v>42400</v>
      </c>
      <c r="H30" s="3178">
        <f t="shared" si="0"/>
        <v>90</v>
      </c>
    </row>
    <row r="31" spans="1:8">
      <c r="A31" s="3186">
        <v>47072</v>
      </c>
      <c r="B31" s="3186">
        <v>47088</v>
      </c>
      <c r="C31" s="3186">
        <v>47178</v>
      </c>
      <c r="D31" s="3189">
        <v>8.9600000000000009</v>
      </c>
      <c r="E31" s="3178">
        <v>44944</v>
      </c>
      <c r="F31" s="3178">
        <f>ROUND((D31-D30)/D30,2)</f>
        <v>0.06</v>
      </c>
      <c r="H31" s="3178">
        <f t="shared" si="0"/>
        <v>90</v>
      </c>
    </row>
    <row r="32" spans="1:8">
      <c r="A32" s="3186">
        <v>47164</v>
      </c>
      <c r="B32" s="3186">
        <v>47179</v>
      </c>
      <c r="C32" s="3186">
        <v>47269</v>
      </c>
      <c r="D32" s="3189">
        <v>8.9600000000000009</v>
      </c>
      <c r="E32" s="3178">
        <v>44944</v>
      </c>
      <c r="H32" s="3178">
        <f t="shared" si="0"/>
        <v>90</v>
      </c>
    </row>
    <row r="33" spans="1:13">
      <c r="A33" s="3186">
        <v>47253</v>
      </c>
      <c r="B33" s="3186">
        <v>47270</v>
      </c>
      <c r="C33" s="3186">
        <v>47361</v>
      </c>
      <c r="D33" s="3189">
        <v>8.9600000000000009</v>
      </c>
      <c r="E33" s="3178">
        <v>44944</v>
      </c>
      <c r="H33" s="3178">
        <f t="shared" si="0"/>
        <v>91</v>
      </c>
    </row>
    <row r="34" spans="1:13">
      <c r="A34" s="3186">
        <v>47345</v>
      </c>
      <c r="B34" s="3186">
        <v>47362</v>
      </c>
      <c r="C34" s="3186">
        <v>47452</v>
      </c>
      <c r="D34" s="3189">
        <v>8.9600000000000009</v>
      </c>
      <c r="E34" s="3178">
        <v>44944</v>
      </c>
      <c r="H34" s="3178">
        <f t="shared" si="0"/>
        <v>90</v>
      </c>
    </row>
    <row r="35" spans="1:13">
      <c r="A35" s="3186">
        <v>47437</v>
      </c>
      <c r="B35" s="3186">
        <v>47453</v>
      </c>
      <c r="C35" s="3186">
        <v>47542</v>
      </c>
      <c r="D35" s="3189">
        <v>8.9600000000000009</v>
      </c>
      <c r="E35" s="3178">
        <v>44944</v>
      </c>
      <c r="H35" s="3178">
        <f t="shared" si="0"/>
        <v>89</v>
      </c>
    </row>
    <row r="36" spans="1:13">
      <c r="A36" s="3186">
        <v>47529</v>
      </c>
      <c r="B36" s="3186">
        <v>47543</v>
      </c>
      <c r="C36" s="3186">
        <v>47634</v>
      </c>
      <c r="D36" s="3189">
        <v>8.9600000000000009</v>
      </c>
      <c r="E36" s="3178">
        <v>44944</v>
      </c>
      <c r="H36" s="3178">
        <f t="shared" si="0"/>
        <v>91</v>
      </c>
    </row>
    <row r="37" spans="1:13">
      <c r="A37" s="3186">
        <v>47618</v>
      </c>
      <c r="B37" s="3186">
        <v>47635</v>
      </c>
      <c r="C37" s="3186">
        <v>47725</v>
      </c>
      <c r="D37" s="3189">
        <v>8.9600000000000009</v>
      </c>
      <c r="E37" s="3178">
        <v>44944</v>
      </c>
      <c r="H37" s="3178">
        <f t="shared" si="0"/>
        <v>90</v>
      </c>
    </row>
    <row r="38" spans="1:13">
      <c r="A38" s="3186">
        <v>47710</v>
      </c>
      <c r="B38" s="3186">
        <v>47726</v>
      </c>
      <c r="C38" s="3186">
        <v>47817</v>
      </c>
      <c r="D38" s="3189">
        <v>8.9600000000000009</v>
      </c>
      <c r="E38" s="3178">
        <v>44944</v>
      </c>
      <c r="H38" s="3178">
        <f t="shared" si="0"/>
        <v>91</v>
      </c>
    </row>
    <row r="39" spans="1:13">
      <c r="D39" s="3177" t="s">
        <v>3505</v>
      </c>
      <c r="E39" s="3178">
        <f>SUM(E16:E38)</f>
        <v>997345</v>
      </c>
      <c r="H39" s="3178">
        <f>SUM(H16:H38)</f>
        <v>2118</v>
      </c>
    </row>
    <row r="40" spans="1:13">
      <c r="D40" s="3185" t="s">
        <v>3506</v>
      </c>
      <c r="E40" s="3191">
        <f>ROUND(E39/B13/H39,2)</f>
        <v>8.56</v>
      </c>
      <c r="I40" s="3185" t="s">
        <v>3483</v>
      </c>
      <c r="J40" s="3191">
        <f>ROUND(E40*1.05,2)</f>
        <v>8.99</v>
      </c>
    </row>
    <row r="42" spans="1:13">
      <c r="A42" s="3185" t="s">
        <v>3479</v>
      </c>
      <c r="B42" s="3177" t="s">
        <v>2328</v>
      </c>
      <c r="C42" s="3177" t="s">
        <v>3487</v>
      </c>
      <c r="D42" s="3177" t="s">
        <v>3488</v>
      </c>
      <c r="F42" s="3177" t="s">
        <v>3489</v>
      </c>
      <c r="H42" s="3177" t="s">
        <v>3490</v>
      </c>
      <c r="K42" s="3177" t="s">
        <v>3491</v>
      </c>
      <c r="M42" s="3177" t="s">
        <v>3492</v>
      </c>
    </row>
    <row r="43" spans="1:13">
      <c r="A43" s="3185" t="s">
        <v>3507</v>
      </c>
      <c r="B43" s="3177">
        <v>20</v>
      </c>
      <c r="C43" s="3177" t="s">
        <v>3508</v>
      </c>
      <c r="D43" s="3190">
        <v>45728</v>
      </c>
      <c r="E43" s="3186">
        <v>47553</v>
      </c>
      <c r="F43" s="3186">
        <v>45728</v>
      </c>
      <c r="G43" s="3186">
        <v>45758</v>
      </c>
      <c r="H43" s="3178">
        <v>31</v>
      </c>
      <c r="I43" s="3187" t="s">
        <v>3509</v>
      </c>
      <c r="J43" s="3177" t="s">
        <v>3510</v>
      </c>
      <c r="K43" s="3177">
        <v>8500</v>
      </c>
      <c r="M43" s="3191">
        <f>E43-D43-H43</f>
        <v>1794</v>
      </c>
    </row>
    <row r="45" spans="1:13">
      <c r="A45" s="3177" t="s">
        <v>3498</v>
      </c>
      <c r="B45" s="3177" t="s">
        <v>3499</v>
      </c>
      <c r="C45" s="3177" t="s">
        <v>3500</v>
      </c>
      <c r="D45" s="3177" t="s">
        <v>3502</v>
      </c>
      <c r="E45" s="3177" t="s">
        <v>3511</v>
      </c>
      <c r="F45" s="3185" t="s">
        <v>3512</v>
      </c>
      <c r="G45" s="3177" t="s">
        <v>3513</v>
      </c>
      <c r="I45" s="3177" t="s">
        <v>3504</v>
      </c>
    </row>
    <row r="46" spans="1:13">
      <c r="A46" s="3186">
        <v>45728</v>
      </c>
      <c r="B46" s="3186">
        <v>45728</v>
      </c>
      <c r="C46" s="3186">
        <v>45819</v>
      </c>
      <c r="D46" s="3178">
        <v>8500</v>
      </c>
      <c r="E46" s="3178">
        <f>C46-B46-H43</f>
        <v>60</v>
      </c>
      <c r="F46" s="3191">
        <f>ROUND(D46/E46/$B$43,2)</f>
        <v>7.08</v>
      </c>
      <c r="I46" s="3178">
        <f>C46-B46-H43</f>
        <v>60</v>
      </c>
    </row>
    <row r="47" spans="1:13">
      <c r="A47" s="3186">
        <v>45804</v>
      </c>
      <c r="B47" s="3186">
        <v>45820</v>
      </c>
      <c r="C47" s="3186">
        <v>45911</v>
      </c>
      <c r="D47" s="3178">
        <v>12750</v>
      </c>
      <c r="E47" s="3178">
        <f t="shared" ref="E47:E65" si="1">C47-B47</f>
        <v>91</v>
      </c>
      <c r="F47" s="3191">
        <f t="shared" ref="F47:F65" si="2">ROUND(D47/E47/$B$43,2)</f>
        <v>7.01</v>
      </c>
      <c r="I47" s="3178">
        <f>C47-B47</f>
        <v>91</v>
      </c>
    </row>
    <row r="48" spans="1:13">
      <c r="A48" s="3186">
        <v>45896</v>
      </c>
      <c r="B48" s="3186">
        <v>45912</v>
      </c>
      <c r="C48" s="3186">
        <v>46002</v>
      </c>
      <c r="D48" s="3178">
        <v>12750</v>
      </c>
      <c r="E48" s="3178">
        <f t="shared" si="1"/>
        <v>90</v>
      </c>
      <c r="F48" s="3191">
        <f t="shared" si="2"/>
        <v>7.08</v>
      </c>
      <c r="I48" s="3178">
        <f t="shared" ref="I48:I65" si="3">C48-B48</f>
        <v>90</v>
      </c>
    </row>
    <row r="49" spans="1:9">
      <c r="A49" s="3186">
        <v>45988</v>
      </c>
      <c r="B49" s="3186">
        <v>46003</v>
      </c>
      <c r="C49" s="3186">
        <v>46092</v>
      </c>
      <c r="D49" s="3178">
        <v>12750</v>
      </c>
      <c r="E49" s="3178">
        <f t="shared" si="1"/>
        <v>89</v>
      </c>
      <c r="F49" s="3191">
        <f t="shared" si="2"/>
        <v>7.16</v>
      </c>
      <c r="I49" s="3178">
        <f t="shared" si="3"/>
        <v>89</v>
      </c>
    </row>
    <row r="50" spans="1:9">
      <c r="A50" s="3190">
        <v>46080</v>
      </c>
      <c r="B50" s="3186">
        <v>46093</v>
      </c>
      <c r="C50" s="3186">
        <v>46184</v>
      </c>
      <c r="D50" s="3178">
        <v>12750</v>
      </c>
      <c r="E50" s="3178">
        <f t="shared" si="1"/>
        <v>91</v>
      </c>
      <c r="F50" s="3191">
        <f t="shared" si="2"/>
        <v>7.01</v>
      </c>
      <c r="I50" s="3178">
        <f t="shared" si="3"/>
        <v>91</v>
      </c>
    </row>
    <row r="51" spans="1:9">
      <c r="A51" s="3186">
        <v>46169</v>
      </c>
      <c r="B51" s="3186">
        <v>46185</v>
      </c>
      <c r="C51" s="3186">
        <v>46276</v>
      </c>
      <c r="D51" s="3178">
        <v>12750</v>
      </c>
      <c r="E51" s="3178">
        <f t="shared" si="1"/>
        <v>91</v>
      </c>
      <c r="F51" s="3191">
        <f t="shared" si="2"/>
        <v>7.01</v>
      </c>
      <c r="I51" s="3178">
        <f t="shared" si="3"/>
        <v>91</v>
      </c>
    </row>
    <row r="52" spans="1:9">
      <c r="A52" s="3186">
        <v>46261</v>
      </c>
      <c r="B52" s="3186">
        <v>46277</v>
      </c>
      <c r="C52" s="3186">
        <v>46367</v>
      </c>
      <c r="D52" s="3178">
        <v>12750</v>
      </c>
      <c r="E52" s="3178">
        <f t="shared" si="1"/>
        <v>90</v>
      </c>
      <c r="F52" s="3191">
        <f t="shared" si="2"/>
        <v>7.08</v>
      </c>
      <c r="I52" s="3178">
        <f t="shared" si="3"/>
        <v>90</v>
      </c>
    </row>
    <row r="53" spans="1:9">
      <c r="A53" s="3190">
        <v>46353</v>
      </c>
      <c r="B53" s="3186">
        <v>46368</v>
      </c>
      <c r="C53" s="3186">
        <v>46457</v>
      </c>
      <c r="D53" s="3178">
        <v>12750</v>
      </c>
      <c r="E53" s="3178">
        <f t="shared" si="1"/>
        <v>89</v>
      </c>
      <c r="F53" s="3191">
        <f t="shared" si="2"/>
        <v>7.16</v>
      </c>
      <c r="I53" s="3178">
        <f t="shared" si="3"/>
        <v>89</v>
      </c>
    </row>
    <row r="54" spans="1:9">
      <c r="A54" s="3186">
        <v>46445</v>
      </c>
      <c r="B54" s="3186">
        <v>46458</v>
      </c>
      <c r="C54" s="3186">
        <v>46549</v>
      </c>
      <c r="D54" s="3178">
        <v>13387.5</v>
      </c>
      <c r="E54" s="3178">
        <f t="shared" si="1"/>
        <v>91</v>
      </c>
      <c r="F54" s="3191">
        <f t="shared" si="2"/>
        <v>7.36</v>
      </c>
      <c r="G54" s="3178">
        <f>ROUND((D54-D53)/D53,2)</f>
        <v>0.05</v>
      </c>
      <c r="I54" s="3178">
        <f t="shared" si="3"/>
        <v>91</v>
      </c>
    </row>
    <row r="55" spans="1:9">
      <c r="A55" s="3186">
        <v>46534</v>
      </c>
      <c r="B55" s="3186">
        <v>46550</v>
      </c>
      <c r="C55" s="3186">
        <v>46641</v>
      </c>
      <c r="D55" s="3178">
        <v>13387.5</v>
      </c>
      <c r="E55" s="3178">
        <f t="shared" si="1"/>
        <v>91</v>
      </c>
      <c r="F55" s="3191">
        <f t="shared" si="2"/>
        <v>7.36</v>
      </c>
      <c r="I55" s="3178">
        <f t="shared" si="3"/>
        <v>91</v>
      </c>
    </row>
    <row r="56" spans="1:9">
      <c r="A56" s="3190">
        <v>46626</v>
      </c>
      <c r="B56" s="3186">
        <v>46642</v>
      </c>
      <c r="C56" s="3186">
        <v>46732</v>
      </c>
      <c r="D56" s="3178">
        <v>13387.5</v>
      </c>
      <c r="E56" s="3178">
        <f t="shared" si="1"/>
        <v>90</v>
      </c>
      <c r="F56" s="3191">
        <f t="shared" si="2"/>
        <v>7.44</v>
      </c>
      <c r="I56" s="3178">
        <f t="shared" si="3"/>
        <v>90</v>
      </c>
    </row>
    <row r="57" spans="1:9">
      <c r="A57" s="3186">
        <v>46718</v>
      </c>
      <c r="B57" s="3186">
        <v>46733</v>
      </c>
      <c r="C57" s="3186">
        <v>46823</v>
      </c>
      <c r="D57" s="3178">
        <v>13387.5</v>
      </c>
      <c r="E57" s="3178">
        <f t="shared" si="1"/>
        <v>90</v>
      </c>
      <c r="F57" s="3191">
        <f t="shared" si="2"/>
        <v>7.44</v>
      </c>
      <c r="I57" s="3178">
        <f t="shared" si="3"/>
        <v>90</v>
      </c>
    </row>
    <row r="58" spans="1:9">
      <c r="A58" s="3186">
        <v>46810</v>
      </c>
      <c r="B58" s="3186">
        <v>46824</v>
      </c>
      <c r="C58" s="3186">
        <v>46915</v>
      </c>
      <c r="D58" s="3178">
        <v>13387.5</v>
      </c>
      <c r="E58" s="3178">
        <f t="shared" si="1"/>
        <v>91</v>
      </c>
      <c r="F58" s="3191">
        <f t="shared" si="2"/>
        <v>7.36</v>
      </c>
      <c r="I58" s="3178">
        <f t="shared" si="3"/>
        <v>91</v>
      </c>
    </row>
    <row r="59" spans="1:9">
      <c r="A59" s="3186">
        <v>46900</v>
      </c>
      <c r="B59" s="3186">
        <v>46916</v>
      </c>
      <c r="C59" s="3186">
        <v>47007</v>
      </c>
      <c r="D59" s="3178">
        <v>13387.5</v>
      </c>
      <c r="E59" s="3178">
        <f t="shared" si="1"/>
        <v>91</v>
      </c>
      <c r="F59" s="3191">
        <f t="shared" si="2"/>
        <v>7.36</v>
      </c>
      <c r="I59" s="3178">
        <f t="shared" si="3"/>
        <v>91</v>
      </c>
    </row>
    <row r="60" spans="1:9">
      <c r="A60" s="3186">
        <v>46992</v>
      </c>
      <c r="B60" s="3186">
        <v>47008</v>
      </c>
      <c r="C60" s="3186">
        <v>47098</v>
      </c>
      <c r="D60" s="3178">
        <v>13387.5</v>
      </c>
      <c r="E60" s="3178">
        <f t="shared" si="1"/>
        <v>90</v>
      </c>
      <c r="F60" s="3191">
        <f t="shared" si="2"/>
        <v>7.44</v>
      </c>
      <c r="I60" s="3178">
        <f t="shared" si="3"/>
        <v>90</v>
      </c>
    </row>
    <row r="61" spans="1:9">
      <c r="A61" s="3186">
        <v>47084</v>
      </c>
      <c r="B61" s="3186">
        <v>47099</v>
      </c>
      <c r="C61" s="3186">
        <v>47188</v>
      </c>
      <c r="D61" s="3178">
        <v>13387.5</v>
      </c>
      <c r="E61" s="3178">
        <f t="shared" si="1"/>
        <v>89</v>
      </c>
      <c r="F61" s="3191">
        <f t="shared" si="2"/>
        <v>7.52</v>
      </c>
      <c r="I61" s="3178">
        <f t="shared" si="3"/>
        <v>89</v>
      </c>
    </row>
    <row r="62" spans="1:9">
      <c r="A62" s="3186">
        <v>47176</v>
      </c>
      <c r="B62" s="3186">
        <v>47189</v>
      </c>
      <c r="C62" s="3186">
        <v>47280</v>
      </c>
      <c r="D62" s="3178">
        <v>14056.8</v>
      </c>
      <c r="E62" s="3178">
        <f t="shared" si="1"/>
        <v>91</v>
      </c>
      <c r="F62" s="3191">
        <f t="shared" si="2"/>
        <v>7.72</v>
      </c>
      <c r="G62" s="3178">
        <f>ROUND((D62-D61)/D61,2)</f>
        <v>0.05</v>
      </c>
      <c r="I62" s="3178">
        <f t="shared" si="3"/>
        <v>91</v>
      </c>
    </row>
    <row r="63" spans="1:9">
      <c r="A63" s="3186">
        <v>47265</v>
      </c>
      <c r="B63" s="3186">
        <v>47281</v>
      </c>
      <c r="C63" s="3186">
        <v>47372</v>
      </c>
      <c r="D63" s="3178">
        <v>14056.8</v>
      </c>
      <c r="E63" s="3178">
        <f t="shared" si="1"/>
        <v>91</v>
      </c>
      <c r="F63" s="3191">
        <f t="shared" si="2"/>
        <v>7.72</v>
      </c>
      <c r="I63" s="3178">
        <f t="shared" si="3"/>
        <v>91</v>
      </c>
    </row>
    <row r="64" spans="1:9">
      <c r="A64" s="3186">
        <v>47357</v>
      </c>
      <c r="B64" s="3186">
        <v>47373</v>
      </c>
      <c r="C64" s="3186">
        <v>47463</v>
      </c>
      <c r="D64" s="3178">
        <v>14056.8</v>
      </c>
      <c r="E64" s="3178">
        <f t="shared" si="1"/>
        <v>90</v>
      </c>
      <c r="F64" s="3191">
        <f t="shared" si="2"/>
        <v>7.81</v>
      </c>
      <c r="I64" s="3178">
        <f t="shared" si="3"/>
        <v>90</v>
      </c>
    </row>
    <row r="65" spans="1:14">
      <c r="A65" s="3186">
        <v>47449</v>
      </c>
      <c r="B65" s="3186">
        <v>47464</v>
      </c>
      <c r="C65" s="3186">
        <v>47553</v>
      </c>
      <c r="D65" s="3178">
        <v>14056.8</v>
      </c>
      <c r="E65" s="3178">
        <f t="shared" si="1"/>
        <v>89</v>
      </c>
      <c r="F65" s="3191">
        <f t="shared" si="2"/>
        <v>7.9</v>
      </c>
      <c r="I65" s="3178">
        <f t="shared" si="3"/>
        <v>89</v>
      </c>
    </row>
    <row r="66" spans="1:14">
      <c r="C66" s="3177" t="s">
        <v>3505</v>
      </c>
      <c r="D66" s="3178">
        <f>SUM(D46:D65)</f>
        <v>261077.19999999995</v>
      </c>
      <c r="I66" s="3178">
        <f>SUM(I46:I65)</f>
        <v>1775</v>
      </c>
    </row>
    <row r="67" spans="1:14">
      <c r="C67" s="3185" t="s">
        <v>3506</v>
      </c>
      <c r="D67" s="3191">
        <f>ROUND(D66/B43/I66,2)</f>
        <v>7.35</v>
      </c>
      <c r="I67" s="3185" t="s">
        <v>3483</v>
      </c>
      <c r="J67" s="3191">
        <f>D67</f>
        <v>7.35</v>
      </c>
    </row>
    <row r="70" spans="1:14">
      <c r="A70" s="3185" t="s">
        <v>3479</v>
      </c>
      <c r="B70" s="3177" t="s">
        <v>2328</v>
      </c>
      <c r="C70" s="3177" t="s">
        <v>3487</v>
      </c>
      <c r="D70" s="3177" t="s">
        <v>3488</v>
      </c>
      <c r="F70" s="3177" t="s">
        <v>3489</v>
      </c>
      <c r="H70" s="3177" t="s">
        <v>3490</v>
      </c>
      <c r="K70" s="3177" t="s">
        <v>3491</v>
      </c>
      <c r="M70" s="3177" t="s">
        <v>3492</v>
      </c>
      <c r="N70" s="3177" t="s">
        <v>3493</v>
      </c>
    </row>
    <row r="71" spans="1:14">
      <c r="A71" s="3185" t="s">
        <v>3514</v>
      </c>
      <c r="B71" s="3177">
        <v>40</v>
      </c>
      <c r="C71" s="3177" t="s">
        <v>3515</v>
      </c>
      <c r="D71" s="3190">
        <v>45651</v>
      </c>
      <c r="E71" s="3186">
        <v>47476</v>
      </c>
      <c r="F71" s="3186">
        <v>45651</v>
      </c>
      <c r="G71" s="3186">
        <v>45681</v>
      </c>
      <c r="H71" s="3178">
        <v>31</v>
      </c>
      <c r="I71" s="3187" t="s">
        <v>3509</v>
      </c>
      <c r="J71" s="3177" t="s">
        <v>3497</v>
      </c>
      <c r="K71" s="3177">
        <v>20000</v>
      </c>
      <c r="M71" s="3191">
        <f>E71-D71-H71</f>
        <v>1794</v>
      </c>
      <c r="N71" s="3188">
        <v>0.06</v>
      </c>
    </row>
    <row r="73" spans="1:14">
      <c r="A73" s="3177" t="s">
        <v>3498</v>
      </c>
      <c r="B73" s="3177" t="s">
        <v>3499</v>
      </c>
      <c r="C73" s="3177" t="s">
        <v>3500</v>
      </c>
      <c r="D73" s="3177" t="s">
        <v>3501</v>
      </c>
      <c r="E73" s="3177" t="s">
        <v>3516</v>
      </c>
      <c r="F73" s="3177"/>
      <c r="G73" s="3177" t="s">
        <v>3513</v>
      </c>
      <c r="I73" s="3177" t="s">
        <v>3504</v>
      </c>
    </row>
    <row r="74" spans="1:14">
      <c r="A74" s="3186">
        <v>45646</v>
      </c>
      <c r="B74" s="3186">
        <v>45651</v>
      </c>
      <c r="C74" s="3186">
        <v>45740</v>
      </c>
      <c r="D74" s="3178">
        <v>8.2200000000000006</v>
      </c>
      <c r="E74" s="3178">
        <v>20000</v>
      </c>
      <c r="F74" s="3177" t="s">
        <v>3517</v>
      </c>
      <c r="I74" s="3178">
        <f>C74-B74-H71</f>
        <v>58</v>
      </c>
    </row>
    <row r="75" spans="1:14">
      <c r="A75" s="3186">
        <v>45726</v>
      </c>
      <c r="B75" s="3186">
        <v>45741</v>
      </c>
      <c r="C75" s="3186">
        <v>45832</v>
      </c>
      <c r="D75" s="3178">
        <v>8.2200000000000006</v>
      </c>
      <c r="E75" s="3178">
        <v>30000</v>
      </c>
      <c r="I75" s="3178">
        <f>C75-B75</f>
        <v>91</v>
      </c>
    </row>
    <row r="76" spans="1:14">
      <c r="A76" s="3186">
        <v>45818</v>
      </c>
      <c r="B76" s="3186">
        <v>45833</v>
      </c>
      <c r="C76" s="3186">
        <v>45924</v>
      </c>
      <c r="D76" s="3178">
        <v>8.2200000000000006</v>
      </c>
      <c r="E76" s="3178">
        <v>30000</v>
      </c>
      <c r="I76" s="3178">
        <f t="shared" ref="I76:I93" si="4">C76-B76</f>
        <v>91</v>
      </c>
    </row>
    <row r="77" spans="1:14">
      <c r="A77" s="3186">
        <v>45910</v>
      </c>
      <c r="B77" s="3186">
        <v>45925</v>
      </c>
      <c r="C77" s="3186">
        <v>46015</v>
      </c>
      <c r="D77" s="3178">
        <v>8.2200000000000006</v>
      </c>
      <c r="E77" s="3178">
        <v>30000</v>
      </c>
      <c r="I77" s="3178">
        <f t="shared" si="4"/>
        <v>90</v>
      </c>
    </row>
    <row r="78" spans="1:14">
      <c r="A78" s="3186">
        <v>46001</v>
      </c>
      <c r="B78" s="3186">
        <v>46016</v>
      </c>
      <c r="C78" s="3186">
        <v>46105</v>
      </c>
      <c r="D78" s="3178">
        <v>8.2200000000000006</v>
      </c>
      <c r="E78" s="3178">
        <v>30000</v>
      </c>
      <c r="I78" s="3178">
        <f t="shared" si="4"/>
        <v>89</v>
      </c>
    </row>
    <row r="79" spans="1:14">
      <c r="A79" s="3190">
        <v>46091</v>
      </c>
      <c r="B79" s="3186">
        <v>46106</v>
      </c>
      <c r="C79" s="3186">
        <v>46197</v>
      </c>
      <c r="D79" s="3178">
        <v>8.2200000000000006</v>
      </c>
      <c r="E79" s="3178">
        <v>30000</v>
      </c>
      <c r="I79" s="3178">
        <f t="shared" si="4"/>
        <v>91</v>
      </c>
    </row>
    <row r="80" spans="1:14">
      <c r="A80" s="3186">
        <v>46183</v>
      </c>
      <c r="B80" s="3186">
        <v>46198</v>
      </c>
      <c r="C80" s="3186">
        <v>46289</v>
      </c>
      <c r="D80" s="3178">
        <v>8.2200000000000006</v>
      </c>
      <c r="E80" s="3178">
        <v>30000</v>
      </c>
      <c r="I80" s="3178">
        <f t="shared" si="4"/>
        <v>91</v>
      </c>
    </row>
    <row r="81" spans="1:10">
      <c r="A81" s="3186">
        <v>46275</v>
      </c>
      <c r="B81" s="3186">
        <v>46290</v>
      </c>
      <c r="C81" s="3186">
        <v>46380</v>
      </c>
      <c r="D81" s="3178">
        <v>8.2200000000000006</v>
      </c>
      <c r="E81" s="3178">
        <v>30000</v>
      </c>
      <c r="I81" s="3178">
        <f t="shared" si="4"/>
        <v>90</v>
      </c>
    </row>
    <row r="82" spans="1:10">
      <c r="A82" s="3186">
        <v>46366</v>
      </c>
      <c r="B82" s="3186">
        <v>46381</v>
      </c>
      <c r="C82" s="3186">
        <v>46470</v>
      </c>
      <c r="D82" s="3178">
        <v>8.6300000000000008</v>
      </c>
      <c r="E82" s="3178">
        <v>31500</v>
      </c>
      <c r="F82" s="3178">
        <f>ROUND((D82-D81)/D81,2)</f>
        <v>0.05</v>
      </c>
      <c r="I82" s="3178">
        <f t="shared" si="4"/>
        <v>89</v>
      </c>
    </row>
    <row r="83" spans="1:10">
      <c r="A83" s="3186">
        <v>46456</v>
      </c>
      <c r="B83" s="3186">
        <v>46471</v>
      </c>
      <c r="C83" s="3186">
        <v>46562</v>
      </c>
      <c r="D83" s="3178">
        <v>8.6300000000000008</v>
      </c>
      <c r="E83" s="3178">
        <v>31500</v>
      </c>
      <c r="I83" s="3178">
        <f t="shared" si="4"/>
        <v>91</v>
      </c>
    </row>
    <row r="84" spans="1:10">
      <c r="A84" s="3186">
        <v>46548</v>
      </c>
      <c r="B84" s="3186">
        <v>46563</v>
      </c>
      <c r="C84" s="3186">
        <v>46654</v>
      </c>
      <c r="D84" s="3178">
        <v>8.6300000000000008</v>
      </c>
      <c r="E84" s="3178">
        <v>31500</v>
      </c>
      <c r="I84" s="3178">
        <f t="shared" si="4"/>
        <v>91</v>
      </c>
    </row>
    <row r="85" spans="1:10">
      <c r="A85" s="3186">
        <v>46640</v>
      </c>
      <c r="B85" s="3186">
        <v>46655</v>
      </c>
      <c r="C85" s="3186">
        <v>46745</v>
      </c>
      <c r="D85" s="3178">
        <v>8.6300000000000008</v>
      </c>
      <c r="E85" s="3178">
        <v>31500</v>
      </c>
      <c r="I85" s="3178">
        <f t="shared" si="4"/>
        <v>90</v>
      </c>
    </row>
    <row r="86" spans="1:10">
      <c r="A86" s="3186">
        <v>46731</v>
      </c>
      <c r="B86" s="3186">
        <v>46746</v>
      </c>
      <c r="C86" s="3186">
        <v>46836</v>
      </c>
      <c r="D86" s="3178">
        <v>8.6300000000000008</v>
      </c>
      <c r="E86" s="3178">
        <v>31500</v>
      </c>
      <c r="I86" s="3178">
        <f t="shared" si="4"/>
        <v>90</v>
      </c>
    </row>
    <row r="87" spans="1:10">
      <c r="A87" s="3186">
        <v>46822</v>
      </c>
      <c r="B87" s="3186">
        <v>46837</v>
      </c>
      <c r="C87" s="3186">
        <v>46928</v>
      </c>
      <c r="D87" s="3178">
        <v>8.6300000000000008</v>
      </c>
      <c r="E87" s="3178">
        <v>31500</v>
      </c>
      <c r="I87" s="3178">
        <f t="shared" si="4"/>
        <v>91</v>
      </c>
    </row>
    <row r="88" spans="1:10">
      <c r="A88" s="3186">
        <v>46914</v>
      </c>
      <c r="B88" s="3186">
        <v>46929</v>
      </c>
      <c r="C88" s="3186">
        <v>47020</v>
      </c>
      <c r="D88" s="3178">
        <v>8.6300000000000008</v>
      </c>
      <c r="E88" s="3178">
        <v>31500</v>
      </c>
      <c r="I88" s="3178">
        <f t="shared" si="4"/>
        <v>91</v>
      </c>
    </row>
    <row r="89" spans="1:10">
      <c r="A89" s="3186">
        <v>47006</v>
      </c>
      <c r="B89" s="3186">
        <v>47021</v>
      </c>
      <c r="C89" s="3186">
        <v>47111</v>
      </c>
      <c r="D89" s="3178">
        <v>8.6300000000000008</v>
      </c>
      <c r="E89" s="3178">
        <v>31500</v>
      </c>
      <c r="I89" s="3178">
        <f t="shared" si="4"/>
        <v>90</v>
      </c>
    </row>
    <row r="90" spans="1:10">
      <c r="A90" s="3186">
        <v>47097</v>
      </c>
      <c r="B90" s="3186">
        <v>47112</v>
      </c>
      <c r="C90" s="3186">
        <v>47201</v>
      </c>
      <c r="D90" s="3178">
        <v>9.06</v>
      </c>
      <c r="E90" s="3178">
        <v>33075</v>
      </c>
      <c r="F90" s="3177">
        <f>ROUND((D90-D89)/D89,2)</f>
        <v>0.05</v>
      </c>
      <c r="I90" s="3178">
        <f t="shared" si="4"/>
        <v>89</v>
      </c>
    </row>
    <row r="91" spans="1:10">
      <c r="A91" s="3186">
        <v>47187</v>
      </c>
      <c r="B91" s="3186">
        <v>47202</v>
      </c>
      <c r="C91" s="3186">
        <v>47293</v>
      </c>
      <c r="D91" s="3178">
        <v>9.06</v>
      </c>
      <c r="E91" s="3178">
        <v>33075</v>
      </c>
      <c r="I91" s="3178">
        <f t="shared" si="4"/>
        <v>91</v>
      </c>
    </row>
    <row r="92" spans="1:10">
      <c r="A92" s="3186">
        <v>47279</v>
      </c>
      <c r="B92" s="3186">
        <v>47294</v>
      </c>
      <c r="C92" s="3186">
        <v>47385</v>
      </c>
      <c r="D92" s="3178">
        <v>9.06</v>
      </c>
      <c r="E92" s="3178">
        <v>33075</v>
      </c>
      <c r="I92" s="3178">
        <f t="shared" si="4"/>
        <v>91</v>
      </c>
    </row>
    <row r="93" spans="1:10">
      <c r="A93" s="3186">
        <v>47371</v>
      </c>
      <c r="B93" s="3186">
        <v>47386</v>
      </c>
      <c r="C93" s="3186">
        <v>47476</v>
      </c>
      <c r="D93" s="3178">
        <v>9.06</v>
      </c>
      <c r="E93" s="3178">
        <v>33075</v>
      </c>
      <c r="I93" s="3178">
        <f t="shared" si="4"/>
        <v>90</v>
      </c>
    </row>
    <row r="94" spans="1:10">
      <c r="D94" s="3177" t="s">
        <v>3505</v>
      </c>
      <c r="E94" s="3178">
        <f>SUM(E74:E93)</f>
        <v>614300</v>
      </c>
      <c r="I94" s="3178">
        <f>SUM(I74:I93)</f>
        <v>1775</v>
      </c>
    </row>
    <row r="95" spans="1:10">
      <c r="D95" s="3185" t="s">
        <v>3506</v>
      </c>
      <c r="E95" s="3191">
        <f>ROUND(E94/B71/I94,2)</f>
        <v>8.65</v>
      </c>
      <c r="I95" s="3185" t="s">
        <v>3483</v>
      </c>
      <c r="J95" s="3191">
        <f>ROUND(E95*1.05,2)</f>
        <v>9.08</v>
      </c>
    </row>
    <row r="99" spans="1:14">
      <c r="A99" s="3185" t="s">
        <v>3479</v>
      </c>
      <c r="B99" s="3177" t="s">
        <v>2328</v>
      </c>
      <c r="C99" s="3177" t="s">
        <v>3487</v>
      </c>
      <c r="D99" s="3177" t="s">
        <v>3488</v>
      </c>
      <c r="F99" s="3177" t="s">
        <v>3489</v>
      </c>
      <c r="H99" s="3177" t="s">
        <v>3490</v>
      </c>
      <c r="K99" s="3177" t="s">
        <v>3491</v>
      </c>
      <c r="M99" s="3177" t="s">
        <v>3492</v>
      </c>
      <c r="N99" s="3177" t="s">
        <v>3493</v>
      </c>
    </row>
    <row r="100" spans="1:14">
      <c r="A100" s="3185" t="s">
        <v>3518</v>
      </c>
      <c r="B100" s="3177">
        <v>100</v>
      </c>
      <c r="C100" s="3177" t="s">
        <v>3519</v>
      </c>
      <c r="D100" s="3190">
        <v>45764</v>
      </c>
      <c r="E100" s="3186">
        <v>47589</v>
      </c>
      <c r="F100" s="3186">
        <v>45764</v>
      </c>
      <c r="G100" s="3186">
        <v>45824</v>
      </c>
      <c r="H100" s="3178">
        <v>61</v>
      </c>
      <c r="I100" s="3187" t="s">
        <v>3509</v>
      </c>
      <c r="J100" s="3177" t="s">
        <v>3497</v>
      </c>
      <c r="K100" s="3177">
        <v>33000</v>
      </c>
      <c r="M100" s="3191">
        <f>E100-D100-H100</f>
        <v>1764</v>
      </c>
      <c r="N100" s="3188">
        <v>0.06</v>
      </c>
    </row>
    <row r="102" spans="1:14">
      <c r="A102" s="3177" t="s">
        <v>3498</v>
      </c>
      <c r="B102" s="3177" t="s">
        <v>3499</v>
      </c>
      <c r="C102" s="3177" t="s">
        <v>3500</v>
      </c>
      <c r="D102" s="3177" t="s">
        <v>3501</v>
      </c>
      <c r="E102" s="3177" t="s">
        <v>3516</v>
      </c>
      <c r="F102" s="3177"/>
      <c r="H102" s="3177" t="s">
        <v>3520</v>
      </c>
      <c r="I102" s="3177" t="s">
        <v>3504</v>
      </c>
    </row>
    <row r="103" spans="1:14">
      <c r="A103" s="3186">
        <v>45764</v>
      </c>
      <c r="B103" s="3186">
        <v>45764</v>
      </c>
      <c r="C103" s="3186">
        <v>45854</v>
      </c>
      <c r="D103" s="3178">
        <v>5.42</v>
      </c>
      <c r="E103" s="3178">
        <v>16500</v>
      </c>
      <c r="F103" s="3177" t="s">
        <v>3521</v>
      </c>
      <c r="I103" s="3178">
        <f>C103-B103-H100</f>
        <v>29</v>
      </c>
    </row>
    <row r="104" spans="1:14">
      <c r="A104" s="3186">
        <v>45839</v>
      </c>
      <c r="B104" s="3186">
        <v>45855</v>
      </c>
      <c r="C104" s="3186">
        <v>45946</v>
      </c>
      <c r="D104" s="3178">
        <v>5.42</v>
      </c>
      <c r="E104" s="3178">
        <v>49500</v>
      </c>
      <c r="I104" s="3178">
        <f>C104-B104</f>
        <v>91</v>
      </c>
    </row>
    <row r="105" spans="1:14">
      <c r="A105" s="3186">
        <v>45931</v>
      </c>
      <c r="B105" s="3186">
        <v>45947</v>
      </c>
      <c r="C105" s="3186">
        <v>46038</v>
      </c>
      <c r="D105" s="3178">
        <v>5.42</v>
      </c>
      <c r="E105" s="3178">
        <v>49500</v>
      </c>
      <c r="I105" s="3178">
        <f t="shared" ref="I105:I122" si="5">C105-B105</f>
        <v>91</v>
      </c>
    </row>
    <row r="106" spans="1:14">
      <c r="A106" s="3186">
        <v>46023</v>
      </c>
      <c r="B106" s="3186">
        <v>46039</v>
      </c>
      <c r="C106" s="3186">
        <v>46128</v>
      </c>
      <c r="D106" s="3178">
        <v>5.42</v>
      </c>
      <c r="E106" s="3178">
        <v>49500</v>
      </c>
      <c r="I106" s="3178">
        <f t="shared" si="5"/>
        <v>89</v>
      </c>
    </row>
    <row r="107" spans="1:14">
      <c r="A107" s="3186">
        <v>46113</v>
      </c>
      <c r="B107" s="3186">
        <v>46129</v>
      </c>
      <c r="C107" s="3186">
        <v>46219</v>
      </c>
      <c r="D107" s="3178">
        <v>5.42</v>
      </c>
      <c r="E107" s="3178">
        <v>49500</v>
      </c>
      <c r="I107" s="3178">
        <f t="shared" si="5"/>
        <v>90</v>
      </c>
    </row>
    <row r="108" spans="1:14">
      <c r="A108" s="3186">
        <v>46204</v>
      </c>
      <c r="B108" s="3186">
        <v>46220</v>
      </c>
      <c r="C108" s="3186">
        <v>46311</v>
      </c>
      <c r="D108" s="3178">
        <v>5.42</v>
      </c>
      <c r="E108" s="3178">
        <v>49500</v>
      </c>
      <c r="I108" s="3178">
        <f t="shared" si="5"/>
        <v>91</v>
      </c>
    </row>
    <row r="109" spans="1:14">
      <c r="A109" s="3186">
        <v>46296</v>
      </c>
      <c r="B109" s="3186">
        <v>46312</v>
      </c>
      <c r="C109" s="3186">
        <v>46403</v>
      </c>
      <c r="D109" s="3178">
        <v>5.42</v>
      </c>
      <c r="E109" s="3178">
        <v>49500</v>
      </c>
      <c r="I109" s="3178">
        <f t="shared" si="5"/>
        <v>91</v>
      </c>
    </row>
    <row r="110" spans="1:14">
      <c r="A110" s="3186">
        <v>46388</v>
      </c>
      <c r="B110" s="3186">
        <v>46404</v>
      </c>
      <c r="C110" s="3186">
        <v>46493</v>
      </c>
      <c r="D110" s="3178">
        <v>5.42</v>
      </c>
      <c r="E110" s="3178">
        <v>49500</v>
      </c>
      <c r="I110" s="3178">
        <f t="shared" si="5"/>
        <v>89</v>
      </c>
    </row>
    <row r="111" spans="1:14">
      <c r="A111" s="3186">
        <v>46478</v>
      </c>
      <c r="B111" s="3186">
        <v>46494</v>
      </c>
      <c r="C111" s="3186">
        <v>46584</v>
      </c>
      <c r="D111" s="3178">
        <v>5.42</v>
      </c>
      <c r="E111" s="3178">
        <v>49500</v>
      </c>
      <c r="I111" s="3178">
        <f t="shared" si="5"/>
        <v>90</v>
      </c>
    </row>
    <row r="112" spans="1:14">
      <c r="A112" s="3186">
        <v>46569</v>
      </c>
      <c r="B112" s="3186">
        <v>46585</v>
      </c>
      <c r="C112" s="3186">
        <v>46676</v>
      </c>
      <c r="D112" s="3178">
        <v>5.42</v>
      </c>
      <c r="E112" s="3178">
        <v>49500</v>
      </c>
      <c r="I112" s="3178">
        <f t="shared" si="5"/>
        <v>91</v>
      </c>
    </row>
    <row r="113" spans="1:14">
      <c r="A113" s="3186">
        <v>46661</v>
      </c>
      <c r="B113" s="3186">
        <v>46677</v>
      </c>
      <c r="C113" s="3186">
        <v>46768</v>
      </c>
      <c r="D113" s="3178">
        <v>5.42</v>
      </c>
      <c r="E113" s="3178">
        <v>49500</v>
      </c>
      <c r="I113" s="3178">
        <f t="shared" si="5"/>
        <v>91</v>
      </c>
    </row>
    <row r="114" spans="1:14">
      <c r="A114" s="3186">
        <v>46753</v>
      </c>
      <c r="B114" s="3186">
        <v>46769</v>
      </c>
      <c r="C114" s="3186">
        <v>46859</v>
      </c>
      <c r="D114" s="3178">
        <v>5.42</v>
      </c>
      <c r="E114" s="3178">
        <v>49500</v>
      </c>
      <c r="I114" s="3178">
        <f t="shared" si="5"/>
        <v>90</v>
      </c>
    </row>
    <row r="115" spans="1:14">
      <c r="A115" s="3186">
        <v>46844</v>
      </c>
      <c r="B115" s="3186">
        <v>46860</v>
      </c>
      <c r="C115" s="3186">
        <v>46950</v>
      </c>
      <c r="D115" s="3178">
        <v>5.69</v>
      </c>
      <c r="E115" s="3178">
        <v>51975</v>
      </c>
      <c r="F115" s="3178">
        <f>ROUND((D115-D114)/D114,2)</f>
        <v>0.05</v>
      </c>
      <c r="I115" s="3178">
        <f t="shared" si="5"/>
        <v>90</v>
      </c>
    </row>
    <row r="116" spans="1:14">
      <c r="A116" s="3186">
        <v>46935</v>
      </c>
      <c r="B116" s="3186">
        <v>46951</v>
      </c>
      <c r="C116" s="3186">
        <v>47042</v>
      </c>
      <c r="D116" s="3178">
        <v>5.69</v>
      </c>
      <c r="E116" s="3178">
        <v>51975</v>
      </c>
      <c r="I116" s="3178">
        <f t="shared" si="5"/>
        <v>91</v>
      </c>
    </row>
    <row r="117" spans="1:14">
      <c r="A117" s="3186">
        <v>47027</v>
      </c>
      <c r="B117" s="3186">
        <v>47043</v>
      </c>
      <c r="C117" s="3186">
        <v>47134</v>
      </c>
      <c r="D117" s="3178">
        <v>5.69</v>
      </c>
      <c r="E117" s="3178">
        <v>51975</v>
      </c>
      <c r="I117" s="3178">
        <f t="shared" si="5"/>
        <v>91</v>
      </c>
    </row>
    <row r="118" spans="1:14">
      <c r="A118" s="3186">
        <v>47119</v>
      </c>
      <c r="B118" s="3186">
        <v>47135</v>
      </c>
      <c r="C118" s="3186">
        <v>47224</v>
      </c>
      <c r="D118" s="3178">
        <v>5.69</v>
      </c>
      <c r="E118" s="3178">
        <v>51975</v>
      </c>
      <c r="I118" s="3178">
        <f t="shared" si="5"/>
        <v>89</v>
      </c>
    </row>
    <row r="119" spans="1:14">
      <c r="A119" s="3186">
        <v>47209</v>
      </c>
      <c r="B119" s="3186">
        <v>47225</v>
      </c>
      <c r="C119" s="3186">
        <v>47315</v>
      </c>
      <c r="D119" s="3178">
        <v>5.69</v>
      </c>
      <c r="E119" s="3178">
        <v>51975</v>
      </c>
      <c r="I119" s="3178">
        <f t="shared" si="5"/>
        <v>90</v>
      </c>
    </row>
    <row r="120" spans="1:14">
      <c r="A120" s="3186">
        <v>47300</v>
      </c>
      <c r="B120" s="3186">
        <v>47316</v>
      </c>
      <c r="C120" s="3186">
        <v>47407</v>
      </c>
      <c r="D120" s="3178">
        <v>5.69</v>
      </c>
      <c r="E120" s="3178">
        <v>51975</v>
      </c>
      <c r="I120" s="3178">
        <f t="shared" si="5"/>
        <v>91</v>
      </c>
    </row>
    <row r="121" spans="1:14">
      <c r="A121" s="3186">
        <v>47392</v>
      </c>
      <c r="B121" s="3190">
        <v>47408</v>
      </c>
      <c r="C121" s="3186">
        <v>47499</v>
      </c>
      <c r="D121" s="3178">
        <v>5.69</v>
      </c>
      <c r="E121" s="3178">
        <v>51975</v>
      </c>
      <c r="I121" s="3178">
        <f t="shared" si="5"/>
        <v>91</v>
      </c>
    </row>
    <row r="122" spans="1:14">
      <c r="A122" s="3186">
        <v>47484</v>
      </c>
      <c r="B122" s="3186">
        <v>47500</v>
      </c>
      <c r="C122" s="3186">
        <v>47589</v>
      </c>
      <c r="D122" s="3178">
        <v>5.69</v>
      </c>
      <c r="E122" s="3178">
        <v>51975</v>
      </c>
      <c r="I122" s="3178">
        <f t="shared" si="5"/>
        <v>89</v>
      </c>
    </row>
    <row r="123" spans="1:14">
      <c r="D123" s="3177" t="s">
        <v>3505</v>
      </c>
      <c r="E123" s="3178">
        <f>SUM(E103:E122)</f>
        <v>976800</v>
      </c>
      <c r="I123" s="3178">
        <f>SUM(I103:I122)</f>
        <v>1745</v>
      </c>
    </row>
    <row r="124" spans="1:14">
      <c r="D124" s="3185" t="s">
        <v>3506</v>
      </c>
      <c r="E124" s="3191">
        <f>ROUND(E123/B100/I123,2)</f>
        <v>5.6</v>
      </c>
      <c r="I124" s="3185" t="s">
        <v>3483</v>
      </c>
      <c r="J124" s="3191">
        <f>ROUND(E124*1.05,2)</f>
        <v>5.88</v>
      </c>
    </row>
    <row r="127" spans="1:14">
      <c r="A127" s="3185" t="s">
        <v>3479</v>
      </c>
      <c r="B127" s="3177" t="s">
        <v>2328</v>
      </c>
      <c r="C127" s="3177" t="s">
        <v>3487</v>
      </c>
      <c r="D127" s="3177" t="s">
        <v>3488</v>
      </c>
      <c r="F127" s="3177" t="s">
        <v>3489</v>
      </c>
      <c r="H127" s="3177" t="s">
        <v>3490</v>
      </c>
      <c r="K127" s="3177" t="s">
        <v>3491</v>
      </c>
      <c r="M127" s="3177" t="s">
        <v>3492</v>
      </c>
      <c r="N127" s="3177" t="s">
        <v>3493</v>
      </c>
    </row>
    <row r="128" spans="1:14">
      <c r="A128" s="3185" t="s">
        <v>3522</v>
      </c>
      <c r="B128" s="3177">
        <v>62</v>
      </c>
      <c r="C128" s="3177" t="s">
        <v>3523</v>
      </c>
      <c r="D128" s="3190">
        <v>45641</v>
      </c>
      <c r="E128" s="3186">
        <v>47466</v>
      </c>
      <c r="F128" s="3186">
        <v>45641</v>
      </c>
      <c r="G128" s="3186">
        <v>45702</v>
      </c>
      <c r="H128" s="3178">
        <v>61</v>
      </c>
      <c r="I128" s="3187" t="s">
        <v>3524</v>
      </c>
      <c r="J128" s="3177" t="s">
        <v>3497</v>
      </c>
      <c r="K128" s="3177">
        <v>25000</v>
      </c>
      <c r="M128" s="3191">
        <f>E128-D128-H128</f>
        <v>1764</v>
      </c>
      <c r="N128" s="3188">
        <v>0.06</v>
      </c>
    </row>
    <row r="130" spans="1:9">
      <c r="A130" s="3177" t="s">
        <v>3498</v>
      </c>
      <c r="B130" s="3177" t="s">
        <v>3499</v>
      </c>
      <c r="C130" s="3177" t="s">
        <v>3500</v>
      </c>
      <c r="D130" s="3177" t="s">
        <v>3501</v>
      </c>
      <c r="E130" s="3177" t="s">
        <v>3516</v>
      </c>
      <c r="F130" s="3177"/>
      <c r="H130" s="3177" t="s">
        <v>3525</v>
      </c>
      <c r="I130" s="3177" t="s">
        <v>3504</v>
      </c>
    </row>
    <row r="131" spans="1:9">
      <c r="A131" s="3186"/>
      <c r="B131" s="3186">
        <v>45641</v>
      </c>
      <c r="C131" s="3186">
        <v>45822</v>
      </c>
      <c r="D131" s="3178">
        <v>6.63</v>
      </c>
      <c r="E131" s="3178">
        <v>5000</v>
      </c>
      <c r="F131" s="3177" t="s">
        <v>3526</v>
      </c>
      <c r="I131" s="3178">
        <f>C131-B131-H128</f>
        <v>120</v>
      </c>
    </row>
    <row r="132" spans="1:9">
      <c r="A132" s="3186">
        <v>45809</v>
      </c>
      <c r="B132" s="3186">
        <v>45823</v>
      </c>
      <c r="C132" s="3186">
        <v>45914</v>
      </c>
      <c r="D132" s="3178">
        <v>6.63</v>
      </c>
      <c r="E132" s="3178">
        <v>37500</v>
      </c>
      <c r="I132" s="3178">
        <f>C132-B132</f>
        <v>91</v>
      </c>
    </row>
    <row r="133" spans="1:9">
      <c r="A133" s="3186">
        <v>45901</v>
      </c>
      <c r="B133" s="3186">
        <v>45915</v>
      </c>
      <c r="C133" s="3186">
        <v>46005</v>
      </c>
      <c r="D133" s="3178">
        <v>6.63</v>
      </c>
      <c r="E133" s="3178">
        <v>37500</v>
      </c>
      <c r="I133" s="3178">
        <f t="shared" ref="I133:I149" si="6">C133-B133</f>
        <v>90</v>
      </c>
    </row>
    <row r="134" spans="1:9">
      <c r="A134" s="3186">
        <v>45992</v>
      </c>
      <c r="B134" s="3186">
        <v>46006</v>
      </c>
      <c r="C134" s="3186">
        <v>46095</v>
      </c>
      <c r="D134" s="3178">
        <v>6.63</v>
      </c>
      <c r="E134" s="3178">
        <v>37500</v>
      </c>
      <c r="I134" s="3178">
        <f t="shared" si="6"/>
        <v>89</v>
      </c>
    </row>
    <row r="135" spans="1:9">
      <c r="A135" s="3186">
        <v>46082</v>
      </c>
      <c r="B135" s="3186">
        <v>46096</v>
      </c>
      <c r="C135" s="3186">
        <v>46187</v>
      </c>
      <c r="D135" s="3178">
        <v>6.63</v>
      </c>
      <c r="E135" s="3178">
        <v>37500</v>
      </c>
      <c r="I135" s="3178">
        <f t="shared" si="6"/>
        <v>91</v>
      </c>
    </row>
    <row r="136" spans="1:9">
      <c r="A136" s="3186">
        <v>46174</v>
      </c>
      <c r="B136" s="3186">
        <v>46188</v>
      </c>
      <c r="C136" s="3186">
        <v>46279</v>
      </c>
      <c r="D136" s="3178">
        <v>6.63</v>
      </c>
      <c r="E136" s="3178">
        <v>37500</v>
      </c>
      <c r="I136" s="3178">
        <f t="shared" si="6"/>
        <v>91</v>
      </c>
    </row>
    <row r="137" spans="1:9">
      <c r="A137" s="3186">
        <v>46266</v>
      </c>
      <c r="B137" s="3186">
        <v>46280</v>
      </c>
      <c r="C137" s="3186">
        <v>46370</v>
      </c>
      <c r="D137" s="3178">
        <v>6.63</v>
      </c>
      <c r="E137" s="3178">
        <v>37500</v>
      </c>
      <c r="I137" s="3178">
        <f t="shared" si="6"/>
        <v>90</v>
      </c>
    </row>
    <row r="138" spans="1:9">
      <c r="A138" s="3186">
        <v>46357</v>
      </c>
      <c r="B138" s="3186">
        <v>46371</v>
      </c>
      <c r="C138" s="3186">
        <v>46460</v>
      </c>
      <c r="D138" s="3178">
        <v>7.03</v>
      </c>
      <c r="E138" s="3178">
        <v>39750</v>
      </c>
      <c r="F138" s="3178">
        <f>ROUND((D138-D137)/D137,2)</f>
        <v>0.06</v>
      </c>
      <c r="I138" s="3178">
        <f t="shared" si="6"/>
        <v>89</v>
      </c>
    </row>
    <row r="139" spans="1:9">
      <c r="A139" s="3186">
        <v>46447</v>
      </c>
      <c r="B139" s="3186">
        <v>46461</v>
      </c>
      <c r="C139" s="3186">
        <v>46552</v>
      </c>
      <c r="D139" s="3178">
        <v>7.03</v>
      </c>
      <c r="E139" s="3178">
        <v>39750</v>
      </c>
      <c r="I139" s="3178">
        <f t="shared" si="6"/>
        <v>91</v>
      </c>
    </row>
    <row r="140" spans="1:9">
      <c r="A140" s="3186">
        <v>46539</v>
      </c>
      <c r="B140" s="3186">
        <v>46553</v>
      </c>
      <c r="C140" s="3186">
        <v>46644</v>
      </c>
      <c r="D140" s="3178">
        <v>7.03</v>
      </c>
      <c r="E140" s="3178">
        <v>39750</v>
      </c>
      <c r="I140" s="3178">
        <f t="shared" si="6"/>
        <v>91</v>
      </c>
    </row>
    <row r="141" spans="1:9">
      <c r="A141" s="3186">
        <v>46631</v>
      </c>
      <c r="B141" s="3186">
        <v>46645</v>
      </c>
      <c r="C141" s="3186">
        <v>46735</v>
      </c>
      <c r="D141" s="3178">
        <v>7.03</v>
      </c>
      <c r="E141" s="3178">
        <v>39750</v>
      </c>
      <c r="I141" s="3178">
        <f t="shared" si="6"/>
        <v>90</v>
      </c>
    </row>
    <row r="142" spans="1:9">
      <c r="A142" s="3186">
        <v>46722</v>
      </c>
      <c r="B142" s="3186">
        <v>46736</v>
      </c>
      <c r="C142" s="3186">
        <v>46826</v>
      </c>
      <c r="D142" s="3178">
        <v>7.03</v>
      </c>
      <c r="E142" s="3178">
        <v>39750</v>
      </c>
      <c r="I142" s="3178">
        <f t="shared" si="6"/>
        <v>90</v>
      </c>
    </row>
    <row r="143" spans="1:9">
      <c r="A143" s="3186">
        <v>46813</v>
      </c>
      <c r="B143" s="3186">
        <v>46827</v>
      </c>
      <c r="C143" s="3186">
        <v>46918</v>
      </c>
      <c r="D143" s="3178">
        <v>7.03</v>
      </c>
      <c r="E143" s="3178">
        <v>39750</v>
      </c>
      <c r="I143" s="3178">
        <f t="shared" si="6"/>
        <v>91</v>
      </c>
    </row>
    <row r="144" spans="1:9">
      <c r="A144" s="3186">
        <v>46905</v>
      </c>
      <c r="B144" s="3186">
        <v>46919</v>
      </c>
      <c r="C144" s="3186">
        <v>47010</v>
      </c>
      <c r="D144" s="3178">
        <v>7.03</v>
      </c>
      <c r="E144" s="3178">
        <v>39750</v>
      </c>
      <c r="I144" s="3178">
        <f t="shared" si="6"/>
        <v>91</v>
      </c>
    </row>
    <row r="145" spans="1:14">
      <c r="A145" s="3186">
        <v>46997</v>
      </c>
      <c r="B145" s="3186">
        <v>47011</v>
      </c>
      <c r="C145" s="3186">
        <v>47101</v>
      </c>
      <c r="D145" s="3178">
        <v>7.03</v>
      </c>
      <c r="E145" s="3178">
        <v>39750</v>
      </c>
      <c r="I145" s="3178">
        <f t="shared" si="6"/>
        <v>90</v>
      </c>
    </row>
    <row r="146" spans="1:14">
      <c r="A146" s="3186">
        <v>47088</v>
      </c>
      <c r="B146" s="3186">
        <v>47102</v>
      </c>
      <c r="C146" s="3186">
        <v>47191</v>
      </c>
      <c r="D146" s="3178">
        <v>7.45</v>
      </c>
      <c r="E146" s="3178">
        <v>42135</v>
      </c>
      <c r="F146" s="3178">
        <f>ROUND((D146-D145)/D145,2)</f>
        <v>0.06</v>
      </c>
      <c r="I146" s="3178">
        <f t="shared" si="6"/>
        <v>89</v>
      </c>
    </row>
    <row r="147" spans="1:14">
      <c r="A147" s="3186">
        <v>47178</v>
      </c>
      <c r="B147" s="3186">
        <v>47192</v>
      </c>
      <c r="C147" s="3186">
        <v>47283</v>
      </c>
      <c r="D147" s="3178">
        <v>7.45</v>
      </c>
      <c r="E147" s="3178">
        <v>42135</v>
      </c>
      <c r="I147" s="3178">
        <f t="shared" si="6"/>
        <v>91</v>
      </c>
    </row>
    <row r="148" spans="1:14">
      <c r="A148" s="3186">
        <v>47270</v>
      </c>
      <c r="B148" s="3186">
        <v>47284</v>
      </c>
      <c r="C148" s="3186">
        <v>47375</v>
      </c>
      <c r="D148" s="3178">
        <v>7.45</v>
      </c>
      <c r="E148" s="3178">
        <v>42135</v>
      </c>
      <c r="I148" s="3178">
        <f t="shared" si="6"/>
        <v>91</v>
      </c>
    </row>
    <row r="149" spans="1:14">
      <c r="A149" s="3186">
        <v>47362</v>
      </c>
      <c r="B149" s="3186">
        <v>47376</v>
      </c>
      <c r="C149" s="3186">
        <v>47466</v>
      </c>
      <c r="D149" s="3178">
        <v>7.45</v>
      </c>
      <c r="E149" s="3178">
        <v>42135</v>
      </c>
      <c r="I149" s="3178">
        <f t="shared" si="6"/>
        <v>90</v>
      </c>
    </row>
    <row r="150" spans="1:14">
      <c r="D150" s="3177" t="s">
        <v>3505</v>
      </c>
      <c r="E150" s="3178">
        <f>SUM(E130:E149)</f>
        <v>716540</v>
      </c>
      <c r="I150" s="3178">
        <f>SUM(I131:I149)</f>
        <v>1746</v>
      </c>
    </row>
    <row r="151" spans="1:14">
      <c r="D151" s="3185" t="s">
        <v>3506</v>
      </c>
      <c r="E151" s="3191">
        <f>ROUND(E150/B128/I150,2)</f>
        <v>6.62</v>
      </c>
      <c r="I151" s="3185" t="s">
        <v>3483</v>
      </c>
      <c r="J151" s="3191">
        <f>ROUND(E151*1.05,2)</f>
        <v>6.95</v>
      </c>
    </row>
    <row r="155" spans="1:14">
      <c r="A155" s="3185" t="s">
        <v>3479</v>
      </c>
      <c r="B155" s="3177" t="s">
        <v>2328</v>
      </c>
      <c r="C155" s="3177" t="s">
        <v>3487</v>
      </c>
      <c r="D155" s="3177" t="s">
        <v>3488</v>
      </c>
      <c r="F155" s="3177" t="s">
        <v>3489</v>
      </c>
      <c r="H155" s="3177" t="s">
        <v>3490</v>
      </c>
      <c r="K155" s="3177" t="s">
        <v>3491</v>
      </c>
      <c r="M155" s="3177" t="s">
        <v>3492</v>
      </c>
      <c r="N155" s="3177" t="s">
        <v>3493</v>
      </c>
    </row>
    <row r="156" spans="1:14">
      <c r="A156" s="3185" t="s">
        <v>3527</v>
      </c>
      <c r="B156" s="3177">
        <v>62</v>
      </c>
      <c r="C156" s="3177" t="s">
        <v>3528</v>
      </c>
      <c r="D156" s="3190">
        <v>45698</v>
      </c>
      <c r="E156" s="3186">
        <v>47523</v>
      </c>
      <c r="F156" s="3186">
        <v>45698</v>
      </c>
      <c r="G156" s="3186">
        <v>45730</v>
      </c>
      <c r="H156" s="3178">
        <v>33</v>
      </c>
      <c r="I156" s="3187" t="s">
        <v>3529</v>
      </c>
      <c r="J156" s="3177" t="s">
        <v>3497</v>
      </c>
      <c r="K156" s="3177">
        <v>12500</v>
      </c>
      <c r="M156" s="3191">
        <f>E156-D156-H156</f>
        <v>1792</v>
      </c>
      <c r="N156" s="3188">
        <v>0.06</v>
      </c>
    </row>
    <row r="158" spans="1:14">
      <c r="A158" s="3177" t="s">
        <v>3498</v>
      </c>
      <c r="B158" s="3177" t="s">
        <v>3499</v>
      </c>
      <c r="C158" s="3177" t="s">
        <v>3500</v>
      </c>
      <c r="D158" s="3177" t="s">
        <v>3501</v>
      </c>
      <c r="E158" s="3177" t="s">
        <v>3516</v>
      </c>
      <c r="F158" s="3177"/>
      <c r="H158" s="3177" t="s">
        <v>3525</v>
      </c>
      <c r="I158" s="3177" t="s">
        <v>3504</v>
      </c>
    </row>
    <row r="159" spans="1:14">
      <c r="A159" s="3186">
        <v>45699</v>
      </c>
      <c r="B159" s="3186">
        <v>45698</v>
      </c>
      <c r="C159" s="3186">
        <v>46062</v>
      </c>
      <c r="D159" s="3178">
        <v>6.63</v>
      </c>
      <c r="E159" s="3178">
        <v>135685</v>
      </c>
    </row>
    <row r="160" spans="1:14">
      <c r="A160" s="3186">
        <v>46047</v>
      </c>
      <c r="B160" s="3186">
        <v>46063</v>
      </c>
      <c r="C160" s="3186">
        <v>46427</v>
      </c>
      <c r="D160" s="3178">
        <v>6.63</v>
      </c>
      <c r="E160" s="3178">
        <v>150000</v>
      </c>
    </row>
    <row r="161" spans="1:9">
      <c r="A161" s="3186">
        <v>46412</v>
      </c>
      <c r="B161" s="3186">
        <v>46428</v>
      </c>
      <c r="C161" s="3186">
        <v>46792</v>
      </c>
      <c r="D161" s="3178">
        <v>7.03</v>
      </c>
      <c r="E161" s="3178">
        <v>159000</v>
      </c>
      <c r="F161" s="3178">
        <f>ROUND((D161-D160)/D160,2)</f>
        <v>0.06</v>
      </c>
    </row>
    <row r="162" spans="1:9">
      <c r="A162" s="3186">
        <v>46777</v>
      </c>
      <c r="B162" s="3186">
        <v>46793</v>
      </c>
      <c r="C162" s="3186">
        <v>47158</v>
      </c>
      <c r="D162" s="3178">
        <v>7.03</v>
      </c>
      <c r="E162" s="3178">
        <v>159000</v>
      </c>
    </row>
    <row r="163" spans="1:9">
      <c r="A163" s="3186">
        <v>47143</v>
      </c>
      <c r="B163" s="3186">
        <v>47159</v>
      </c>
      <c r="C163" s="3186">
        <v>47523</v>
      </c>
      <c r="D163" s="3178">
        <v>7.45</v>
      </c>
      <c r="E163" s="3178">
        <v>168540</v>
      </c>
      <c r="F163" s="3178">
        <f>ROUND((D163-D162)/D162,2)</f>
        <v>0.06</v>
      </c>
    </row>
    <row r="164" spans="1:9">
      <c r="D164" s="3177" t="s">
        <v>3505</v>
      </c>
      <c r="E164" s="3178">
        <f>SUM(E159:E163)</f>
        <v>772225</v>
      </c>
    </row>
    <row r="165" spans="1:9">
      <c r="D165" s="3185" t="s">
        <v>3506</v>
      </c>
      <c r="E165" s="3191">
        <f>ROUND(E164/B156/M156,2)</f>
        <v>6.95</v>
      </c>
      <c r="H165" s="3185" t="s">
        <v>3483</v>
      </c>
      <c r="I165" s="3178">
        <f>ROUND(E165*1.05,2)</f>
        <v>7.3</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6F82E-E89A-4A6D-832D-2981F6DBF40D}">
  <sheetPr>
    <tabColor rgb="FF7030A0"/>
  </sheetPr>
  <dimension ref="A1:P49"/>
  <sheetViews>
    <sheetView topLeftCell="A7" workbookViewId="0">
      <selection activeCell="O20" sqref="O20"/>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 min="16" max="16" width="9.88671875" customWidth="1"/>
  </cols>
  <sheetData>
    <row r="1" spans="1:16">
      <c r="A1" s="3173" t="s">
        <v>3530</v>
      </c>
      <c r="B1" s="3173" t="s">
        <v>3531</v>
      </c>
      <c r="C1" s="3173" t="s">
        <v>3532</v>
      </c>
      <c r="D1" s="3173" t="s">
        <v>2543</v>
      </c>
      <c r="E1" s="3173" t="s">
        <v>3533</v>
      </c>
      <c r="F1" s="3173" t="s">
        <v>3389</v>
      </c>
      <c r="G1" s="3173" t="s">
        <v>3534</v>
      </c>
      <c r="H1" s="3173" t="s">
        <v>3476</v>
      </c>
      <c r="I1" s="3173" t="s">
        <v>3535</v>
      </c>
      <c r="J1" s="3174"/>
      <c r="K1" s="3173" t="s">
        <v>3536</v>
      </c>
      <c r="L1" s="3173" t="s">
        <v>3537</v>
      </c>
      <c r="M1" s="3174"/>
      <c r="N1" s="3173" t="s">
        <v>3538</v>
      </c>
      <c r="O1" s="3173" t="s">
        <v>3539</v>
      </c>
      <c r="P1" s="3174"/>
    </row>
    <row r="2" spans="1:16" s="3197" customFormat="1" ht="46.2" customHeight="1">
      <c r="A2" s="3192" t="s">
        <v>3540</v>
      </c>
      <c r="B2" s="3192" t="s">
        <v>3541</v>
      </c>
      <c r="C2" s="3192" t="s">
        <v>3542</v>
      </c>
      <c r="D2" s="3192" t="s">
        <v>3543</v>
      </c>
      <c r="E2" s="3192">
        <v>102</v>
      </c>
      <c r="F2" s="3193">
        <v>245.74</v>
      </c>
      <c r="G2" s="3192" t="s">
        <v>3544</v>
      </c>
      <c r="H2" s="3194" t="s">
        <v>3545</v>
      </c>
      <c r="I2" s="3195">
        <v>40849</v>
      </c>
      <c r="J2" s="3195">
        <v>55458</v>
      </c>
      <c r="K2" s="3192" t="s">
        <v>3546</v>
      </c>
      <c r="L2" s="3193">
        <v>2011</v>
      </c>
      <c r="M2" s="3192" t="s">
        <v>3547</v>
      </c>
      <c r="N2" s="3192" t="s">
        <v>3548</v>
      </c>
      <c r="O2" s="3192" t="s">
        <v>3549</v>
      </c>
      <c r="P2" s="3196" t="s">
        <v>3550</v>
      </c>
    </row>
    <row r="3" spans="1:16" s="3197" customFormat="1" ht="43.2">
      <c r="A3" s="3192" t="s">
        <v>3551</v>
      </c>
      <c r="B3" s="3192" t="s">
        <v>3552</v>
      </c>
      <c r="C3" s="3192" t="s">
        <v>3553</v>
      </c>
      <c r="D3" s="3192" t="s">
        <v>3543</v>
      </c>
      <c r="E3" s="3193">
        <v>105</v>
      </c>
      <c r="F3" s="3193">
        <v>322.3</v>
      </c>
      <c r="G3" s="3192" t="s">
        <v>3544</v>
      </c>
      <c r="H3" s="3194" t="s">
        <v>3545</v>
      </c>
      <c r="I3" s="3195">
        <v>40849</v>
      </c>
      <c r="J3" s="3195">
        <v>55458</v>
      </c>
      <c r="K3" s="3192" t="s">
        <v>3546</v>
      </c>
      <c r="L3" s="3193">
        <v>2011</v>
      </c>
      <c r="M3" s="3192" t="s">
        <v>3554</v>
      </c>
      <c r="N3" s="3192" t="s">
        <v>3548</v>
      </c>
      <c r="O3" s="3192" t="s">
        <v>3549</v>
      </c>
      <c r="P3" s="3193"/>
    </row>
    <row r="4" spans="1:16" s="3197" customFormat="1" ht="43.2">
      <c r="A4" s="3192" t="s">
        <v>3555</v>
      </c>
      <c r="B4" s="3192" t="s">
        <v>3556</v>
      </c>
      <c r="C4" s="3192" t="s">
        <v>3557</v>
      </c>
      <c r="D4" s="3192" t="s">
        <v>3543</v>
      </c>
      <c r="E4" s="3193">
        <v>103</v>
      </c>
      <c r="F4" s="3193">
        <v>242.22</v>
      </c>
      <c r="G4" s="3192" t="s">
        <v>3558</v>
      </c>
      <c r="H4" s="3194" t="s">
        <v>3559</v>
      </c>
      <c r="I4" s="3195">
        <v>40850</v>
      </c>
      <c r="J4" s="3195">
        <v>55459</v>
      </c>
      <c r="K4" s="3192" t="s">
        <v>3546</v>
      </c>
      <c r="L4" s="3193">
        <v>2012</v>
      </c>
      <c r="M4" s="3198"/>
      <c r="N4" s="3198"/>
      <c r="O4" s="3198"/>
      <c r="P4" s="3199"/>
    </row>
    <row r="5" spans="1:16" s="3197" customFormat="1" ht="43.2">
      <c r="A5" s="3200" t="s">
        <v>3600</v>
      </c>
      <c r="B5" s="3200" t="s">
        <v>3601</v>
      </c>
      <c r="C5" s="3192" t="s">
        <v>3602</v>
      </c>
      <c r="D5" s="3192" t="s">
        <v>3543</v>
      </c>
      <c r="E5" s="3197">
        <v>102</v>
      </c>
      <c r="F5" s="3197">
        <v>242.17</v>
      </c>
      <c r="G5" s="3192" t="s">
        <v>3558</v>
      </c>
      <c r="H5" s="3194" t="s">
        <v>3559</v>
      </c>
      <c r="I5" s="3195">
        <v>40850</v>
      </c>
      <c r="J5" s="3195">
        <v>55459</v>
      </c>
      <c r="K5" s="3192" t="s">
        <v>3546</v>
      </c>
      <c r="L5" s="3193">
        <v>2012</v>
      </c>
      <c r="M5" s="3200"/>
      <c r="N5" s="3200"/>
      <c r="O5" s="3200"/>
    </row>
    <row r="7" spans="1:16">
      <c r="G7" s="1405" t="s">
        <v>3560</v>
      </c>
      <c r="J7" s="3175" t="s">
        <v>3561</v>
      </c>
    </row>
    <row r="8" spans="1:16" ht="30.6" customHeight="1">
      <c r="A8" s="3196" t="s">
        <v>3562</v>
      </c>
      <c r="B8" s="3201">
        <v>102</v>
      </c>
      <c r="C8" s="3201" t="s">
        <v>3462</v>
      </c>
      <c r="D8" s="3201">
        <v>105</v>
      </c>
      <c r="E8" s="3201" t="s">
        <v>3462</v>
      </c>
      <c r="G8" s="3202">
        <v>103</v>
      </c>
      <c r="H8" s="3201" t="s">
        <v>3462</v>
      </c>
      <c r="J8" s="3174">
        <v>102</v>
      </c>
      <c r="K8" s="3174">
        <v>105</v>
      </c>
      <c r="L8" s="3174">
        <v>103</v>
      </c>
    </row>
    <row r="9" spans="1:16">
      <c r="A9" s="3201" t="s">
        <v>3463</v>
      </c>
      <c r="B9" s="3202">
        <f>F2-B10</f>
        <v>150.23000000000002</v>
      </c>
      <c r="C9" s="3202">
        <f>ROUND(B9/F2,2)</f>
        <v>0.61</v>
      </c>
      <c r="D9" s="3202">
        <f>F3-D10</f>
        <v>137.72</v>
      </c>
      <c r="E9" s="3202">
        <f>ROUND(D9/F3,2)</f>
        <v>0.43</v>
      </c>
      <c r="G9" s="3202">
        <f>[4]租约!B6+[4]租约!B7</f>
        <v>162</v>
      </c>
      <c r="H9" s="3201">
        <f>ROUND(G9/F4,2)</f>
        <v>0.67</v>
      </c>
      <c r="J9" s="3203">
        <f>B9-55</f>
        <v>95.230000000000018</v>
      </c>
      <c r="K9" s="3174">
        <f>D9-[4]租约!B43-[4]租约!B71</f>
        <v>77.72</v>
      </c>
      <c r="L9" s="3174">
        <f>G9-[4]租约!B100-[4]租约!B128</f>
        <v>0</v>
      </c>
    </row>
    <row r="10" spans="1:16">
      <c r="A10" s="3201" t="s">
        <v>3464</v>
      </c>
      <c r="B10" s="3202">
        <v>95.51</v>
      </c>
      <c r="C10" s="3202">
        <f>ROUND(B10/F2,2)</f>
        <v>0.39</v>
      </c>
      <c r="D10" s="3202">
        <v>184.58</v>
      </c>
      <c r="E10" s="3202">
        <f>ROUND(D10/F3,2)</f>
        <v>0.56999999999999995</v>
      </c>
      <c r="G10" s="3202">
        <f>F4-G9</f>
        <v>80.22</v>
      </c>
      <c r="H10" s="3202">
        <f>ROUND(G10/F4,2)</f>
        <v>0.33</v>
      </c>
    </row>
    <row r="11" spans="1:16">
      <c r="B11" s="1405"/>
    </row>
    <row r="12" spans="1:16">
      <c r="A12" s="3156">
        <v>102</v>
      </c>
      <c r="B12" s="1405" t="s">
        <v>3563</v>
      </c>
      <c r="C12" s="1405" t="s">
        <v>3564</v>
      </c>
      <c r="D12" s="1405" t="s">
        <v>3565</v>
      </c>
      <c r="F12" s="3156">
        <v>105</v>
      </c>
      <c r="G12" s="1405" t="s">
        <v>3563</v>
      </c>
      <c r="H12" s="1405" t="s">
        <v>3564</v>
      </c>
      <c r="I12" s="1405" t="s">
        <v>3565</v>
      </c>
      <c r="L12" s="3156">
        <v>103</v>
      </c>
      <c r="M12" s="1405" t="s">
        <v>3563</v>
      </c>
      <c r="N12" s="1405" t="s">
        <v>3564</v>
      </c>
      <c r="O12" s="1405" t="s">
        <v>3566</v>
      </c>
      <c r="P12" s="1405" t="s">
        <v>3567</v>
      </c>
    </row>
    <row r="13" spans="1:16">
      <c r="A13" s="3175" t="s">
        <v>3477</v>
      </c>
      <c r="B13">
        <v>7.5</v>
      </c>
      <c r="C13">
        <v>1</v>
      </c>
      <c r="D13" s="3156">
        <f>C9</f>
        <v>0.61</v>
      </c>
      <c r="F13" s="3175" t="s">
        <v>3477</v>
      </c>
      <c r="G13">
        <v>7</v>
      </c>
      <c r="H13">
        <v>1</v>
      </c>
      <c r="I13" s="3156">
        <f>E9</f>
        <v>0.43</v>
      </c>
      <c r="L13" s="3175" t="s">
        <v>3477</v>
      </c>
      <c r="M13">
        <v>6</v>
      </c>
      <c r="N13">
        <v>1</v>
      </c>
      <c r="O13" s="3156">
        <f>ROUND(([4]租约!B6*[4]租约!D6+[4]租约!B7*[4]租约!D7)/([4]租约!B6+[4]租约!B7),2)</f>
        <v>5.99</v>
      </c>
      <c r="P13" s="3176">
        <f>[4]租约!H6</f>
        <v>47589</v>
      </c>
    </row>
    <row r="14" spans="1:16">
      <c r="A14" s="3175" t="s">
        <v>3568</v>
      </c>
      <c r="B14">
        <f>B13*C14</f>
        <v>3</v>
      </c>
      <c r="C14">
        <v>0.4</v>
      </c>
      <c r="D14" s="3156">
        <f>C10</f>
        <v>0.39</v>
      </c>
      <c r="E14" t="s">
        <v>3569</v>
      </c>
      <c r="F14" s="3175" t="s">
        <v>3568</v>
      </c>
      <c r="G14">
        <f>G13*H14</f>
        <v>2.8000000000000003</v>
      </c>
      <c r="H14">
        <v>0.4</v>
      </c>
      <c r="I14" s="3156">
        <f>E10</f>
        <v>0.56999999999999995</v>
      </c>
      <c r="J14" t="s">
        <v>3569</v>
      </c>
      <c r="L14" s="3175" t="s">
        <v>3568</v>
      </c>
      <c r="M14">
        <f>M13*N14</f>
        <v>2.4000000000000004</v>
      </c>
      <c r="N14">
        <v>0.4</v>
      </c>
      <c r="O14" s="3156"/>
      <c r="P14" t="s">
        <v>3569</v>
      </c>
    </row>
    <row r="15" spans="1:16">
      <c r="A15" s="3175" t="s">
        <v>3570</v>
      </c>
      <c r="B15" s="3175">
        <f>ROUND((B13*B9+B14*B10+B9/2*B14)/F2,2)</f>
        <v>6.67</v>
      </c>
      <c r="C15">
        <f>ROUND((C13+C14)/2,2)</f>
        <v>0.7</v>
      </c>
      <c r="D15" s="3156">
        <f>D13+D14</f>
        <v>1</v>
      </c>
      <c r="F15" s="3175" t="s">
        <v>3570</v>
      </c>
      <c r="G15" s="3175">
        <f>ROUND((G13*D9+D10*G14+D9/2*G14)/F3,2)</f>
        <v>5.19</v>
      </c>
      <c r="H15">
        <f>ROUND((H13+H14)/2,2)</f>
        <v>0.7</v>
      </c>
      <c r="I15" s="3156">
        <f>I13+I14</f>
        <v>1</v>
      </c>
      <c r="L15" s="3175" t="s">
        <v>3570</v>
      </c>
      <c r="M15" s="3175">
        <f>ROUND((M13*G9+M14*G10)/F4,2)</f>
        <v>4.8099999999999996</v>
      </c>
      <c r="N15">
        <f>ROUND((N13+N14)/2,2)</f>
        <v>0.7</v>
      </c>
    </row>
    <row r="16" spans="1:16">
      <c r="J16" s="1405" t="s">
        <v>3563</v>
      </c>
      <c r="K16" s="1405" t="s">
        <v>3564</v>
      </c>
    </row>
    <row r="17" spans="1:16">
      <c r="I17" s="1405" t="s">
        <v>3571</v>
      </c>
      <c r="J17">
        <v>7.5</v>
      </c>
      <c r="K17">
        <v>1</v>
      </c>
      <c r="N17" s="3204" t="s">
        <v>3603</v>
      </c>
      <c r="O17" s="1405" t="s">
        <v>3563</v>
      </c>
      <c r="P17" s="1405" t="s">
        <v>3564</v>
      </c>
    </row>
    <row r="18" spans="1:16">
      <c r="J18">
        <f>J17*K18</f>
        <v>3</v>
      </c>
      <c r="K18">
        <v>0.4</v>
      </c>
      <c r="N18" s="3175" t="s">
        <v>3477</v>
      </c>
      <c r="O18">
        <v>6</v>
      </c>
      <c r="P18">
        <v>1</v>
      </c>
    </row>
    <row r="19" spans="1:16">
      <c r="C19" s="1405"/>
      <c r="D19" s="1405"/>
      <c r="I19" s="1405" t="s">
        <v>3572</v>
      </c>
      <c r="J19" s="3156">
        <f>ROUND((J18*G10+G9/2*J18)/G10,2)</f>
        <v>6.03</v>
      </c>
      <c r="K19">
        <f>ROUND((K17+K18)/2,2)</f>
        <v>0.7</v>
      </c>
      <c r="N19" s="3175" t="s">
        <v>3568</v>
      </c>
      <c r="O19">
        <f>O18*P19</f>
        <v>2.4000000000000004</v>
      </c>
      <c r="P19">
        <v>0.4</v>
      </c>
    </row>
    <row r="20" spans="1:16">
      <c r="A20" s="1405"/>
      <c r="B20" s="1405"/>
      <c r="N20" s="3175" t="s">
        <v>3570</v>
      </c>
      <c r="O20" s="3175">
        <f>ROUND((O22*O18+O19*O23)/O24,2)</f>
        <v>4.67</v>
      </c>
      <c r="P20">
        <f>ROUND((P18+P19)/2,2)</f>
        <v>0.7</v>
      </c>
    </row>
    <row r="21" spans="1:16">
      <c r="A21" s="1405"/>
      <c r="B21" s="1405"/>
    </row>
    <row r="22" spans="1:16">
      <c r="A22" s="1405"/>
      <c r="B22" s="1405"/>
      <c r="M22" s="3204" t="s">
        <v>3603</v>
      </c>
      <c r="N22">
        <f>'中指成交案例+三套价值汇总'!P31</f>
        <v>153.69479999999999</v>
      </c>
      <c r="O22">
        <f>'中指成交案例+三套价值汇总'!Q31</f>
        <v>0.63</v>
      </c>
    </row>
    <row r="23" spans="1:16">
      <c r="B23" s="3175" t="s">
        <v>3573</v>
      </c>
      <c r="N23">
        <f>'中指成交案例+三套价值汇总'!P32</f>
        <v>88.475200000000001</v>
      </c>
      <c r="O23">
        <f>'中指成交案例+三套价值汇总'!Q32</f>
        <v>0.37</v>
      </c>
    </row>
    <row r="24" spans="1:16">
      <c r="B24" s="1405" t="s">
        <v>3475</v>
      </c>
      <c r="C24" s="1405" t="s">
        <v>3476</v>
      </c>
      <c r="D24" s="1405" t="s">
        <v>3574</v>
      </c>
      <c r="E24" s="1405" t="s">
        <v>3575</v>
      </c>
      <c r="F24" s="1405" t="s">
        <v>3576</v>
      </c>
      <c r="G24" s="1405" t="s">
        <v>3389</v>
      </c>
      <c r="H24" s="1405" t="s">
        <v>3577</v>
      </c>
      <c r="O24">
        <f>O23+O22</f>
        <v>1</v>
      </c>
    </row>
    <row r="25" spans="1:16">
      <c r="A25" s="3534">
        <v>102</v>
      </c>
      <c r="B25" s="1405" t="s">
        <v>3578</v>
      </c>
      <c r="C25" s="1405" t="s">
        <v>3477</v>
      </c>
      <c r="D25">
        <v>2.2999999999999998</v>
      </c>
      <c r="E25">
        <v>3.5</v>
      </c>
      <c r="F25">
        <v>13.97</v>
      </c>
      <c r="G25" s="1405" t="s">
        <v>3579</v>
      </c>
      <c r="H25" s="1405" t="s">
        <v>3580</v>
      </c>
    </row>
    <row r="26" spans="1:16">
      <c r="A26" s="3534"/>
      <c r="B26" s="1405" t="s">
        <v>3581</v>
      </c>
      <c r="C26" s="1405" t="s">
        <v>3477</v>
      </c>
      <c r="D26">
        <v>3</v>
      </c>
      <c r="E26">
        <v>7.8</v>
      </c>
      <c r="F26" s="1405" t="s">
        <v>3582</v>
      </c>
      <c r="H26" s="1405" t="s">
        <v>3583</v>
      </c>
    </row>
    <row r="27" spans="1:16" ht="47.4" customHeight="1">
      <c r="A27" s="3534"/>
      <c r="B27" s="1405" t="s">
        <v>3584</v>
      </c>
      <c r="C27" s="3200" t="s">
        <v>3585</v>
      </c>
      <c r="E27">
        <v>3</v>
      </c>
      <c r="H27" s="1405" t="s">
        <v>3580</v>
      </c>
    </row>
    <row r="29" spans="1:16">
      <c r="B29" s="1405" t="s">
        <v>3475</v>
      </c>
      <c r="C29" s="1405" t="s">
        <v>3476</v>
      </c>
      <c r="D29" s="1405" t="s">
        <v>3574</v>
      </c>
      <c r="E29" s="1405" t="s">
        <v>3575</v>
      </c>
      <c r="F29" s="1405" t="s">
        <v>3576</v>
      </c>
      <c r="G29" s="1405" t="s">
        <v>3389</v>
      </c>
      <c r="H29" s="1405" t="s">
        <v>3577</v>
      </c>
    </row>
    <row r="30" spans="1:16">
      <c r="A30" s="3534">
        <v>105</v>
      </c>
      <c r="B30" s="1405" t="s">
        <v>3586</v>
      </c>
      <c r="C30" s="1405" t="s">
        <v>3477</v>
      </c>
      <c r="D30">
        <v>2.35</v>
      </c>
      <c r="E30" s="1405">
        <v>2.6</v>
      </c>
      <c r="F30" s="1405">
        <v>10.199999999999999</v>
      </c>
      <c r="H30" s="1405" t="s">
        <v>3580</v>
      </c>
    </row>
    <row r="31" spans="1:16">
      <c r="A31" s="3534"/>
      <c r="B31" s="1405" t="s">
        <v>3587</v>
      </c>
      <c r="C31" s="1405" t="s">
        <v>3477</v>
      </c>
      <c r="D31">
        <v>2.29</v>
      </c>
      <c r="E31" s="1405">
        <v>2.1800000000000002</v>
      </c>
      <c r="F31">
        <v>5.2</v>
      </c>
      <c r="H31" s="1405" t="s">
        <v>3588</v>
      </c>
    </row>
    <row r="32" spans="1:16">
      <c r="A32" s="3534"/>
      <c r="B32" s="1405" t="s">
        <v>3589</v>
      </c>
      <c r="C32" s="1405" t="s">
        <v>3477</v>
      </c>
      <c r="D32">
        <v>2.2999999999999998</v>
      </c>
      <c r="E32" s="1405">
        <v>6.2</v>
      </c>
      <c r="F32" s="1405" t="s">
        <v>3590</v>
      </c>
      <c r="H32" s="1405" t="s">
        <v>3591</v>
      </c>
    </row>
    <row r="33" spans="1:9" ht="57.6">
      <c r="A33" s="3534"/>
      <c r="B33" s="1405" t="s">
        <v>3592</v>
      </c>
      <c r="C33" s="3200" t="s">
        <v>3585</v>
      </c>
      <c r="D33" s="3200" t="s">
        <v>3593</v>
      </c>
      <c r="H33" s="1405" t="s">
        <v>3580</v>
      </c>
    </row>
    <row r="36" spans="1:9">
      <c r="B36" s="1405" t="s">
        <v>3475</v>
      </c>
      <c r="C36" s="1405" t="s">
        <v>3476</v>
      </c>
      <c r="D36" s="1405" t="s">
        <v>3574</v>
      </c>
      <c r="E36" s="1405" t="s">
        <v>3575</v>
      </c>
      <c r="F36" s="1405" t="s">
        <v>3576</v>
      </c>
      <c r="G36" s="1405" t="s">
        <v>3389</v>
      </c>
      <c r="H36" s="1405" t="s">
        <v>3577</v>
      </c>
      <c r="I36" s="1405"/>
    </row>
    <row r="37" spans="1:9">
      <c r="A37" s="3534">
        <v>103</v>
      </c>
      <c r="B37" s="1405" t="s">
        <v>3594</v>
      </c>
      <c r="C37" s="1405" t="s">
        <v>3477</v>
      </c>
      <c r="H37" s="1405" t="s">
        <v>3595</v>
      </c>
    </row>
    <row r="38" spans="1:9">
      <c r="A38" s="3534"/>
      <c r="B38" s="1405" t="s">
        <v>3596</v>
      </c>
      <c r="C38" s="1405" t="s">
        <v>3477</v>
      </c>
      <c r="H38" s="1405" t="s">
        <v>3597</v>
      </c>
    </row>
    <row r="40" spans="1:9" ht="43.2">
      <c r="A40">
        <v>102</v>
      </c>
      <c r="B40" s="1405" t="s">
        <v>3581</v>
      </c>
      <c r="C40" s="3200" t="s">
        <v>3598</v>
      </c>
      <c r="D40" s="1405" t="s">
        <v>3549</v>
      </c>
      <c r="H40" s="1405" t="s">
        <v>3580</v>
      </c>
    </row>
    <row r="43" spans="1:9">
      <c r="A43">
        <v>102</v>
      </c>
      <c r="B43" s="1405" t="s">
        <v>3599</v>
      </c>
    </row>
    <row r="49" spans="2:2">
      <c r="B49" s="1405"/>
    </row>
  </sheetData>
  <mergeCells count="3">
    <mergeCell ref="A25:A27"/>
    <mergeCell ref="A30:A33"/>
    <mergeCell ref="A37:A38"/>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45811</v>
      </c>
      <c r="B1" s="2927" t="s">
        <v>3378</v>
      </c>
      <c r="C1" s="2928"/>
      <c r="D1" s="2928"/>
      <c r="E1" s="2928"/>
      <c r="F1" s="2928"/>
      <c r="G1" s="2928"/>
      <c r="H1" s="2928"/>
      <c r="I1" s="2928"/>
      <c r="J1" s="2894"/>
      <c r="K1" s="2928" t="s">
        <v>454</v>
      </c>
      <c r="L1" s="2928"/>
      <c r="M1" s="2928"/>
      <c r="N1" s="2928"/>
      <c r="O1" s="2928"/>
      <c r="P1" s="2928"/>
      <c r="Q1" s="2894"/>
      <c r="R1" s="3535" t="s">
        <v>456</v>
      </c>
      <c r="S1" s="3536"/>
      <c r="T1" s="3536"/>
      <c r="U1" s="3536"/>
      <c r="V1" s="3536"/>
      <c r="W1" s="3536"/>
      <c r="X1" s="2894"/>
      <c r="Y1" s="3535" t="s">
        <v>457</v>
      </c>
      <c r="Z1" s="3536"/>
      <c r="AA1" s="3536"/>
      <c r="AB1" s="3536"/>
      <c r="AC1" s="3536"/>
      <c r="AD1" s="3536"/>
    </row>
    <row r="2" spans="1:44" s="2010" customFormat="1" ht="1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3404</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3403</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3376</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3375</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3371</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3370</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3368</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3367</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3366</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3364</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3355</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3381</v>
      </c>
    </row>
    <row r="27" spans="1:44">
      <c r="I27" s="1405" t="s">
        <v>2825</v>
      </c>
    </row>
    <row r="29" spans="1:44" s="2009" customFormat="1" ht="13.2">
      <c r="B29" s="2927" t="s">
        <v>3379</v>
      </c>
      <c r="C29" s="2928"/>
      <c r="D29" s="2928"/>
      <c r="E29" s="2928"/>
      <c r="F29" s="2928"/>
      <c r="G29" s="2928"/>
      <c r="H29" s="2928"/>
      <c r="I29" s="2928"/>
      <c r="J29" s="2894"/>
      <c r="K29" s="2928" t="s">
        <v>2826</v>
      </c>
      <c r="L29" s="2928"/>
      <c r="M29" s="2928"/>
      <c r="N29" s="2928"/>
      <c r="O29" s="2928"/>
      <c r="P29" s="2928"/>
      <c r="Q29" s="2894"/>
      <c r="R29" s="3535" t="s">
        <v>2827</v>
      </c>
      <c r="S29" s="3536"/>
      <c r="T29" s="3536"/>
      <c r="U29" s="3536"/>
      <c r="V29" s="3536"/>
      <c r="W29" s="3536"/>
      <c r="X29" s="2894"/>
      <c r="Y29" s="3535" t="s">
        <v>2828</v>
      </c>
      <c r="Z29" s="3536"/>
      <c r="AA29" s="3536"/>
      <c r="AB29" s="3536"/>
      <c r="AC29" s="3536"/>
      <c r="AD29" s="3536"/>
    </row>
    <row r="30" spans="1:44" s="2010" customFormat="1" ht="1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3404</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3403</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3377</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3374</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3372</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3370</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3369</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3367</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3366</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3365</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3355</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3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3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4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3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3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3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3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3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3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3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3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3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3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3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48" t="s">
        <v>2839</v>
      </c>
      <c r="B1" s="3548"/>
      <c r="C1" s="3548"/>
      <c r="D1" s="3548"/>
      <c r="E1" s="3548"/>
      <c r="F1" s="3548"/>
      <c r="G1" s="3549"/>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46"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47"/>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45811</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6">
      <c r="A3" s="3226"/>
      <c r="B3" s="3226"/>
      <c r="C3" s="3226"/>
      <c r="D3" s="801" t="s">
        <v>925</v>
      </c>
      <c r="E3" s="801" t="s">
        <v>931</v>
      </c>
      <c r="F3" s="801" t="s">
        <v>925</v>
      </c>
      <c r="G3" s="801" t="s">
        <v>926</v>
      </c>
      <c r="H3" s="801" t="s">
        <v>925</v>
      </c>
      <c r="I3" s="801" t="s">
        <v>926</v>
      </c>
    </row>
    <row r="4" spans="1:9" ht="45">
      <c r="A4" s="1403" t="str">
        <f>项目基本情况!S2</f>
        <v>北京市石景山区古城西路66号院1号楼1至2层102房地产</v>
      </c>
      <c r="B4" s="801">
        <f>项目基本情况!C17</f>
        <v>242.17</v>
      </c>
      <c r="C4" s="801">
        <f>项目基本情况!C18</f>
        <v>0</v>
      </c>
      <c r="D4" s="801">
        <f>结果表!D118</f>
        <v>0</v>
      </c>
      <c r="E4" s="801">
        <f>结果表!E118</f>
        <v>0</v>
      </c>
      <c r="F4" s="801">
        <f>结果表!F118</f>
        <v>0</v>
      </c>
      <c r="G4" s="801">
        <f>结果表!G118</f>
        <v>0</v>
      </c>
      <c r="H4" s="801">
        <f ca="1">结果表!H118</f>
        <v>700</v>
      </c>
      <c r="I4" s="801">
        <f ca="1">结果表!I118</f>
        <v>28915</v>
      </c>
    </row>
    <row r="5" spans="1:9" ht="30" customHeight="1">
      <c r="A5" s="3226" t="s">
        <v>927</v>
      </c>
      <c r="B5" s="3226"/>
      <c r="C5" s="3226"/>
      <c r="D5" s="3226" t="str">
        <f>结果表!D119</f>
        <v>零元整</v>
      </c>
      <c r="E5" s="3226"/>
      <c r="F5" s="3226" t="str">
        <f>结果表!F119</f>
        <v>零元整</v>
      </c>
      <c r="G5" s="3226"/>
      <c r="H5" s="3226" t="str">
        <f ca="1">结果表!H119</f>
        <v>柒佰万元整</v>
      </c>
      <c r="I5" s="3226"/>
    </row>
    <row r="6" spans="1:9" ht="15.6">
      <c r="A6" s="3227" t="str">
        <f>结果表!A120</f>
        <v>估价师知悉的法定优先受偿款</v>
      </c>
      <c r="B6" s="3227"/>
      <c r="C6" s="3227"/>
      <c r="D6" s="3227">
        <f>结果表!D120</f>
        <v>0</v>
      </c>
      <c r="E6" s="3227"/>
      <c r="F6" s="3227"/>
      <c r="G6" s="3227"/>
      <c r="H6" s="3227"/>
      <c r="I6" s="3227"/>
    </row>
    <row r="7" spans="1:9" ht="15">
      <c r="A7" s="3226" t="s">
        <v>927</v>
      </c>
      <c r="B7" s="3226"/>
      <c r="C7" s="3226"/>
      <c r="D7" s="3228" t="str">
        <f>结果表!D121</f>
        <v>零元整</v>
      </c>
      <c r="E7" s="3229"/>
      <c r="F7" s="3229"/>
      <c r="G7" s="3229"/>
      <c r="H7" s="3229"/>
      <c r="I7" s="3230"/>
    </row>
    <row r="8" spans="1:9" ht="15.6">
      <c r="A8" s="3227" t="str">
        <f>结果表!A122</f>
        <v>房地产抵押价值</v>
      </c>
      <c r="B8" s="3227"/>
      <c r="C8" s="3227"/>
      <c r="D8" s="3227">
        <f ca="1">结果表!D122</f>
        <v>700</v>
      </c>
      <c r="E8" s="3227"/>
      <c r="F8" s="3227"/>
      <c r="G8" s="3227"/>
      <c r="H8" s="3227"/>
      <c r="I8" s="3227"/>
    </row>
    <row r="9" spans="1:9" ht="15">
      <c r="A9" s="3226" t="s">
        <v>927</v>
      </c>
      <c r="B9" s="3226"/>
      <c r="C9" s="3226"/>
      <c r="D9" s="3226" t="str">
        <f ca="1">结果表!D123</f>
        <v>柒佰万元整</v>
      </c>
      <c r="E9" s="3226"/>
      <c r="F9" s="3226"/>
      <c r="G9" s="3226"/>
      <c r="H9" s="3226"/>
      <c r="I9" s="3226"/>
    </row>
    <row r="10" spans="1:9" ht="15.6">
      <c r="A10" s="3227" t="str">
        <f>结果表!A124</f>
        <v/>
      </c>
      <c r="B10" s="3227"/>
      <c r="C10" s="3227"/>
      <c r="D10" s="3227" t="str">
        <f>结果表!D124</f>
        <v>——</v>
      </c>
      <c r="E10" s="3227"/>
      <c r="F10" s="3227"/>
      <c r="G10" s="3227"/>
      <c r="H10" s="3227"/>
      <c r="I10" s="3227"/>
    </row>
    <row r="11" spans="1:9" ht="15">
      <c r="A11" s="3226" t="s">
        <v>927</v>
      </c>
      <c r="B11" s="3226"/>
      <c r="C11" s="3226"/>
      <c r="D11" s="3226" t="e">
        <f>结果表!D125</f>
        <v>#VALUE!</v>
      </c>
      <c r="E11" s="3226"/>
      <c r="F11" s="3226"/>
      <c r="G11" s="3226"/>
      <c r="H11" s="3226"/>
      <c r="I11" s="3226"/>
    </row>
    <row r="12" spans="1:9" ht="15.6">
      <c r="A12" s="3227" t="str">
        <f>结果表!A126</f>
        <v/>
      </c>
      <c r="B12" s="3227"/>
      <c r="C12" s="3227"/>
      <c r="D12" s="3227" t="str">
        <f>结果表!D126</f>
        <v>——</v>
      </c>
      <c r="E12" s="3227"/>
      <c r="F12" s="3227"/>
      <c r="G12" s="3227"/>
      <c r="H12" s="3227"/>
      <c r="I12" s="3227"/>
    </row>
    <row r="13" spans="1:9" ht="15.6" thickBot="1">
      <c r="A13" s="3231" t="s">
        <v>927</v>
      </c>
      <c r="B13" s="3231"/>
      <c r="C13" s="3231"/>
      <c r="D13" s="3231" t="e">
        <f>结果表!D127</f>
        <v>#VALUE!</v>
      </c>
      <c r="E13" s="3231"/>
      <c r="F13" s="3231"/>
      <c r="G13" s="3231"/>
      <c r="H13" s="3231"/>
      <c r="I13" s="3231"/>
    </row>
    <row r="14" spans="1:9" ht="14.4" thickTop="1">
      <c r="A14" s="3232" t="s">
        <v>932</v>
      </c>
      <c r="B14" s="3232"/>
      <c r="C14" s="3232"/>
      <c r="D14" s="3232"/>
      <c r="E14" s="3232"/>
      <c r="F14" s="3232"/>
      <c r="G14" s="3232"/>
      <c r="H14" s="3232"/>
      <c r="I14" s="323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3" t="s">
        <v>949</v>
      </c>
      <c r="B1" s="3233"/>
      <c r="C1" s="3233"/>
      <c r="D1" s="3233"/>
    </row>
    <row r="2" spans="1:4" ht="17.399999999999999">
      <c r="A2" s="3234" t="s">
        <v>933</v>
      </c>
      <c r="B2" s="3234"/>
      <c r="C2" s="3234"/>
      <c r="D2" s="3234"/>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34" t="s">
        <v>939</v>
      </c>
      <c r="B6" s="3234"/>
      <c r="C6" s="3234"/>
      <c r="D6" s="323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35" t="s">
        <v>942</v>
      </c>
      <c r="B11" s="3236"/>
      <c r="C11" s="3236"/>
      <c r="D11" s="3236"/>
    </row>
    <row r="12" spans="1:4" ht="15.6">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v>
      </c>
      <c r="B15" s="3236"/>
      <c r="C15" s="3236"/>
      <c r="D15" s="3236"/>
    </row>
    <row r="16" spans="1:4" ht="30" customHeight="1">
      <c r="A16" s="3239" t="s">
        <v>943</v>
      </c>
      <c r="B16" s="3239"/>
      <c r="C16" s="3239"/>
      <c r="D16" s="3239"/>
    </row>
    <row r="17" spans="1:4" ht="144" customHeight="1">
      <c r="A17" s="3239" t="s">
        <v>944</v>
      </c>
      <c r="B17" s="3239"/>
      <c r="C17" s="3239"/>
      <c r="D17" s="3239"/>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945</v>
      </c>
      <c r="B22" s="3241"/>
      <c r="C22" s="3241"/>
      <c r="D22" s="324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38">
        <v>42551</v>
      </c>
      <c r="D31" s="32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7" t="s">
        <v>956</v>
      </c>
      <c r="B15" s="3242" t="s">
        <v>109</v>
      </c>
      <c r="C15" s="3243"/>
    </row>
    <row r="16" spans="1:7" ht="14.4">
      <c r="A16" s="3248"/>
      <c r="B16" s="3242" t="s">
        <v>42</v>
      </c>
      <c r="C16" s="3243"/>
    </row>
    <row r="17" spans="1:3" ht="14.4">
      <c r="A17" s="3248"/>
      <c r="B17" s="3245" t="s">
        <v>957</v>
      </c>
      <c r="C17" s="1429" t="s">
        <v>956</v>
      </c>
    </row>
    <row r="18" spans="1:3" ht="14.4">
      <c r="A18" s="3248"/>
      <c r="B18" s="3245"/>
      <c r="C18" s="1429" t="s">
        <v>958</v>
      </c>
    </row>
    <row r="19" spans="1:3" ht="14.4">
      <c r="A19" s="3248"/>
      <c r="B19" s="3245"/>
      <c r="C19" s="1429" t="s">
        <v>959</v>
      </c>
    </row>
    <row r="20" spans="1:3" ht="14.4">
      <c r="A20" s="3249"/>
      <c r="B20" s="3244" t="s">
        <v>960</v>
      </c>
      <c r="C20" s="3243"/>
    </row>
    <row r="21" spans="1:3" ht="14.4">
      <c r="A21" s="1430" t="s">
        <v>961</v>
      </c>
      <c r="B21" s="1431"/>
      <c r="C21" s="1432"/>
    </row>
    <row r="22" spans="1:3" ht="14.4">
      <c r="A22" s="3246" t="s">
        <v>962</v>
      </c>
      <c r="B22" s="3244" t="s">
        <v>963</v>
      </c>
      <c r="C22" s="3243"/>
    </row>
    <row r="23" spans="1:3" ht="14.4">
      <c r="A23" s="3246"/>
      <c r="B23" s="3244" t="s">
        <v>964</v>
      </c>
      <c r="C23" s="3243"/>
    </row>
    <row r="24" spans="1:3" ht="14.4">
      <c r="A24" s="3246"/>
      <c r="B24" s="3244" t="s">
        <v>965</v>
      </c>
      <c r="C24" s="3243"/>
    </row>
    <row r="25" spans="1:3" ht="14.4">
      <c r="A25" s="3246"/>
      <c r="B25" s="3245" t="s">
        <v>966</v>
      </c>
      <c r="C25" s="1429" t="s">
        <v>967</v>
      </c>
    </row>
    <row r="26" spans="1:3" ht="14.4">
      <c r="A26" s="3246"/>
      <c r="B26" s="3245"/>
      <c r="C26" s="1429" t="s">
        <v>968</v>
      </c>
    </row>
    <row r="27" spans="1:3" ht="14.4">
      <c r="A27" s="3246"/>
      <c r="B27" s="3245"/>
      <c r="C27" s="1429" t="s">
        <v>969</v>
      </c>
    </row>
    <row r="28" spans="1:3" ht="14.4">
      <c r="A28" s="3246"/>
      <c r="B28" s="3245"/>
      <c r="C28" s="1429" t="s">
        <v>970</v>
      </c>
    </row>
    <row r="29" spans="1:3" ht="14.4">
      <c r="A29" s="3246"/>
      <c r="B29" s="3245"/>
      <c r="C29" s="1429" t="s">
        <v>971</v>
      </c>
    </row>
    <row r="30" spans="1:3" ht="14.4">
      <c r="A30" s="3246"/>
      <c r="B30" s="3245"/>
      <c r="C30" s="1429" t="s">
        <v>972</v>
      </c>
    </row>
    <row r="31" spans="1:3" ht="14.4">
      <c r="A31" s="3246"/>
      <c r="B31" s="3245"/>
      <c r="C31" s="1429" t="s">
        <v>973</v>
      </c>
    </row>
    <row r="32" spans="1:3" ht="14.4">
      <c r="A32" s="3246"/>
      <c r="B32" s="3245"/>
      <c r="C32" s="1429" t="s">
        <v>974</v>
      </c>
    </row>
    <row r="33" spans="1:3" ht="14.4">
      <c r="A33" s="3246"/>
      <c r="B33" s="324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0" t="s">
        <v>2160</v>
      </c>
      <c r="B17" s="3250"/>
      <c r="C17" s="3250"/>
      <c r="D17" s="3250"/>
      <c r="E17" s="3250"/>
      <c r="F17" s="3250"/>
      <c r="G17" s="3250"/>
      <c r="H17" s="3250"/>
    </row>
    <row r="18" spans="1:8" ht="24" customHeight="1">
      <c r="A18" s="3251" t="s">
        <v>2161</v>
      </c>
      <c r="B18" s="3251"/>
      <c r="C18" s="3251"/>
      <c r="D18" s="2160"/>
      <c r="E18" s="3252" t="s">
        <v>2162</v>
      </c>
      <c r="F18" s="3251"/>
      <c r="G18" s="325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中指成交案例+三套价值汇总</vt:lpstr>
      <vt:lpstr>租赁合同</vt:lpstr>
      <vt:lpstr>信息</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2025-06-04T01:32:33Z</dcterms:modified>
</cp:coreProperties>
</file>