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收益法 (车位)"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7">'收益法 (车位)'!$A$1:$AK$69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J13" i="3" l="1"/>
  <c r="K14" i="3"/>
  <c r="I5" i="3"/>
  <c r="I4" i="6"/>
  <c r="G3" i="43"/>
  <c r="E22" i="43"/>
  <c r="G22" i="43"/>
  <c r="F22" i="43"/>
  <c r="H22" i="43"/>
  <c r="D22" i="43"/>
  <c r="C21" i="43"/>
  <c r="G17" i="43"/>
  <c r="C16" i="43"/>
  <c r="C5" i="43"/>
  <c r="D59" i="43"/>
  <c r="E59" i="43"/>
  <c r="B57" i="43"/>
  <c r="C24" i="43"/>
  <c r="D29" i="43"/>
  <c r="D5" i="43"/>
  <c r="N7" i="1"/>
  <c r="AD7" i="1"/>
  <c r="Y7" i="1"/>
  <c r="C19" i="6"/>
  <c r="A6" i="1"/>
  <c r="C20" i="6"/>
  <c r="A7" i="1"/>
  <c r="G1" i="78"/>
  <c r="G20" i="6"/>
  <c r="E20" i="6"/>
  <c r="K7" i="1"/>
  <c r="M7" i="1"/>
  <c r="BQ14" i="3"/>
  <c r="BQ5" i="3"/>
  <c r="BS14" i="3"/>
  <c r="BS5" i="3"/>
  <c r="F28" i="6"/>
  <c r="BR14" i="3"/>
  <c r="BR5" i="3"/>
  <c r="BT14" i="3"/>
  <c r="BT5" i="3"/>
  <c r="G28" i="6"/>
  <c r="E28" i="6"/>
  <c r="BB14" i="3"/>
  <c r="BC14" i="3"/>
  <c r="BD14" i="3"/>
  <c r="BE14" i="3"/>
  <c r="BF14" i="3"/>
  <c r="BG14" i="3"/>
  <c r="BH14" i="3"/>
  <c r="BI14" i="3"/>
  <c r="BJ14" i="3"/>
  <c r="BK14" i="3"/>
  <c r="BA14" i="3"/>
  <c r="BB13" i="3"/>
  <c r="BA13" i="3"/>
  <c r="BA5" i="3"/>
  <c r="F19" i="6"/>
  <c r="E19" i="6"/>
  <c r="E27" i="6"/>
  <c r="K20" i="6"/>
  <c r="S7" i="1"/>
  <c r="T7" i="1"/>
  <c r="F20" i="78"/>
  <c r="F23" i="78"/>
  <c r="F21" i="78"/>
  <c r="F28" i="78"/>
  <c r="C28" i="78"/>
  <c r="F32" i="78"/>
  <c r="F33" i="78"/>
  <c r="F34" i="78"/>
  <c r="BM14" i="3"/>
  <c r="BN14" i="3"/>
  <c r="BO14" i="3"/>
  <c r="BP14" i="3"/>
  <c r="BL14" i="3"/>
  <c r="AZ14" i="3"/>
  <c r="BP13" i="3"/>
  <c r="BL13" i="3"/>
  <c r="AZ13" i="3"/>
  <c r="AZ5" i="3"/>
  <c r="H13" i="3"/>
  <c r="AC13" i="3"/>
  <c r="G13" i="3"/>
  <c r="H14" i="3"/>
  <c r="G14" i="3"/>
  <c r="G5" i="3"/>
  <c r="B3" i="3"/>
  <c r="AY6" i="3"/>
  <c r="D3" i="6"/>
  <c r="E3" i="6"/>
  <c r="D20" i="6"/>
  <c r="L20" i="6"/>
  <c r="M20" i="6"/>
  <c r="I20" i="6"/>
  <c r="H20" i="6"/>
  <c r="R20" i="6"/>
  <c r="R7" i="1"/>
  <c r="M47" i="78"/>
  <c r="F7" i="1"/>
  <c r="J50" i="78"/>
  <c r="J51" i="78"/>
  <c r="D7" i="1"/>
  <c r="K59" i="78"/>
  <c r="P74" i="78"/>
  <c r="Q72" i="78"/>
  <c r="F60" i="78"/>
  <c r="F61" i="78"/>
  <c r="F62" i="78"/>
  <c r="P61" i="78"/>
  <c r="Q59" i="78"/>
  <c r="F59" i="78"/>
  <c r="Q58" i="78"/>
  <c r="Q51" i="78"/>
  <c r="D46" i="78"/>
  <c r="F31" i="78"/>
  <c r="M18" i="78"/>
  <c r="M19" i="78"/>
  <c r="M20" i="78"/>
  <c r="D24" i="78"/>
  <c r="D23" i="78"/>
  <c r="D22" i="78"/>
  <c r="F18" i="78"/>
  <c r="M17" i="78"/>
  <c r="F17" i="78"/>
  <c r="F15" i="78"/>
  <c r="G67" i="43"/>
  <c r="G66" i="43"/>
  <c r="G65" i="43"/>
  <c r="G64" i="43"/>
  <c r="G63" i="43"/>
  <c r="G62" i="43"/>
  <c r="G61" i="43"/>
  <c r="G60" i="43"/>
  <c r="G59" i="43"/>
  <c r="I7" i="34"/>
  <c r="G7" i="34"/>
  <c r="E7" i="34"/>
  <c r="I34" i="34"/>
  <c r="I37" i="34"/>
  <c r="G37" i="34"/>
  <c r="Y6" i="1"/>
  <c r="E37" i="34"/>
  <c r="N6" i="1"/>
  <c r="C37" i="34"/>
  <c r="BC11" i="3"/>
  <c r="E5" i="6"/>
  <c r="E6" i="6"/>
  <c r="D10" i="68"/>
  <c r="C10" i="68"/>
  <c r="B29" i="1"/>
  <c r="C8" i="68"/>
  <c r="AD6" i="1"/>
  <c r="B7" i="4"/>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I19" i="43"/>
  <c r="C19" i="43"/>
  <c r="I20" i="43"/>
  <c r="J20" i="43"/>
  <c r="G2" i="43"/>
  <c r="I2" i="43"/>
  <c r="M6" i="43"/>
  <c r="C6" i="43"/>
  <c r="H17" i="43"/>
  <c r="I17" i="43"/>
  <c r="J17" i="43"/>
  <c r="C17" i="43"/>
  <c r="F39" i="43"/>
  <c r="K59" i="43"/>
  <c r="K60" i="43"/>
  <c r="D60" i="43"/>
  <c r="K61" i="43"/>
  <c r="D61" i="43"/>
  <c r="K62" i="43"/>
  <c r="D62" i="43"/>
  <c r="D63" i="43"/>
  <c r="K64" i="43"/>
  <c r="D64" i="43"/>
  <c r="K65" i="43"/>
  <c r="D65" i="43"/>
  <c r="D66" i="43"/>
  <c r="D67" i="43"/>
  <c r="F38" i="43"/>
  <c r="F37" i="43"/>
  <c r="F36" i="43"/>
  <c r="F35" i="43"/>
  <c r="F34" i="43"/>
  <c r="J53" i="67"/>
  <c r="M47" i="15"/>
  <c r="G1" i="15"/>
  <c r="J50" i="15"/>
  <c r="J51" i="15"/>
  <c r="F33" i="43"/>
  <c r="D8" i="71"/>
  <c r="AH6" i="71"/>
  <c r="AG6" i="71"/>
  <c r="AE6" i="71"/>
  <c r="AF6" i="71"/>
  <c r="AD6" i="71"/>
  <c r="L3" i="71"/>
  <c r="K3" i="71"/>
  <c r="I3" i="71"/>
  <c r="J3" i="71"/>
  <c r="BC13" i="3"/>
  <c r="BD13" i="3"/>
  <c r="BE13" i="3"/>
  <c r="BF13" i="3"/>
  <c r="BG13" i="3"/>
  <c r="BH13" i="3"/>
  <c r="BI13" i="3"/>
  <c r="BJ13" i="3"/>
  <c r="BK13" i="3"/>
  <c r="BM13" i="3"/>
  <c r="BN13" i="3"/>
  <c r="BO13" i="3"/>
  <c r="BQ13" i="3"/>
  <c r="BR13" i="3"/>
  <c r="BS13" i="3"/>
  <c r="BT13" i="3"/>
  <c r="AC14"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5" i="3"/>
  <c r="AC15" i="3"/>
  <c r="H16" i="3"/>
  <c r="AC16" i="3"/>
  <c r="H17"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6"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A15" i="3"/>
  <c r="AZ15" i="3"/>
  <c r="BB5" i="3"/>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5" i="49"/>
  <c r="E4" i="4"/>
  <c r="B9" i="49"/>
  <c r="E5" i="49"/>
  <c r="C4" i="4"/>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G16" i="1"/>
  <c r="H10" i="40"/>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AB10" i="39"/>
  <c r="J10" i="39"/>
  <c r="W10" i="39"/>
  <c r="M16" i="1"/>
  <c r="N16" i="1"/>
  <c r="F1" i="67"/>
  <c r="Q52" i="67"/>
  <c r="AA7" i="36"/>
  <c r="R36" i="36"/>
  <c r="E36" i="36"/>
  <c r="E40" i="36"/>
  <c r="F40" i="36"/>
  <c r="AC11" i="37"/>
  <c r="W11" i="37"/>
  <c r="AB7" i="37"/>
  <c r="T42" i="37"/>
  <c r="G42" i="37"/>
  <c r="G46" i="37"/>
  <c r="H46" i="37"/>
  <c r="W11" i="34"/>
  <c r="AC11" i="34"/>
  <c r="B2" i="74"/>
  <c r="AB7" i="36"/>
  <c r="T36" i="36"/>
  <c r="E6" i="3"/>
  <c r="D10" i="11"/>
  <c r="C10" i="11"/>
  <c r="D20" i="12"/>
  <c r="C20" i="12"/>
  <c r="D19" i="6"/>
  <c r="D25" i="6"/>
  <c r="D26" i="6"/>
  <c r="D15" i="6"/>
  <c r="C18" i="4"/>
  <c r="D22" i="6"/>
  <c r="D8" i="6"/>
  <c r="D21" i="6"/>
  <c r="D23" i="6"/>
  <c r="D24" i="6"/>
  <c r="D14" i="6"/>
  <c r="H19" i="6"/>
  <c r="R19" i="6"/>
  <c r="D5" i="6"/>
  <c r="D6" i="6"/>
  <c r="D12" i="6"/>
  <c r="D9" i="6"/>
  <c r="D11" i="6"/>
  <c r="D10" i="6"/>
  <c r="D13" i="6"/>
  <c r="L19" i="9"/>
  <c r="D28" i="6"/>
  <c r="D29" i="6"/>
  <c r="E61" i="40"/>
  <c r="H25" i="6"/>
  <c r="R25" i="6"/>
  <c r="H22" i="6"/>
  <c r="H23" i="6"/>
  <c r="H21" i="6"/>
  <c r="H26" i="6"/>
  <c r="H24" i="6"/>
  <c r="C13" i="12"/>
  <c r="P16" i="1"/>
  <c r="C11" i="12"/>
  <c r="C15" i="12"/>
  <c r="F34" i="11"/>
  <c r="C37" i="11"/>
  <c r="F11" i="12"/>
  <c r="C23" i="12"/>
  <c r="F34" i="68"/>
  <c r="C36" i="68"/>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AC10" i="39"/>
  <c r="U10" i="39"/>
  <c r="F50" i="11"/>
  <c r="F50" i="69"/>
  <c r="F50" i="68"/>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5" i="69"/>
  <c r="M63" i="40"/>
  <c r="L65" i="40"/>
  <c r="M70" i="39"/>
  <c r="D10" i="69"/>
  <c r="N63" i="40"/>
  <c r="M65" i="40"/>
  <c r="O70" i="39"/>
  <c r="N70" i="39"/>
  <c r="O63" i="40"/>
  <c r="O65" i="40"/>
  <c r="N65" i="40"/>
  <c r="F7" i="40"/>
  <c r="H7" i="40"/>
  <c r="J7" i="40"/>
  <c r="W7" i="40"/>
  <c r="AC7" i="40"/>
  <c r="V42" i="40"/>
  <c r="I42" i="40"/>
  <c r="AB7" i="40"/>
  <c r="T42" i="40"/>
  <c r="G42" i="40"/>
  <c r="G47" i="40"/>
  <c r="H47" i="40"/>
  <c r="U7" i="40"/>
  <c r="AA7" i="40"/>
  <c r="R42" i="40"/>
  <c r="R43" i="40"/>
  <c r="S7" i="40"/>
  <c r="E42" i="40"/>
  <c r="E46" i="40"/>
  <c r="F46" i="40"/>
  <c r="S16" i="1"/>
  <c r="T16" i="1"/>
  <c r="AE8" i="1"/>
  <c r="AG6" i="1"/>
  <c r="B2" i="34"/>
  <c r="B3" i="34"/>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I51" i="39"/>
  <c r="J51" i="39"/>
  <c r="F7" i="39"/>
  <c r="S7" i="39"/>
  <c r="H7" i="39"/>
  <c r="AB7" i="39"/>
  <c r="T47" i="39"/>
  <c r="G47" i="39"/>
  <c r="G52" i="39"/>
  <c r="H52" i="39"/>
  <c r="W7" i="39"/>
  <c r="U7" i="39"/>
  <c r="AA7" i="39"/>
  <c r="R47" i="39"/>
  <c r="R48"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D5" i="73"/>
  <c r="F7" i="78"/>
  <c r="F9" i="78"/>
  <c r="C76" i="78"/>
  <c r="M26" i="78"/>
  <c r="M23" i="78"/>
  <c r="F42" i="78"/>
  <c r="E8" i="76"/>
  <c r="B11" i="76"/>
  <c r="D3" i="73"/>
  <c r="AO13" i="1"/>
  <c r="F6" i="67"/>
  <c r="F42" i="15"/>
  <c r="M9" i="67"/>
  <c r="F16" i="67"/>
  <c r="F13" i="15"/>
  <c r="M26" i="15"/>
  <c r="F37" i="78"/>
  <c r="E7" i="76"/>
  <c r="B12" i="76"/>
  <c r="F6" i="73"/>
  <c r="C76" i="67"/>
  <c r="M26" i="67"/>
  <c r="F6" i="15"/>
  <c r="L47" i="15"/>
  <c r="L47" i="67"/>
  <c r="F36" i="67"/>
  <c r="F42" i="67"/>
  <c r="F41" i="67"/>
  <c r="AO8" i="1"/>
  <c r="E2" i="68"/>
  <c r="F20" i="31"/>
  <c r="D35" i="9"/>
  <c r="F26" i="78"/>
  <c r="D4" i="73"/>
  <c r="F4" i="73"/>
  <c r="M6" i="78"/>
  <c r="M21" i="78"/>
  <c r="F38" i="78"/>
  <c r="L48" i="15"/>
  <c r="B13" i="76"/>
  <c r="AO9" i="1"/>
  <c r="F38" i="15"/>
  <c r="F43" i="67"/>
  <c r="F16" i="15"/>
  <c r="L48" i="78"/>
  <c r="B10" i="76"/>
  <c r="AO10" i="1"/>
  <c r="L48" i="67"/>
  <c r="F37" i="67"/>
  <c r="C14" i="15"/>
  <c r="M27" i="15"/>
  <c r="F43" i="78"/>
  <c r="B8" i="76"/>
  <c r="AO12" i="1"/>
  <c r="J15" i="15"/>
  <c r="M22" i="67"/>
  <c r="M23" i="67"/>
  <c r="E13" i="76"/>
  <c r="M24" i="67"/>
  <c r="M28" i="15"/>
  <c r="F8" i="15"/>
  <c r="F43" i="15"/>
  <c r="M21" i="67"/>
  <c r="D2" i="34"/>
  <c r="D34" i="9"/>
  <c r="F16" i="78"/>
  <c r="G1" i="73"/>
  <c r="F35" i="78"/>
  <c r="L47" i="78"/>
  <c r="F36" i="78"/>
  <c r="M27" i="78"/>
  <c r="B7" i="76"/>
  <c r="D7" i="73"/>
  <c r="M24" i="15"/>
  <c r="F7" i="67"/>
  <c r="M6" i="67"/>
  <c r="F40" i="67"/>
  <c r="M29" i="15"/>
  <c r="E11" i="76"/>
  <c r="AO11" i="1"/>
  <c r="F13" i="67"/>
  <c r="F40" i="15"/>
  <c r="F38" i="67"/>
  <c r="M21" i="15"/>
  <c r="D2" i="21"/>
  <c r="C14" i="78"/>
  <c r="F6" i="78"/>
  <c r="F40" i="78"/>
  <c r="M28" i="78"/>
  <c r="M9" i="78"/>
  <c r="F7" i="73"/>
  <c r="F7" i="15"/>
  <c r="M8" i="15"/>
  <c r="M28" i="67"/>
  <c r="F3" i="73"/>
  <c r="F26" i="67"/>
  <c r="F35" i="67"/>
  <c r="D2" i="33"/>
  <c r="M24" i="78"/>
  <c r="M23" i="15"/>
  <c r="M9" i="15"/>
  <c r="M29" i="78"/>
  <c r="M22" i="15"/>
  <c r="F26" i="15"/>
  <c r="M27" i="67"/>
  <c r="D2" i="36"/>
  <c r="F13" i="78"/>
  <c r="M22" i="78"/>
  <c r="E12" i="76"/>
  <c r="F8" i="67"/>
  <c r="C76" i="15"/>
  <c r="M8" i="78"/>
  <c r="B9" i="76"/>
  <c r="M6" i="15"/>
  <c r="F37" i="15"/>
  <c r="M29" i="67"/>
  <c r="F35" i="15"/>
  <c r="E2" i="69"/>
  <c r="D2" i="35"/>
  <c r="F8" i="78"/>
  <c r="J15" i="78"/>
  <c r="E10" i="76"/>
  <c r="F9" i="15"/>
  <c r="E9" i="76"/>
  <c r="J15" i="67"/>
  <c r="D2" i="37"/>
  <c r="D6" i="73"/>
  <c r="F9" i="67"/>
  <c r="F5" i="73"/>
  <c r="F36" i="15"/>
  <c r="M8" i="67"/>
  <c r="C33" i="11"/>
  <c r="C39" i="11"/>
  <c r="E8" i="49"/>
  <c r="B14" i="49"/>
  <c r="F27" i="11"/>
  <c r="F27" i="68"/>
  <c r="C29" i="68"/>
  <c r="D27" i="68"/>
  <c r="F28" i="12"/>
  <c r="C29" i="12"/>
  <c r="D28" i="12"/>
  <c r="C42" i="40"/>
  <c r="C43" i="40"/>
  <c r="AA10" i="39"/>
  <c r="E47" i="39"/>
  <c r="E51" i="39"/>
  <c r="F51" i="39"/>
  <c r="C38" i="69"/>
  <c r="C18" i="12"/>
  <c r="B8" i="49"/>
  <c r="B4" i="49"/>
  <c r="E10" i="49"/>
  <c r="E16" i="49"/>
  <c r="E22" i="49"/>
  <c r="B7" i="49"/>
  <c r="D19" i="68"/>
  <c r="E4" i="49"/>
  <c r="B6" i="49"/>
  <c r="E9" i="49"/>
  <c r="E21" i="49"/>
  <c r="B11" i="49"/>
  <c r="B13" i="49"/>
  <c r="E6" i="49"/>
  <c r="E7" i="49"/>
  <c r="B16" i="49"/>
  <c r="B10" i="49"/>
  <c r="C12" i="12"/>
  <c r="R16" i="1"/>
  <c r="C47" i="39"/>
  <c r="C48" i="39"/>
  <c r="I47" i="40"/>
  <c r="J47" i="40"/>
  <c r="I46" i="40"/>
  <c r="J46" i="40"/>
  <c r="U10" i="40"/>
  <c r="AB10" i="40"/>
  <c r="I52" i="39"/>
  <c r="J52" i="39"/>
  <c r="E52" i="39"/>
  <c r="F52" i="39"/>
  <c r="G51" i="39"/>
  <c r="H51" i="39"/>
  <c r="F61" i="40"/>
  <c r="B2" i="40"/>
  <c r="B3" i="40"/>
  <c r="B60" i="40"/>
  <c r="F60" i="40"/>
  <c r="B53" i="40"/>
  <c r="F53" i="40"/>
  <c r="E47" i="40"/>
  <c r="F47" i="40"/>
  <c r="G46" i="40"/>
  <c r="H46" i="40"/>
  <c r="S10" i="40"/>
  <c r="AC10" i="40"/>
  <c r="D19" i="69"/>
  <c r="D37" i="69"/>
  <c r="C37" i="69"/>
  <c r="C10" i="69"/>
  <c r="C8" i="69"/>
  <c r="C5" i="69"/>
  <c r="C14" i="12"/>
  <c r="C34" i="68"/>
  <c r="B2" i="35"/>
  <c r="B3" i="35"/>
  <c r="B2" i="33"/>
  <c r="B3" i="33"/>
  <c r="B20" i="31"/>
  <c r="B2" i="36"/>
  <c r="B3" i="36"/>
  <c r="B2" i="21"/>
  <c r="B3" i="21"/>
  <c r="B2" i="37"/>
  <c r="B3" i="37"/>
  <c r="B8" i="70"/>
  <c r="F63" i="15"/>
  <c r="C62" i="15"/>
  <c r="C34" i="15"/>
  <c r="J20" i="67"/>
  <c r="F69" i="67"/>
  <c r="C18" i="15"/>
  <c r="C15" i="15"/>
  <c r="J20" i="15"/>
  <c r="F63" i="67"/>
  <c r="C62" i="67"/>
  <c r="C34" i="67"/>
  <c r="F70" i="67"/>
  <c r="F71" i="15"/>
  <c r="F64" i="67"/>
  <c r="F65" i="67"/>
  <c r="F66" i="67"/>
  <c r="C27" i="15"/>
  <c r="N59" i="67"/>
  <c r="M59" i="67"/>
  <c r="L58" i="67"/>
  <c r="L59" i="67"/>
  <c r="F51" i="15"/>
  <c r="F68" i="15"/>
  <c r="L58" i="15"/>
  <c r="M59" i="15"/>
  <c r="N59" i="15"/>
  <c r="L59" i="15"/>
  <c r="F64" i="15"/>
  <c r="F65" i="15"/>
  <c r="I54" i="67"/>
  <c r="L56" i="67"/>
  <c r="J57" i="67"/>
  <c r="J55" i="67"/>
  <c r="J58" i="67"/>
  <c r="Q50" i="67"/>
  <c r="C6" i="15"/>
  <c r="C27" i="67"/>
  <c r="Q71" i="67"/>
  <c r="B10" i="70"/>
  <c r="B11" i="70"/>
  <c r="L60" i="78"/>
  <c r="J60" i="78"/>
  <c r="Q48" i="78"/>
  <c r="J59" i="78"/>
  <c r="L57" i="78"/>
  <c r="I54" i="78"/>
  <c r="L46" i="78"/>
  <c r="J53" i="78"/>
  <c r="J57" i="78"/>
  <c r="J55" i="78"/>
  <c r="J58" i="78"/>
  <c r="Q50" i="78"/>
  <c r="L56" i="78"/>
  <c r="F65" i="78"/>
  <c r="F68" i="67"/>
  <c r="Q71" i="15"/>
  <c r="F71" i="67"/>
  <c r="F50" i="67"/>
  <c r="M7" i="67"/>
  <c r="J6" i="67"/>
  <c r="F66" i="15"/>
  <c r="F51" i="67"/>
  <c r="C6" i="67"/>
  <c r="M7" i="15"/>
  <c r="J6" i="15"/>
  <c r="F50" i="15"/>
  <c r="B12" i="70"/>
  <c r="B13" i="70"/>
  <c r="B9" i="70"/>
  <c r="I54" i="15"/>
  <c r="J53" i="15"/>
  <c r="L56" i="15"/>
  <c r="J57" i="15"/>
  <c r="J55" i="15"/>
  <c r="J58" i="15"/>
  <c r="Q50" i="15"/>
  <c r="J60" i="15"/>
  <c r="Q48" i="15"/>
  <c r="L60" i="15"/>
  <c r="L57" i="15"/>
  <c r="J59" i="15"/>
  <c r="F66" i="78"/>
  <c r="F64" i="78"/>
  <c r="J20" i="78"/>
  <c r="N59" i="78"/>
  <c r="L58" i="78"/>
  <c r="M59" i="78"/>
  <c r="L59" i="78"/>
  <c r="Q71" i="78"/>
  <c r="F68" i="78"/>
  <c r="F63" i="78"/>
  <c r="C62" i="78"/>
  <c r="C34" i="78"/>
  <c r="I1" i="73"/>
  <c r="B39" i="1"/>
  <c r="F51" i="78"/>
  <c r="B40" i="1"/>
  <c r="E20" i="43"/>
  <c r="M7" i="78"/>
  <c r="J6" i="78"/>
  <c r="F50" i="78"/>
  <c r="C6" i="78"/>
  <c r="C27" i="78"/>
  <c r="F71" i="78"/>
  <c r="C18" i="78"/>
  <c r="C15" i="78"/>
  <c r="C47" i="69"/>
  <c r="D45" i="69"/>
  <c r="C29" i="69"/>
  <c r="D27" i="69"/>
  <c r="C17" i="15"/>
  <c r="C17" i="67"/>
  <c r="C16" i="67"/>
  <c r="C14" i="67"/>
  <c r="C16" i="15"/>
  <c r="C16" i="78"/>
  <c r="C17" i="78"/>
  <c r="C47" i="68"/>
  <c r="D45" i="68"/>
  <c r="C29" i="11"/>
  <c r="D27" i="11"/>
  <c r="C47" i="11"/>
  <c r="D45" i="11"/>
  <c r="C28" i="11"/>
  <c r="C27" i="11"/>
  <c r="C46" i="11"/>
  <c r="C45" i="11"/>
  <c r="C33" i="69"/>
  <c r="C39" i="69"/>
  <c r="B55" i="40"/>
  <c r="F55" i="40"/>
  <c r="B57" i="40"/>
  <c r="F57" i="40"/>
  <c r="B59" i="40"/>
  <c r="F59" i="40"/>
  <c r="B56" i="40"/>
  <c r="F56" i="40"/>
  <c r="B54" i="40"/>
  <c r="F54" i="40"/>
  <c r="B58" i="40"/>
  <c r="F58" i="40"/>
  <c r="B52" i="40"/>
  <c r="F52" i="40"/>
  <c r="B51" i="40"/>
  <c r="F51" i="40"/>
  <c r="C19" i="68"/>
  <c r="D37" i="68"/>
  <c r="C37" i="68"/>
  <c r="C19" i="69"/>
  <c r="C20" i="69"/>
  <c r="C28" i="69"/>
  <c r="C27" i="69"/>
  <c r="C16" i="12"/>
  <c r="C21" i="12"/>
  <c r="C22" i="12"/>
  <c r="C30" i="12"/>
  <c r="C28" i="12"/>
  <c r="L46" i="15"/>
  <c r="B61" i="39"/>
  <c r="F61" i="39"/>
  <c r="B60" i="39"/>
  <c r="F60" i="39"/>
  <c r="B56" i="39"/>
  <c r="F56" i="39"/>
  <c r="F66" i="39"/>
  <c r="B2" i="39"/>
  <c r="B3" i="39"/>
  <c r="B58" i="39"/>
  <c r="F58" i="39"/>
  <c r="B59" i="39"/>
  <c r="F59" i="39"/>
  <c r="B64" i="39"/>
  <c r="F64" i="39"/>
  <c r="B65" i="39"/>
  <c r="F65" i="39"/>
  <c r="B57" i="39"/>
  <c r="F57" i="39"/>
  <c r="B63" i="39"/>
  <c r="F63" i="39"/>
  <c r="B62" i="39"/>
  <c r="F62" i="39"/>
  <c r="C35" i="68"/>
  <c r="C38" i="68"/>
  <c r="C15" i="67"/>
  <c r="C18" i="67"/>
  <c r="C19" i="15"/>
  <c r="C19" i="78"/>
  <c r="N17" i="43"/>
  <c r="G20" i="43"/>
  <c r="C20" i="43"/>
  <c r="O17" i="43"/>
  <c r="P17" i="43"/>
  <c r="M17" i="43"/>
  <c r="C49" i="78"/>
  <c r="F1" i="15"/>
  <c r="Q52" i="15"/>
  <c r="C49" i="67"/>
  <c r="Q66" i="78"/>
  <c r="Q57" i="78"/>
  <c r="Q74" i="15"/>
  <c r="Q61" i="15"/>
  <c r="Q61" i="67"/>
  <c r="Q74" i="67"/>
  <c r="F24" i="78"/>
  <c r="C24" i="78"/>
  <c r="F22" i="11"/>
  <c r="F22" i="69"/>
  <c r="F24" i="15"/>
  <c r="C24" i="15"/>
  <c r="F25" i="12"/>
  <c r="C26" i="12"/>
  <c r="D25" i="12"/>
  <c r="F24" i="67"/>
  <c r="C24" i="67"/>
  <c r="F22" i="68"/>
  <c r="F11" i="78"/>
  <c r="M11" i="15"/>
  <c r="J10" i="15"/>
  <c r="J5" i="15"/>
  <c r="F11" i="67"/>
  <c r="M11" i="78"/>
  <c r="J10" i="78"/>
  <c r="J5" i="78"/>
  <c r="M11" i="67"/>
  <c r="J10" i="67"/>
  <c r="J5" i="67"/>
  <c r="F11" i="15"/>
  <c r="Q74" i="78"/>
  <c r="Q61" i="78"/>
  <c r="Q73" i="78"/>
  <c r="Q60" i="78"/>
  <c r="Q57" i="15"/>
  <c r="Q66" i="15"/>
  <c r="F1" i="78"/>
  <c r="Q52" i="78"/>
  <c r="Q73" i="15"/>
  <c r="Q60" i="15"/>
  <c r="C49" i="15"/>
  <c r="Q73" i="67"/>
  <c r="Q60" i="67"/>
  <c r="AE6" i="1"/>
  <c r="AE7" i="1"/>
  <c r="C46" i="69"/>
  <c r="C45" i="69"/>
  <c r="C19" i="67"/>
  <c r="C33" i="68"/>
  <c r="C39" i="68"/>
  <c r="C46" i="68"/>
  <c r="C45" i="68"/>
  <c r="J26" i="78"/>
  <c r="J18" i="78"/>
  <c r="J24" i="78"/>
  <c r="J24" i="15"/>
  <c r="J26" i="15"/>
  <c r="J18" i="15"/>
  <c r="J24" i="67"/>
  <c r="J26" i="67"/>
  <c r="J29" i="67"/>
  <c r="J18" i="67"/>
  <c r="C53" i="15"/>
  <c r="C48" i="15"/>
  <c r="C10" i="15"/>
  <c r="C5" i="15"/>
  <c r="C26" i="68"/>
  <c r="D22" i="68"/>
  <c r="C44" i="68"/>
  <c r="D41" i="68"/>
  <c r="C24" i="68"/>
  <c r="C26" i="69"/>
  <c r="D22" i="69"/>
  <c r="C44" i="69"/>
  <c r="D41" i="69"/>
  <c r="C42" i="69"/>
  <c r="C25" i="69"/>
  <c r="C23" i="69"/>
  <c r="C24" i="69"/>
  <c r="C29" i="43"/>
  <c r="C33" i="43"/>
  <c r="C34" i="43"/>
  <c r="C35" i="43"/>
  <c r="C36" i="43"/>
  <c r="C37" i="43"/>
  <c r="C38" i="43"/>
  <c r="C3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43" i="69"/>
  <c r="C27" i="12"/>
  <c r="C25" i="12"/>
  <c r="C32" i="12"/>
  <c r="B2" i="12"/>
  <c r="B3" i="12"/>
  <c r="C20" i="15"/>
  <c r="C26" i="15"/>
  <c r="C53" i="67"/>
  <c r="C48" i="67"/>
  <c r="C10" i="67"/>
  <c r="C5" i="67"/>
  <c r="C10" i="78"/>
  <c r="C5" i="78"/>
  <c r="C53" i="78"/>
  <c r="C48" i="78"/>
  <c r="C25" i="11"/>
  <c r="C44" i="11"/>
  <c r="D41" i="11"/>
  <c r="C23" i="11"/>
  <c r="C43" i="11"/>
  <c r="C26" i="11"/>
  <c r="D22" i="11"/>
  <c r="C24" i="11"/>
  <c r="C42" i="11"/>
  <c r="C20" i="78"/>
  <c r="C23" i="78"/>
  <c r="C20" i="67"/>
  <c r="C26" i="67"/>
  <c r="F41" i="78"/>
  <c r="F41" i="15"/>
  <c r="C42" i="68"/>
  <c r="F69" i="78"/>
  <c r="F69" i="15"/>
  <c r="J29" i="15"/>
  <c r="J29" i="78"/>
  <c r="C43" i="68"/>
  <c r="C23" i="67"/>
  <c r="C29" i="67"/>
  <c r="Q49" i="67"/>
  <c r="C26" i="78"/>
  <c r="C29" i="78"/>
  <c r="C41" i="11"/>
  <c r="C49" i="11"/>
  <c r="C51" i="11"/>
  <c r="C60" i="78"/>
  <c r="C61" i="78"/>
  <c r="C66" i="78"/>
  <c r="C60" i="15"/>
  <c r="C61" i="15"/>
  <c r="C66" i="15"/>
  <c r="C22" i="11"/>
  <c r="C31" i="11"/>
  <c r="C32" i="78"/>
  <c r="C33" i="78"/>
  <c r="C38" i="78"/>
  <c r="E39" i="43"/>
  <c r="G39" i="43"/>
  <c r="I39" i="43"/>
  <c r="E37" i="43"/>
  <c r="G37" i="43"/>
  <c r="I37" i="43"/>
  <c r="E35" i="43"/>
  <c r="G35" i="43"/>
  <c r="I35" i="43"/>
  <c r="E33" i="43"/>
  <c r="G33" i="43"/>
  <c r="I33" i="43"/>
  <c r="C22" i="69"/>
  <c r="C31" i="69"/>
  <c r="C41" i="69"/>
  <c r="C49" i="69"/>
  <c r="C51" i="69"/>
  <c r="C32" i="15"/>
  <c r="C38" i="15"/>
  <c r="C33" i="15"/>
  <c r="C60" i="67"/>
  <c r="C66" i="67"/>
  <c r="C38" i="67"/>
  <c r="C32" i="67"/>
  <c r="C23" i="15"/>
  <c r="C29" i="15"/>
  <c r="E38" i="43"/>
  <c r="G38" i="43"/>
  <c r="I38" i="43"/>
  <c r="E36" i="43"/>
  <c r="G36" i="43"/>
  <c r="I36" i="43"/>
  <c r="E34" i="43"/>
  <c r="G34" i="43"/>
  <c r="I34" i="43"/>
  <c r="E29" i="43"/>
  <c r="C30" i="43"/>
  <c r="E30" i="43"/>
  <c r="C41" i="68"/>
  <c r="C49" i="68"/>
  <c r="C51" i="68"/>
  <c r="C27" i="43"/>
  <c r="C36" i="78"/>
  <c r="C13" i="78"/>
  <c r="C56" i="78"/>
  <c r="C65" i="78"/>
  <c r="C26" i="43"/>
  <c r="Q49" i="78"/>
  <c r="J19" i="78"/>
  <c r="J17" i="78"/>
  <c r="C52" i="11"/>
  <c r="B2" i="11"/>
  <c r="B3" i="11"/>
  <c r="J59" i="67"/>
  <c r="J60" i="67"/>
  <c r="Q48" i="67"/>
  <c r="C36" i="67"/>
  <c r="J19" i="67"/>
  <c r="J17" i="67"/>
  <c r="J14" i="67"/>
  <c r="J13" i="67"/>
  <c r="J23" i="67"/>
  <c r="C57" i="67"/>
  <c r="C61" i="67"/>
  <c r="C59" i="67"/>
  <c r="C33" i="67"/>
  <c r="C13" i="67"/>
  <c r="Q70" i="67"/>
  <c r="C31" i="67"/>
  <c r="J14" i="78"/>
  <c r="J22" i="78"/>
  <c r="C57" i="78"/>
  <c r="C64" i="78"/>
  <c r="C31" i="78"/>
  <c r="C59" i="78"/>
  <c r="B2" i="43"/>
  <c r="C31" i="15"/>
  <c r="C52" i="69"/>
  <c r="B2" i="69"/>
  <c r="B3" i="69"/>
  <c r="J19" i="15"/>
  <c r="J17" i="15"/>
  <c r="Q49" i="15"/>
  <c r="C13" i="15"/>
  <c r="C36" i="15"/>
  <c r="C57" i="15"/>
  <c r="C64" i="15"/>
  <c r="J14" i="15"/>
  <c r="C37" i="78"/>
  <c r="C59" i="15"/>
  <c r="E6" i="76"/>
  <c r="B6" i="76"/>
  <c r="Q70" i="78"/>
  <c r="C75" i="78"/>
  <c r="E2" i="76"/>
  <c r="C30" i="78"/>
  <c r="C39" i="78"/>
  <c r="Q69" i="78"/>
  <c r="J22" i="67"/>
  <c r="J16" i="67"/>
  <c r="J25" i="67"/>
  <c r="C56" i="67"/>
  <c r="C65" i="67"/>
  <c r="C56" i="11"/>
  <c r="C57" i="11"/>
  <c r="L46" i="67"/>
  <c r="C75" i="67"/>
  <c r="C64" i="67"/>
  <c r="J13" i="78"/>
  <c r="J23" i="78"/>
  <c r="J16" i="78"/>
  <c r="J25" i="78"/>
  <c r="C37" i="67"/>
  <c r="C30" i="67"/>
  <c r="C39" i="67"/>
  <c r="C40" i="67"/>
  <c r="C58" i="78"/>
  <c r="C67" i="78"/>
  <c r="C68" i="78"/>
  <c r="C71" i="78"/>
  <c r="B2" i="76"/>
  <c r="J22" i="15"/>
  <c r="J13" i="15"/>
  <c r="J23" i="15"/>
  <c r="C57" i="69"/>
  <c r="C56" i="69"/>
  <c r="C6" i="68"/>
  <c r="B3" i="43"/>
  <c r="C56" i="15"/>
  <c r="C65" i="15"/>
  <c r="C58" i="15"/>
  <c r="C67" i="15"/>
  <c r="C68" i="15"/>
  <c r="Q70" i="15"/>
  <c r="C75" i="15"/>
  <c r="C37" i="15"/>
  <c r="C30" i="15"/>
  <c r="C39" i="15"/>
  <c r="L51" i="78"/>
  <c r="L51" i="67"/>
  <c r="Q68" i="78"/>
  <c r="C80" i="78"/>
  <c r="C79" i="78"/>
  <c r="C40" i="78"/>
  <c r="C46" i="78"/>
  <c r="B3" i="76"/>
  <c r="C80" i="67"/>
  <c r="C79" i="67"/>
  <c r="C58" i="67"/>
  <c r="C67" i="67"/>
  <c r="C68" i="67"/>
  <c r="C71" i="67"/>
  <c r="Q69" i="67"/>
  <c r="Q68" i="67"/>
  <c r="J16" i="15"/>
  <c r="J25" i="15"/>
  <c r="Q67" i="67"/>
  <c r="L57" i="67"/>
  <c r="L60" i="67"/>
  <c r="Q67" i="78"/>
  <c r="Q69" i="15"/>
  <c r="Q68" i="15"/>
  <c r="C40" i="15"/>
  <c r="C46" i="15"/>
  <c r="C71" i="15"/>
  <c r="Q65" i="78"/>
  <c r="Q75" i="78"/>
  <c r="C7" i="68"/>
  <c r="C5" i="68"/>
  <c r="C80" i="15"/>
  <c r="C79" i="15"/>
  <c r="C43" i="67"/>
  <c r="Q65" i="67"/>
  <c r="Q47" i="67"/>
  <c r="Q53" i="67"/>
  <c r="Q56" i="67"/>
  <c r="D2" i="67"/>
  <c r="C83" i="67"/>
  <c r="C82" i="67"/>
  <c r="L51" i="15"/>
  <c r="B2" i="78"/>
  <c r="B3" i="78"/>
  <c r="Q47" i="78"/>
  <c r="Q53" i="78"/>
  <c r="C83" i="78"/>
  <c r="C82" i="78"/>
  <c r="C43" i="78"/>
  <c r="Q56" i="78"/>
  <c r="Q62" i="78"/>
  <c r="C45" i="67"/>
  <c r="C46" i="67"/>
  <c r="Q67" i="15"/>
  <c r="C23" i="68"/>
  <c r="C20" i="68"/>
  <c r="C25" i="68"/>
  <c r="Q66" i="67"/>
  <c r="Q75" i="67"/>
  <c r="Q57" i="67"/>
  <c r="Q62" i="67"/>
  <c r="B2" i="67"/>
  <c r="B3" i="67"/>
  <c r="C43" i="15"/>
  <c r="Q65" i="15"/>
  <c r="Q75" i="15"/>
  <c r="Q47" i="15"/>
  <c r="Q53" i="15"/>
  <c r="Q56" i="15"/>
  <c r="Q62" i="15"/>
  <c r="B2" i="15"/>
  <c r="C83" i="15"/>
  <c r="C82" i="15"/>
  <c r="AO7" i="1"/>
  <c r="AO6" i="1"/>
  <c r="B7" i="70"/>
  <c r="B6" i="70"/>
  <c r="B3" i="15"/>
  <c r="C22" i="68"/>
  <c r="C28" i="68"/>
  <c r="C27" i="68"/>
  <c r="B2" i="70"/>
  <c r="B3" i="70"/>
  <c r="C31" i="68"/>
  <c r="C52" i="68"/>
  <c r="B2" i="68"/>
  <c r="D19" i="9"/>
  <c r="C19" i="9"/>
  <c r="D20" i="9"/>
  <c r="D102" i="9"/>
  <c r="D21" i="9"/>
  <c r="C57" i="68"/>
  <c r="C56" i="68"/>
  <c r="D103" i="9"/>
  <c r="C102" i="9"/>
  <c r="D22" i="9"/>
  <c r="C21" i="9"/>
  <c r="G19" i="9"/>
  <c r="B3" i="68"/>
  <c r="C20" i="9"/>
  <c r="C103" i="9"/>
  <c r="G20" i="9"/>
  <c r="C32" i="9"/>
  <c r="G21" i="9"/>
  <c r="C35" i="9"/>
  <c r="F118" i="9"/>
  <c r="H118" i="9"/>
  <c r="G118" i="9"/>
  <c r="G4" i="52"/>
  <c r="B52" i="72"/>
  <c r="F4" i="52"/>
  <c r="B51" i="72"/>
  <c r="F119" i="9"/>
  <c r="F5" i="52"/>
  <c r="B53" i="72"/>
  <c r="C104" i="9"/>
  <c r="H101" i="9"/>
  <c r="I118" i="9"/>
  <c r="H119" i="9"/>
  <c r="H5" i="52"/>
  <c r="H4" i="52"/>
  <c r="D14" i="74"/>
  <c r="C34" i="9"/>
  <c r="D118" i="9"/>
  <c r="B5" i="74"/>
  <c r="E14" i="74"/>
  <c r="F14" i="74"/>
  <c r="D4" i="52"/>
  <c r="B47" i="72"/>
  <c r="D119" i="9"/>
  <c r="D5" i="52"/>
  <c r="B49" i="72"/>
  <c r="C105" i="9"/>
  <c r="I4" i="52"/>
  <c r="E118" i="9"/>
  <c r="E4" i="52"/>
  <c r="B48" i="72"/>
  <c r="H102" i="9"/>
  <c r="D7" i="53"/>
  <c r="B21" i="72"/>
  <c r="D5" i="53"/>
  <c r="D45" i="9"/>
  <c r="M48" i="9"/>
  <c r="H107" i="9"/>
  <c r="B20" i="72"/>
  <c r="D6" i="53"/>
  <c r="B22" i="72"/>
  <c r="H108" i="9"/>
  <c r="D15" i="53"/>
  <c r="B31" i="72"/>
  <c r="D122" i="9"/>
  <c r="D13" i="53"/>
  <c r="D53" i="9"/>
  <c r="C72" i="9"/>
  <c r="C78" i="9"/>
  <c r="C73" i="9"/>
  <c r="C85" i="9"/>
  <c r="D55" i="9"/>
  <c r="M53" i="9"/>
  <c r="C64" i="9"/>
  <c r="C63" i="9"/>
  <c r="C67" i="9"/>
  <c r="C68" i="9"/>
  <c r="D54" i="9"/>
  <c r="C93" i="9"/>
  <c r="C86" i="9"/>
  <c r="D52" i="9"/>
  <c r="C5" i="74"/>
  <c r="D5" i="74"/>
  <c r="C79" i="9"/>
  <c r="C80" i="9"/>
  <c r="G14" i="74"/>
  <c r="B6" i="74"/>
  <c r="D123" i="9"/>
  <c r="D9" i="52"/>
  <c r="D8" i="52"/>
  <c r="C95" i="9"/>
  <c r="D14" i="53"/>
  <c r="B32" i="72"/>
  <c r="B30" i="72"/>
  <c r="E80" i="9"/>
  <c r="E81" i="9"/>
  <c r="C81" i="9"/>
  <c r="C6" i="74"/>
  <c r="D6" i="74"/>
  <c r="C96" i="9"/>
  <c r="E96" i="9"/>
  <c r="E97" i="9"/>
  <c r="C97" i="9"/>
  <c r="D58" i="9"/>
  <c r="D56" i="9"/>
  <c r="M54" i="9"/>
  <c r="N57" i="9"/>
  <c r="P57" i="9"/>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<sst xmlns="http://schemas.openxmlformats.org/spreadsheetml/2006/main" count="7750" uniqueCount="3112">
  <si>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</si>
  <si>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</si>
  <si>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</si>
  <si>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</si>
  <si>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</si>
  <si>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</si>
  <si>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</si>
  <si>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</si>
  <si>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</si>
  <si>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</si>
  <si>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</si>
  <si>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</si>
  <si>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</si>
  <si>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</si>
  <si>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</si>
  <si>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</si>
  <si>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</si>
  <si>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</si>
  <si>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</si>
  <si>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</si>
  <si>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</si>
  <si>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</si>
  <si>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</si>
  <si>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</si>
  <si>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</si>
  <si>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</si>
  <si>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</si>
  <si>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</si>
  <si>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</si>
  <si>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</si>
  <si>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</si>
  <si>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</si>
  <si>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</si>
  <si>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</si>
  <si>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</si>
  <si>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</si>
  <si>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</si>
  <si>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</si>
  <si>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</si>
  <si>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</si>
  <si>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</si>
  <si>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</si>
  <si>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</si>
  <si>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</si>
  <si>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</si>
  <si>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</si>
  <si>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</si>
  <si>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</si>
  <si>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</si>
  <si>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</si>
  <si>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</si>
  <si>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</si>
  <si>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</si>
  <si>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</si>
  <si>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</si>
  <si>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</si>
  <si>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</si>
  <si>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</si>
  <si>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</si>
  <si>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</si>
  <si>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</si>
  <si>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</si>
  <si>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</si>
  <si>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</si>
  <si>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</si>
  <si>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</si>
  <si>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</si>
  <si>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</si>
  <si>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</si>
  <si>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</si>
  <si>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</si>
  <si>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</si>
  <si>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</si>
  <si>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</si>
  <si>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</si>
  <si>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</si>
  <si>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</si>
  <si>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</si>
  <si>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</si>
  <si>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</si>
  <si>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</si>
  <si>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</si>
  <si>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</si>
  <si>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</si>
  <si>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</si>
  <si>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</si>
  <si>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</si>
  <si>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</si>
  <si>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</si>
  <si>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</si>
  <si>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</si>
  <si>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</si>
  <si>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</si>
  <si>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</si>
  <si>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</si>
  <si>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</si>
  <si>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</si>
  <si>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</si>
  <si>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</si>
  <si>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</si>
  <si>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</si>
  <si>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</si>
  <si>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</si>
  <si>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</si>
  <si>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</si>
  <si>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</si>
  <si>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</si>
  <si>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</si>
  <si>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</si>
  <si>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</si>
  <si>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</si>
  <si>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</si>
  <si>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</si>
  <si>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</si>
  <si>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</si>
  <si>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</si>
  <si>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</si>
  <si>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</si>
  <si>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</si>
  <si>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</si>
  <si>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</si>
  <si>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</si>
  <si>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</si>
  <si>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</si>
  <si>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</si>
  <si>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</si>
  <si>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</si>
  <si>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</si>
  <si>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</si>
  <si>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</si>
  <si>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</si>
  <si>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</si>
  <si>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</si>
  <si>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</si>
  <si>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</si>
  <si>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</si>
  <si>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</si>
  <si>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</si>
  <si>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</si>
  <si>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</si>
  <si>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</si>
  <si>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</si>
  <si>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</si>
  <si>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</si>
  <si>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</si>
  <si>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</si>
  <si>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</si>
  <si>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</si>
  <si>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</si>
  <si>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</si>
  <si>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</si>
  <si>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</si>
  <si>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</si>
  <si>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</si>
  <si>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</si>
  <si>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</si>
  <si>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</si>
  <si>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</si>
  <si>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</si>
  <si>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</si>
  <si>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</si>
  <si>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</si>
  <si>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</si>
  <si>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</si>
  <si>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</si>
  <si>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</si>
  <si>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</si>
  <si>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</si>
  <si>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</si>
  <si>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</si>
  <si>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</si>
  <si>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</si>
  <si>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</si>
  <si>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</si>
  <si>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</si>
  <si>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</si>
  <si>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</si>
  <si>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</si>
  <si>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</si>
  <si>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</si>
  <si>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</si>
  <si>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</si>
  <si>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</si>
  <si>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</si>
  <si>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</si>
  <si>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</si>
  <si>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</si>
  <si>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</si>
  <si>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</si>
  <si>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</si>
  <si>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</si>
  <si>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</si>
  <si>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</si>
  <si>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</si>
  <si>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</si>
  <si>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</si>
  <si>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</si>
  <si>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</si>
  <si>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</si>
  <si>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</si>
  <si>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</si>
  <si>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</si>
  <si>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</si>
  <si>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</si>
  <si>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</si>
  <si>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</si>
  <si>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</si>
  <si>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</si>
  <si>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</si>
  <si>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</si>
  <si>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</si>
  <si>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</si>
  <si>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</si>
  <si>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</si>
  <si>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</si>
  <si>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</si>
  <si>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</si>
  <si>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</si>
  <si>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</si>
  <si>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</si>
  <si>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</si>
  <si>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</si>
  <si>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</si>
  <si>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</si>
  <si>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</si>
  <si>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</si>
  <si>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</si>
  <si>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</si>
  <si>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</si>
  <si>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</si>
  <si>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</si>
  <si>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</si>
  <si>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</si>
  <si>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</si>
  <si>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</si>
  <si>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</si>
  <si>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</si>
  <si>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</si>
  <si>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</si>
  <si>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</si>
  <si>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</si>
  <si>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</si>
  <si>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</si>
  <si>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</si>
  <si>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</si>
  <si>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</si>
  <si>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</si>
  <si>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</si>
  <si>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</si>
  <si>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</si>
  <si>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</si>
  <si>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</si>
  <si>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</si>
  <si>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</si>
  <si>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</si>
  <si>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</si>
  <si>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</si>
  <si>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</si>
  <si>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</si>
  <si>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</si>
  <si>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</si>
  <si>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</si>
  <si>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</si>
  <si>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</si>
  <si>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</si>
  <si>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</si>
  <si>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</si>
  <si>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</si>
  <si>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</si>
  <si>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</si>
  <si>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</si>
  <si>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</si>
  <si>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</si>
  <si>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</si>
  <si>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</si>
  <si>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</si>
  <si>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</si>
  <si>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</si>
  <si>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</si>
  <si>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</si>
  <si>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</si>
  <si>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</si>
  <si>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</si>
  <si>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</si>
  <si>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</si>
  <si>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</si>
  <si>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</si>
  <si>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</si>
  <si>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</si>
  <si>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</si>
  <si>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</si>
  <si>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</si>
  <si>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</si>
  <si>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</si>
  <si>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</si>
  <si>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</si>
  <si>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</si>
  <si>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</si>
  <si>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</si>
  <si>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</si>
  <si>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</si>
  <si>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</si>
  <si>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</si>
  <si>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</si>
  <si>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</si>
  <si>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</si>
  <si>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</si>
  <si>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</si>
  <si>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</si>
  <si>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</si>
  <si>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</si>
  <si>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</si>
  <si>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</si>
  <si>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</si>
  <si>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</si>
  <si>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</si>
  <si>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</si>
  <si>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</si>
  <si>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</si>
  <si>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</si>
  <si>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</si>
  <si>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</si>
  <si>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</si>
  <si>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</si>
  <si>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</si>
  <si>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</si>
  <si>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</si>
  <si>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</si>
  <si>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</si>
  <si>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</si>
  <si>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</si>
  <si>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</si>
  <si>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</si>
  <si>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</si>
  <si>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</si>
  <si>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</si>
  <si>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</si>
  <si>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</si>
  <si>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</si>
  <si>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</si>
  <si>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</si>
  <si>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</si>
  <si>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</si>
  <si>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</si>
  <si>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</si>
  <si>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</si>
  <si>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</si>
  <si>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</si>
  <si>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</si>
  <si>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</si>
  <si>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</si>
  <si>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</si>
  <si>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</si>
  <si>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</si>
  <si>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</si>
  <si>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</si>
  <si>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</si>
  <si>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</si>
  <si>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</si>
  <si>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</si>
  <si>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</si>
  <si>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</si>
  <si>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</si>
  <si>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</si>
  <si>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</si>
  <si>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</si>
  <si>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</si>
  <si>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</si>
  <si>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</si>
  <si>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</si>
  <si>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</si>
  <si>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</si>
  <si>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</si>
  <si>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</si>
  <si>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</si>
  <si>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</si>
  <si>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</si>
  <si>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</si>
  <si>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</si>
  <si>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</si>
  <si>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</si>
  <si>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</si>
  <si>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</si>
  <si>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</si>
  <si>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</si>
  <si>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</si>
  <si>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</si>
  <si>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</si>
  <si>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</si>
  <si>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</si>
  <si>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</si>
  <si>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</si>
  <si>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</si>
  <si>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</si>
  <si>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</si>
  <si>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</si>
  <si>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</si>
  <si>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</si>
  <si>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</si>
  <si>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</si>
  <si>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</si>
  <si>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</si>
  <si>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</si>
  <si>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</si>
  <si>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</si>
  <si>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</si>
  <si>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</si>
  <si>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</si>
  <si>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</si>
  <si>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</si>
  <si>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</si>
  <si>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</si>
  <si>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</si>
  <si>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</si>
  <si>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</si>
  <si>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</si>
  <si>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</si>
  <si>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</si>
  <si>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</si>
  <si>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</si>
  <si>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</si>
  <si>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</si>
  <si>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</si>
  <si>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</si>
  <si>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</si>
  <si>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</si>
  <si>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</si>
  <si>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</si>
  <si>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</si>
  <si>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</si>
  <si>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</si>
  <si>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</si>
  <si>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</si>
  <si>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</si>
  <si>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</si>
  <si>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</si>
  <si>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</si>
  <si>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</si>
  <si>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</si>
  <si>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</si>
  <si>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</si>
  <si>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</si>
  <si>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</si>
  <si>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</si>
  <si>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</si>
  <si>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</si>
  <si>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</si>
  <si>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</si>
  <si>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</si>
  <si>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</si>
  <si>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</si>
  <si>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</si>
  <si>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</si>
  <si>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</si>
  <si>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</si>
  <si>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</si>
  <si>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</si>
  <si>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</si>
  <si>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</si>
  <si>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</si>
  <si>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</si>
  <si>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</si>
  <si>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</si>
  <si>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</si>
  <si>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</si>
  <si>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</si>
  <si>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</si>
  <si>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</si>
  <si>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</si>
  <si>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</si>
  <si>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</si>
  <si>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</si>
  <si>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</si>
  <si>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</si>
  <si>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</si>
  <si>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</si>
  <si>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</si>
  <si>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</si>
  <si>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</si>
  <si>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</si>
  <si>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</si>
  <si>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</si>
  <si>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</si>
  <si>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</si>
  <si>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</si>
  <si>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</si>
  <si>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</si>
  <si>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</si>
  <si>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</si>
  <si>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</si>
  <si>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</si>
  <si>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</si>
  <si>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</si>
  <si>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</si>
  <si>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</si>
  <si>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</si>
  <si>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</si>
  <si>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</si>
  <si>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</si>
  <si>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</si>
  <si>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</si>
  <si>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</si>
  <si>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</si>
  <si>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</si>
  <si>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</si>
  <si>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</si>
  <si>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</si>
  <si>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</si>
  <si>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</si>
  <si>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</si>
  <si>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</si>
  <si>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</si>
  <si>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</si>
  <si>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</si>
  <si>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</si>
  <si>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</si>
  <si>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</si>
  <si>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</si>
  <si>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</si>
  <si>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</si>
  <si>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</si>
  <si>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</si>
  <si>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</si>
  <si>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</si>
  <si>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</si>
  <si>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</si>
  <si>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</si>
  <si>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</si>
  <si>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</si>
  <si>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</si>
  <si>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</si>
  <si>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</si>
  <si>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</si>
  <si>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</si>
  <si>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</si>
  <si>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</si>
  <si>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</si>
  <si>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</si>
  <si>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</si>
  <si>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</si>
  <si>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</si>
  <si>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</si>
  <si>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</si>
  <si>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</si>
  <si>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</si>
  <si>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</si>
  <si>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</si>
  <si>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</si>
  <si>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</si>
  <si>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</si>
  <si>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</si>
  <si>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</si>
  <si>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</si>
  <si>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</si>
  <si>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</si>
  <si>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</si>
  <si>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</si>
  <si>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</si>
  <si>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</si>
  <si>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</si>
  <si>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</si>
  <si>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</si>
  <si>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</si>
  <si>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</si>
  <si>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</si>
  <si>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</si>
  <si>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</si>
  <si>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</si>
  <si>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</si>
  <si>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</si>
  <si>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</si>
  <si>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</si>
  <si>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</si>
  <si>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</si>
  <si>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</si>
  <si>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</si>
  <si>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</si>
  <si>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</si>
  <si>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</si>
  <si>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</si>
  <si>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</si>
  <si>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</si>
  <si>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</si>
  <si>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</si>
  <si>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</si>
  <si>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</si>
  <si>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</si>
  <si>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</si>
  <si>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</si>
  <si>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</si>
  <si>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</si>
  <si>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</si>
  <si>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</si>
  <si>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</si>
  <si>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</si>
  <si>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</si>
  <si>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</si>
  <si>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</si>
  <si>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</si>
  <si>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</si>
  <si>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</si>
  <si>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</si>
  <si>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</si>
  <si>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</si>
  <si>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</si>
  <si>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</si>
  <si>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</si>
  <si>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</si>
  <si>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</si>
  <si>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</si>
  <si>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</si>
  <si>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</si>
  <si>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</si>
  <si>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</si>
  <si>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</si>
  <si>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</si>
  <si>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</si>
  <si>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</si>
  <si>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</si>
  <si>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</si>
  <si>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</si>
  <si>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</si>
  <si>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</si>
  <si>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</si>
  <si>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</si>
  <si>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</si>
  <si>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</si>
  <si>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</si>
  <si>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</si>
  <si>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</si>
  <si>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</si>
  <si>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</si>
  <si>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</si>
  <si>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</si>
  <si>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</si>
  <si>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</si>
  <si>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</si>
  <si>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</si>
  <si>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</si>
  <si>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</si>
  <si>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</si>
  <si>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</si>
  <si>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</si>
  <si>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</si>
  <si>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</si>
  <si>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</si>
  <si>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</si>
  <si>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</si>
  <si>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</si>
  <si>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</si>
  <si>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</si>
  <si>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</si>
  <si>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</si>
  <si>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</si>
  <si>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</si>
  <si>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</si>
  <si>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</si>
  <si>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</si>
  <si>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</si>
  <si>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</si>
  <si>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</si>
  <si>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</si>
  <si>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</si>
  <si>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</si>
  <si>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</si>
  <si>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</si>
  <si>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</si>
  <si>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</si>
  <si>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</si>
  <si>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</si>
  <si>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</si>
  <si>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</si>
  <si>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</si>
  <si>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</si>
  <si>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</si>
  <si>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</si>
  <si>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</si>
  <si>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</si>
  <si>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</si>
  <si>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</si>
  <si>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</si>
  <si>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</si>
  <si>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</si>
  <si>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</si>
  <si>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</si>
  <si>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</si>
  <si>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</si>
  <si>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</si>
  <si>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</si>
  <si>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</si>
  <si>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</si>
  <si>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</si>
  <si>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</si>
  <si>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</si>
  <si>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</si>
  <si>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</si>
  <si>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</si>
  <si>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</si>
  <si>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</si>
  <si>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</si>
  <si>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</si>
  <si>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</si>
  <si>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</si>
  <si>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</si>
  <si>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</si>
  <si>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</si>
  <si>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</si>
  <si>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</si>
  <si>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</si>
  <si>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</si>
  <si>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</si>
  <si>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</si>
  <si>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</si>
  <si>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</si>
  <si>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</si>
  <si>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</si>
  <si>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</si>
  <si>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</si>
  <si>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</si>
  <si>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</si>
  <si>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</si>
  <si>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</si>
  <si>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</si>
  <si>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</si>
  <si>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</si>
  <si>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</si>
  <si>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</si>
  <si>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</si>
  <si>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</si>
  <si>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</si>
  <si>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</si>
  <si>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</si>
  <si>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</si>
  <si>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</si>
  <si>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</si>
  <si>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</si>
  <si>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</si>
  <si>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</si>
  <si>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</si>
  <si>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</si>
  <si>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</si>
  <si>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</si>
  <si>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</si>
  <si>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</si>
  <si>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</si>
  <si>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</si>
  <si>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</si>
  <si>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</si>
  <si>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</si>
  <si>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</si>
  <si>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</si>
  <si>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</si>
  <si>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</si>
  <si>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</si>
  <si>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</si>
  <si>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</si>
  <si>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</si>
  <si>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</si>
  <si>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</si>
  <si>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</si>
  <si>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</si>
  <si>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</si>
  <si>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</si>
  <si>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</si>
  <si>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</si>
  <si>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</si>
  <si>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</si>
  <si>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</si>
  <si>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</si>
  <si>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</si>
  <si>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</si>
  <si>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</si>
  <si>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</si>
  <si>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</si>
  <si>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</si>
  <si>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</si>
  <si>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</si>
  <si>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</si>
  <si>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</si>
  <si>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</si>
  <si>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</si>
  <si>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</si>
  <si>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</si>
  <si>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</si>
  <si>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</si>
  <si>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</si>
  <si>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</si>
  <si>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</si>
  <si>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</si>
  <si>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</si>
  <si>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</si>
  <si>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</si>
  <si>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</si>
  <si>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</si>
  <si>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</si>
  <si>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</si>
  <si>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</si>
  <si>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</si>
  <si>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</si>
  <si>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</si>
  <si>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</si>
  <si>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</si>
  <si>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</si>
  <si>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</si>
  <si>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</si>
  <si>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</si>
  <si>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</si>
  <si>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</si>
  <si>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</si>
  <si>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</si>
  <si>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</si>
  <si>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</si>
  <si>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</si>
  <si>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</si>
  <si>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</si>
  <si>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</si>
  <si>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</si>
  <si>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</si>
  <si>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</si>
  <si>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</si>
  <si>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</si>
  <si>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</si>
  <si>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</si>
  <si>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</si>
  <si>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</si>
  <si>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</si>
  <si>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</si>
  <si>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</si>
  <si>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</si>
  <si>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</si>
  <si>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</si>
  <si>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</si>
  <si>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</si>
  <si>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</si>
  <si>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</si>
  <si>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</si>
  <si>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</si>
  <si>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</si>
  <si>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</si>
  <si>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</si>
  <si>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</si>
  <si>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</si>
  <si>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</si>
  <si>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</si>
  <si>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</si>
  <si>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</si>
  <si>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</si>
  <si>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</si>
  <si>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</si>
  <si>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</si>
  <si>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</si>
  <si>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</si>
  <si>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</si>
  <si>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</si>
  <si>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</si>
  <si>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</si>
  <si>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</si>
  <si>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</si>
  <si>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</si>
  <si>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</si>
  <si>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</si>
  <si>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</si>
  <si>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</si>
  <si>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</si>
  <si>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</si>
  <si>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</si>
  <si>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</si>
  <si>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</si>
  <si>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</si>
  <si>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</si>
  <si>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</si>
  <si>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</si>
  <si>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</si>
  <si>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</si>
  <si>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</si>
  <si>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</si>
  <si>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</si>
  <si>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</si>
  <si>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</si>
  <si>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</si>
  <si>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</si>
  <si>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</si>
  <si>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</si>
  <si>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</si>
  <si>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</si>
  <si>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</si>
  <si>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</si>
  <si>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</si>
  <si>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</si>
  <si>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</si>
  <si>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</si>
  <si>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</si>
  <si>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</si>
  <si>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</si>
  <si>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</si>
  <si>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</si>
  <si>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</si>
  <si>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</si>
  <si>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</si>
  <si>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</si>
  <si>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</si>
  <si>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</si>
  <si>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</si>
  <si>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</si>
  <si>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</si>
  <si>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</si>
  <si>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</si>
  <si>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</si>
  <si>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</si>
  <si>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</si>
  <si>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</si>
  <si>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</si>
  <si>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</si>
  <si>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</si>
  <si>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</si>
  <si>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</si>
  <si>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</si>
  <si>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</si>
  <si>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</si>
  <si>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</si>
  <si>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</si>
  <si>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</si>
  <si>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</si>
  <si>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</si>
  <si>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</si>
  <si>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</si>
  <si>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</si>
  <si>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</si>
  <si>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</si>
  <si>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</si>
  <si>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</si>
  <si>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</si>
  <si>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</si>
  <si>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</si>
  <si>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</si>
  <si>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</si>
  <si>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</si>
  <si>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</si>
  <si>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</si>
  <si>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</si>
  <si>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</si>
  <si>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</si>
  <si>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</si>
  <si>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</si>
  <si>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</si>
  <si>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</si>
  <si>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</si>
  <si>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</si>
  <si>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</si>
  <si>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</si>
  <si>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</si>
  <si>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</si>
  <si>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</si>
  <si>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</si>
  <si>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</si>
  <si>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</si>
  <si>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</si>
  <si>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</si>
  <si>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</si>
  <si>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</si>
  <si>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</si>
  <si>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</si>
  <si>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</si>
  <si>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</si>
  <si>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</si>
  <si>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</si>
  <si>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</si>
  <si>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</si>
  <si>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</si>
  <si>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</si>
  <si>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</si>
  <si>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</si>
  <si>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</si>
  <si>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</si>
  <si>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</si>
  <si>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</si>
  <si>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</si>
  <si>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</si>
  <si>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</si>
  <si>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</si>
  <si>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</si>
  <si>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</si>
  <si>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</si>
  <si>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</si>
  <si>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</si>
  <si>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</si>
  <si>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</si>
  <si>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</si>
  <si>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</si>
  <si>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</si>
  <si>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</si>
  <si>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</si>
  <si>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</si>
  <si>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</si>
  <si>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</si>
  <si>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</si>
  <si>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</si>
  <si>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</si>
  <si>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</si>
  <si>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</si>
  <si>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</si>
  <si>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</si>
  <si>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</si>
  <si>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</si>
  <si>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</si>
  <si>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</si>
  <si>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</si>
  <si>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</si>
  <si>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</si>
  <si>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</si>
  <si>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</si>
  <si>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</si>
  <si>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</si>
  <si>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</si>
  <si>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</si>
  <si>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</si>
  <si>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</si>
  <si>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</si>
  <si>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</si>
  <si>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</si>
  <si>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</si>
  <si>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</si>
  <si>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</si>
  <si>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</si>
  <si>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</si>
  <si>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</si>
  <si>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</si>
  <si>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</si>
  <si>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</si>
  <si>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</si>
  <si>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</si>
  <si>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</si>
  <si>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</si>
  <si>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</si>
  <si>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</si>
  <si>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</si>
  <si>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</si>
  <si>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</si>
  <si>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</si>
  <si>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</si>
  <si>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</si>
  <si>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</si>
  <si>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</si>
  <si>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</si>
  <si>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</si>
  <si>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</si>
  <si>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</si>
  <si>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</si>
  <si>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</si>
  <si>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</si>
  <si>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</si>
  <si>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</si>
  <si>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</si>
  <si>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</si>
  <si>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</si>
  <si>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</si>
  <si>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</si>
  <si>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</si>
  <si>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</si>
  <si>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</si>
  <si>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</si>
  <si>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</si>
  <si>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</si>
  <si>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</si>
  <si>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</si>
  <si>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</si>
  <si>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</si>
  <si>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</si>
  <si>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</si>
  <si>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</si>
  <si>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</si>
  <si>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</si>
  <si>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</si>
  <si>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</si>
  <si>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</si>
  <si>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</si>
  <si>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</si>
  <si>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</si>
  <si>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</si>
  <si>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</si>
  <si>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</si>
  <si>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</si>
  <si>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</si>
  <si>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</si>
  <si>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</si>
  <si>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</si>
  <si>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</si>
  <si>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</si>
  <si>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</si>
  <si>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</si>
  <si>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</si>
  <si>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</si>
  <si>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</si>
  <si>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</si>
  <si>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</si>
  <si>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</si>
  <si>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</si>
  <si>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</si>
  <si>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</si>
  <si>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</si>
  <si>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</si>
  <si>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</si>
  <si>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</si>
  <si>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</si>
  <si>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</si>
  <si>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</si>
  <si>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</si>
  <si>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</si>
  <si>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</si>
  <si>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</si>
  <si>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</si>
  <si>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</si>
  <si>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</si>
  <si>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</si>
  <si>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</si>
  <si>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</si>
  <si>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</si>
  <si>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</si>
  <si>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</si>
  <si>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</si>
  <si>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</si>
  <si>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</si>
  <si>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</si>
  <si>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</si>
  <si>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</si>
  <si>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</si>
  <si>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</si>
  <si>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</si>
  <si>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</si>
  <si>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</si>
  <si>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</si>
  <si>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</si>
  <si>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</si>
  <si>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</si>
  <si>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</si>
  <si>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</si>
  <si>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</si>
  <si>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</si>
  <si>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</si>
  <si>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</si>
  <si>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</si>
  <si>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</si>
  <si>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</si>
  <si>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</si>
  <si>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</si>
  <si>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</si>
  <si>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</si>
  <si>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</si>
  <si>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</si>
  <si>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</si>
  <si>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</si>
  <si>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</si>
  <si>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</si>
  <si>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</si>
  <si>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</si>
  <si>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</si>
  <si>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</si>
  <si>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</si>
  <si>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</si>
  <si>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</si>
  <si>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</si>
  <si>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</si>
  <si>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</si>
  <si>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</si>
  <si>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</si>
  <si>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</si>
  <si>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</si>
  <si>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</si>
  <si>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</si>
  <si>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</si>
  <si>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</si>
  <si>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</si>
  <si>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</si>
  <si>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</si>
  <si>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</si>
  <si>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</si>
  <si>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</si>
  <si>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</si>
  <si>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</si>
  <si>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</si>
  <si>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</si>
  <si>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</si>
  <si>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</si>
  <si>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</si>
  <si>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</si>
  <si>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</si>
  <si>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</si>
  <si>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</si>
  <si>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</si>
  <si>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</si>
  <si>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</si>
  <si>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</si>
  <si>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</si>
  <si>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</si>
  <si>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</si>
  <si>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</si>
  <si>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</si>
  <si>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</si>
  <si>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</si>
  <si>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</si>
  <si>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</si>
  <si>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</si>
  <si>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</si>
  <si>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</si>
  <si>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</si>
  <si>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</si>
  <si>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</si>
  <si>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</si>
  <si>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</si>
  <si>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</si>
  <si>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</si>
  <si>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</si>
  <si>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</si>
  <si>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</si>
  <si>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</si>
  <si>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</si>
  <si>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</si>
  <si>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</si>
  <si>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</si>
  <si>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</si>
  <si>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</si>
  <si>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</si>
  <si>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</si>
  <si>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</si>
  <si>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</si>
  <si>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</si>
  <si>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</si>
  <si>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</si>
  <si>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</si>
  <si>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</si>
  <si>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</si>
  <si>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</si>
  <si>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</si>
  <si>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</si>
  <si>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</si>
  <si>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</si>
  <si>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</si>
  <si>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</si>
  <si>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</si>
  <si>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</si>
  <si>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</si>
  <si>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</si>
  <si>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</si>
  <si>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</si>
  <si>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</si>
  <si>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</si>
  <si>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</si>
  <si>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</si>
  <si>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</si>
  <si>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</si>
  <si>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</si>
  <si>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</si>
  <si>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</si>
  <si>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</si>
  <si>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</si>
  <si>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</si>
  <si>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</si>
  <si>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</si>
  <si>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</si>
  <si>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</si>
  <si>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</si>
  <si>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</si>
  <si>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</si>
  <si>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</si>
  <si>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</si>
  <si>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</si>
  <si>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</si>
  <si>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</si>
  <si>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</si>
  <si>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</si>
  <si>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</si>
  <si>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</si>
  <si>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</si>
  <si>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</si>
  <si>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</si>
  <si>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</si>
  <si>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</si>
  <si>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</si>
  <si>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</si>
  <si>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</si>
  <si>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</si>
  <si>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</si>
  <si>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</si>
  <si>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</si>
  <si>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</si>
  <si>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</si>
  <si>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</si>
  <si>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</si>
  <si>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</si>
  <si>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</si>
  <si>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</si>
  <si>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</si>
  <si>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</si>
  <si>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</si>
  <si>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</si>
  <si>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</si>
  <si>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</si>
  <si>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</si>
  <si>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</si>
  <si>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</si>
  <si>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</si>
  <si>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</si>
  <si>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</si>
  <si>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</si>
  <si>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</si>
  <si>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</si>
  <si>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</si>
  <si>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</si>
  <si>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</si>
  <si>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</si>
  <si>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</si>
  <si>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</si>
  <si>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</si>
  <si>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</si>
  <si>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</si>
  <si>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</si>
  <si>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</si>
  <si>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</si>
  <si>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</si>
  <si>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</si>
  <si>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</si>
  <si>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</si>
  <si>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</si>
  <si>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</si>
  <si>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</si>
  <si>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</si>
  <si>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</si>
  <si>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</si>
  <si>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</si>
  <si>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</si>
  <si>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</si>
  <si>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</si>
  <si>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</si>
  <si>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</si>
  <si>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</si>
  <si>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</si>
  <si>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</si>
  <si>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</si>
  <si>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</si>
  <si>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</si>
  <si>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</si>
  <si>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</si>
  <si>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</si>
  <si>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</si>
  <si>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</si>
  <si>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</si>
  <si>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</si>
  <si>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</si>
  <si>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</si>
  <si>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</si>
  <si>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</si>
  <si>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</si>
  <si>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</si>
  <si>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</si>
  <si>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</si>
  <si>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</si>
  <si>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</si>
  <si>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</si>
  <si>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</si>
  <si>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</si>
  <si>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</si>
  <si>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</si>
  <si>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</si>
  <si>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</si>
  <si>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</si>
  <si>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</si>
  <si>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</si>
  <si>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</si>
  <si>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</si>
  <si>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</si>
  <si>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</si>
  <si>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</si>
  <si>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</si>
  <si>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</si>
  <si>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</si>
  <si>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</si>
  <si>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</si>
  <si>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</si>
  <si>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</si>
  <si>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</si>
  <si>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</si>
  <si>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</si>
  <si>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</si>
  <si>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</si>
  <si>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</si>
  <si>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</si>
  <si>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</si>
  <si>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</si>
  <si>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</si>
  <si>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</si>
  <si>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</si>
  <si>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</si>
  <si>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</si>
  <si>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</si>
  <si>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</si>
  <si>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</si>
  <si>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</si>
  <si>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</si>
  <si>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</si>
  <si>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</si>
  <si>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</si>
  <si>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</si>
  <si>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</si>
  <si>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</si>
  <si>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</si>
  <si>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</si>
  <si>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</si>
  <si>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</si>
  <si>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</si>
  <si>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</si>
  <si>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</si>
  <si>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</si>
  <si>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</si>
  <si>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</si>
  <si>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</si>
  <si>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</si>
  <si>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</si>
  <si>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</si>
  <si>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</si>
  <si>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</si>
  <si>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</si>
  <si>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</si>
  <si>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</si>
  <si>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</si>
  <si>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</si>
  <si>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</si>
  <si>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</si>
  <si>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</si>
  <si>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</si>
  <si>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</si>
  <si>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</si>
  <si>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</si>
  <si>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</si>
  <si>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</si>
  <si>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</si>
  <si>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</si>
  <si>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</si>
  <si>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</si>
  <si>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</si>
  <si>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</si>
  <si>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</si>
  <si>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</si>
  <si>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</si>
  <si>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</si>
  <si>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</si>
  <si>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</si>
  <si>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</si>
  <si>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</si>
  <si>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</si>
  <si>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</si>
  <si>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</si>
  <si>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</si>
  <si>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</si>
  <si>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</si>
  <si>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</si>
  <si>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</si>
  <si>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</si>
  <si>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</si>
  <si>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</si>
  <si>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</si>
  <si>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</si>
  <si>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</si>
  <si>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</si>
  <si>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</si>
  <si>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</si>
  <si>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</si>
  <si>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</si>
  <si>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</si>
  <si>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</si>
  <si>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</si>
  <si>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</si>
  <si>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</si>
  <si>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</si>
  <si>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</si>
  <si>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</si>
  <si>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</si>
  <si>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</si>
  <si>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</si>
  <si>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</si>
  <si>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</si>
  <si>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</si>
  <si>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</si>
  <si>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</si>
  <si>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</si>
  <si>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</si>
  <si>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</si>
  <si>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</si>
  <si>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</si>
  <si>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</si>
  <si>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</si>
  <si>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</si>
  <si>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</si>
  <si>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</si>
  <si>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</si>
  <si>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</si>
  <si>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</si>
  <si>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</si>
  <si>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</si>
  <si>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</si>
  <si>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</si>
  <si>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</si>
  <si>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</si>
  <si>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</si>
  <si>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</si>
  <si>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</si>
  <si>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</si>
  <si>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</si>
  <si>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</si>
  <si>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</si>
  <si>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</si>
  <si>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</si>
  <si>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</si>
  <si>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</si>
  <si>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</si>
  <si>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</si>
  <si>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</si>
  <si>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</si>
  <si>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</si>
  <si>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</si>
  <si>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</si>
  <si>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</si>
  <si>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</si>
  <si>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</si>
  <si>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</si>
  <si>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</si>
  <si>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</si>
  <si>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</si>
  <si>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</si>
  <si>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</si>
  <si>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</si>
  <si>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</si>
  <si>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</si>
  <si>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</si>
  <si>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</si>
  <si>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</si>
  <si>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</si>
  <si>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</si>
  <si>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</si>
  <si>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</si>
  <si>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</si>
  <si>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</si>
  <si>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</si>
  <si>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</si>
  <si>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</si>
  <si>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</si>
  <si>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</si>
  <si>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</si>
  <si>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</si>
  <si>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</si>
  <si>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</si>
  <si>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</si>
  <si>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</si>
  <si>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</si>
  <si>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</si>
  <si>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</si>
  <si>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</si>
  <si>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</si>
  <si>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</si>
  <si>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</si>
  <si>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</si>
  <si>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</si>
  <si>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</si>
  <si>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</si>
  <si>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</si>
  <si>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</si>
  <si>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</si>
  <si>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</si>
  <si>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</si>
  <si>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</si>
  <si>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</si>
  <si>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</si>
  <si>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</si>
  <si>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</si>
  <si>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</si>
  <si>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</si>
  <si>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</si>
  <si>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</si>
  <si>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</si>
  <si>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</si>
  <si>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</si>
  <si>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</si>
  <si>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</si>
  <si>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</si>
  <si>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</si>
  <si>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</si>
  <si>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</si>
  <si>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</si>
  <si>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</si>
  <si>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</si>
  <si>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</si>
  <si>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</si>
  <si>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</si>
  <si>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</si>
  <si>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</si>
  <si>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</si>
  <si>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</si>
  <si>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</si>
  <si>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</si>
  <si>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</si>
  <si>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</si>
  <si>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</si>
  <si>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</si>
  <si>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</si>
  <si>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</si>
  <si>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</si>
  <si>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</si>
  <si>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</si>
  <si>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</si>
  <si>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</si>
  <si>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</si>
  <si>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</si>
  <si>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</si>
  <si>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</si>
  <si>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</si>
  <si>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</si>
  <si>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</si>
  <si>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</si>
  <si>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</si>
  <si>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</si>
  <si>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</si>
  <si>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</si>
  <si>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</si>
  <si>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</si>
  <si>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</si>
  <si>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</si>
  <si>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</si>
  <si>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</si>
  <si>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</si>
  <si>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</si>
  <si>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</si>
  <si>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</si>
  <si>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</si>
  <si>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</si>
  <si>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</si>
  <si>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</si>
  <si>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</si>
  <si>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</si>
  <si>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</si>
  <si>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</si>
  <si>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</si>
  <si>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</si>
  <si>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</si>
  <si>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</si>
  <si>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</si>
  <si>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</si>
  <si>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</si>
  <si>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</si>
  <si>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</si>
  <si>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</si>
  <si>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</si>
  <si>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</si>
  <si>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</si>
  <si>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</si>
  <si>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</si>
  <si>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</si>
  <si>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</si>
  <si>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</si>
  <si>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</si>
  <si>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</si>
  <si>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</si>
  <si>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</si>
  <si>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</si>
  <si>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</si>
  <si>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</si>
  <si>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</si>
  <si>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</si>
  <si>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</si>
  <si>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</si>
  <si>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</si>
  <si>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</si>
  <si>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</si>
  <si>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</si>
  <si>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</si>
  <si>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</si>
  <si>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</si>
  <si>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</si>
  <si>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</si>
  <si>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</si>
  <si>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</si>
  <si>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</si>
  <si>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</si>
  <si>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</si>
  <si>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</si>
  <si>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</si>
  <si>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</si>
  <si>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</si>
  <si>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</si>
  <si>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</si>
  <si>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</si>
  <si>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</si>
  <si>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</si>
  <si>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</si>
  <si>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</si>
  <si>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</si>
  <si>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</si>
  <si>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</si>
  <si>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</si>
  <si>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</si>
  <si>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</si>
  <si>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</si>
  <si>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</si>
  <si>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</si>
  <si>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</si>
  <si>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</si>
  <si>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</si>
  <si>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</si>
  <si>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</si>
  <si>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</si>
  <si>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</si>
  <si>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</si>
  <si>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</si>
  <si>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</si>
  <si>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</si>
  <si>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</si>
  <si>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</si>
  <si>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</si>
  <si>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</si>
  <si>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</si>
  <si>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</si>
  <si>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</si>
  <si>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</si>
  <si>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</si>
  <si>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</si>
  <si>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</si>
  <si>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</si>
  <si>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</si>
  <si>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</si>
  <si>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</si>
  <si>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</si>
  <si>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</si>
  <si>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</si>
  <si>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</si>
  <si>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</si>
  <si>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</si>
  <si>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</si>
  <si>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</si>
  <si>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</si>
  <si>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</si>
  <si>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</si>
  <si>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</si>
  <si>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</si>
  <si>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</si>
  <si>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</si>
  <si>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</si>
  <si>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</si>
  <si>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</si>
  <si>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</si>
  <si>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</si>
  <si>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</si>
  <si>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</si>
  <si>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</si>
  <si>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</si>
  <si>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</si>
  <si>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</si>
  <si>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</si>
  <si>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</si>
  <si>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</si>
  <si>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</si>
  <si>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</si>
  <si>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</si>
  <si>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</si>
  <si>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</si>
  <si>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</si>
  <si>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</si>
  <si>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</si>
  <si>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</si>
  <si>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</si>
  <si>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</si>
  <si>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</si>
  <si>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</si>
  <si>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</si>
  <si>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</si>
  <si>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</si>
  <si>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</si>
  <si>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</si>
  <si>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</si>
  <si>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</si>
  <si>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</si>
  <si>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</si>
  <si>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</si>
  <si>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</si>
  <si>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</si>
  <si>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</si>
  <si>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</si>
  <si>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</si>
  <si>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</si>
  <si>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</si>
  <si>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</si>
  <si>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</si>
  <si>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</si>
  <si>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</si>
  <si>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</si>
  <si>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</si>
  <si>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</si>
  <si>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</si>
  <si>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</si>
  <si>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</si>
  <si>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</si>
  <si>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</si>
  <si>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</si>
  <si>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</si>
  <si>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</si>
  <si>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</si>
  <si>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</si>
  <si>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</si>
  <si>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</si>
  <si>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</si>
  <si>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</si>
  <si>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</si>
  <si>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</si>
  <si>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</si>
  <si>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</si>
  <si>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</si>
  <si>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</si>
  <si>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</si>
  <si>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</si>
  <si>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</si>
  <si>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</si>
  <si>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</si>
  <si>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</si>
  <si>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</si>
  <si>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</si>
  <si>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</si>
  <si>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</si>
  <si>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</si>
  <si>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</si>
  <si>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</si>
  <si>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</si>
  <si>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</si>
  <si>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</si>
  <si>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</si>
  <si>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</si>
  <si>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</si>
  <si>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</si>
  <si>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</si>
  <si>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</si>
  <si>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</si>
  <si>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</si>
  <si>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</si>
  <si>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</si>
  <si>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</si>
  <si>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</si>
  <si>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</si>
  <si>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</si>
  <si>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</si>
  <si>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</si>
  <si>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</si>
  <si>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</si>
  <si>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</si>
  <si>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</si>
  <si>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</si>
  <si>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</si>
  <si>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</si>
  <si>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</si>
  <si>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</si>
  <si>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</si>
  <si>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</si>
  <si>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</si>
  <si>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</si>
  <si>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</si>
  <si>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</si>
  <si>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</si>
  <si>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</si>
  <si>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</si>
  <si>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</si>
  <si>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</si>
  <si>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</si>
  <si>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</si>
  <si>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</si>
  <si>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</si>
  <si>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</si>
  <si>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</si>
  <si>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</si>
  <si>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</si>
  <si>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</si>
  <si>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</si>
  <si>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</si>
  <si>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</si>
  <si>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</si>
  <si>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</si>
  <si>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</si>
  <si>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</si>
  <si>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</si>
  <si>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</si>
  <si>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</si>
  <si>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</si>
  <si>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</si>
  <si>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</si>
  <si>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</si>
  <si>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</si>
  <si>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</si>
  <si>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</si>
  <si>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</si>
  <si>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</si>
  <si>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</si>
  <si>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</si>
  <si>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</si>
  <si>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</si>
  <si>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</si>
  <si>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</si>
  <si>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</si>
  <si>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</si>
  <si>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</si>
  <si>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</si>
  <si>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</si>
  <si>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</si>
  <si>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</si>
  <si>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</si>
  <si>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</si>
  <si>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</si>
  <si>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</si>
  <si>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</si>
  <si>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</si>
  <si>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</si>
  <si>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</si>
  <si>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</si>
  <si>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</si>
  <si>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</si>
  <si>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</si>
  <si>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</si>
  <si>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</si>
  <si>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</si>
  <si>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</si>
  <si>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</si>
  <si>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</si>
  <si>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</si>
  <si>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</si>
  <si>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</si>
  <si>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</si>
  <si>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</si>
  <si>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</si>
  <si>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</si>
  <si>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</si>
  <si>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</si>
  <si>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</si>
  <si>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</si>
  <si>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</si>
  <si>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</si>
  <si>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</si>
  <si>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</si>
  <si>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</si>
  <si>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</si>
  <si>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</si>
  <si>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</si>
  <si>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</si>
  <si>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</si>
  <si>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</si>
  <si>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</si>
  <si>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</si>
  <si>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</si>
  <si>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</si>
  <si>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</si>
  <si>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</si>
  <si>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</si>
  <si>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</si>
  <si>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</si>
  <si>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</si>
  <si>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</si>
  <si>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</si>
  <si>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</si>
  <si>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</si>
  <si>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</si>
  <si>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</si>
  <si>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</si>
  <si>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</si>
  <si>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</si>
  <si>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</si>
  <si>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</si>
  <si>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</si>
  <si>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</si>
  <si>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</si>
  <si>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</si>
  <si>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</si>
  <si>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</si>
  <si>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</si>
  <si>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</si>
  <si>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</si>
  <si>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</si>
  <si>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</si>
  <si>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</si>
  <si>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</si>
  <si>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</si>
  <si>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</si>
  <si>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</si>
  <si>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</si>
  <si>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</si>
  <si>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</si>
  <si>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</si>
  <si>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</si>
  <si>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</si>
  <si>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</si>
  <si>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</si>
  <si>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</si>
  <si>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</si>
  <si>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</si>
  <si>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</si>
  <si>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</si>
  <si>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</si>
  <si>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</si>
  <si>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</si>
  <si>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</si>
  <si>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</si>
  <si>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</si>
  <si>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</si>
  <si>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</si>
  <si>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</si>
  <si>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</si>
  <si>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</si>
  <si>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</si>
  <si>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</si>
  <si>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</si>
  <si>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</si>
  <si>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</si>
  <si>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</si>
  <si>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</si>
  <si>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</si>
  <si>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</si>
  <si>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</si>
  <si>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</si>
  <si>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</si>
  <si>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</si>
  <si>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</si>
  <si>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</si>
  <si>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</si>
  <si>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</si>
  <si>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</si>
  <si>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</si>
  <si>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</si>
  <si>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</si>
  <si>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</si>
  <si>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</si>
  <si>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</si>
  <si>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</si>
  <si>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</si>
  <si>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</si>
  <si>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</si>
  <si>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</si>
  <si>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</si>
  <si>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</si>
  <si>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</si>
  <si>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</si>
  <si>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</si>
  <si>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</si>
  <si>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</si>
  <si>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</si>
  <si>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</si>
  <si>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</si>
  <si>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</si>
  <si>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</si>
  <si>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</si>
  <si>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</si>
  <si>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</si>
  <si>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</si>
  <si>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</si>
  <si>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</si>
  <si>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</si>
  <si>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</si>
  <si>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</si>
  <si>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</si>
  <si>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</si>
  <si>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</si>
  <si>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</si>
  <si>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</si>
  <si>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</si>
  <si>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</si>
  <si>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</si>
  <si>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</si>
  <si>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</si>
  <si>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</si>
  <si>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</si>
  <si>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</si>
  <si>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</si>
  <si>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</si>
  <si>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</si>
  <si>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</si>
  <si>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</si>
  <si>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</si>
  <si>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</si>
  <si>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</si>
  <si>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</si>
  <si>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</si>
  <si>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</si>
  <si>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</si>
  <si>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</si>
  <si>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</si>
  <si>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</si>
  <si>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</si>
  <si>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</si>
  <si>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</si>
  <si>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</si>
  <si>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</si>
  <si>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</si>
  <si>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</si>
  <si>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</si>
  <si>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</si>
  <si>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</si>
  <si>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</si>
  <si>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</si>
  <si>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</si>
  <si>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</si>
  <si>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</si>
  <si>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</si>
  <si>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</si>
  <si>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</si>
  <si>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</si>
  <si>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</si>
  <si>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</si>
  <si>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</si>
  <si>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</si>
  <si>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</si>
  <si>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</si>
  <si>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</si>
  <si>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</si>
  <si>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</si>
  <si>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</si>
  <si>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</si>
  <si>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</si>
  <si>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</si>
  <si>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</si>
  <si>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</si>
  <si>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</si>
  <si>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</si>
  <si>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</si>
  <si>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</si>
  <si>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</si>
  <si>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</si>
  <si>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</si>
  <si>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</si>
  <si>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</si>
  <si>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</si>
  <si>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</si>
  <si>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</si>
  <si>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</si>
  <si>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</si>
  <si>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</si>
  <si>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</si>
  <si>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</si>
  <si>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</si>
  <si>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</si>
  <si>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</si>
  <si>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</si>
  <si>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</si>
  <si>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</si>
  <si>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</si>
  <si>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</si>
  <si>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</si>
  <si>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</si>
  <si>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</si>
  <si>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</si>
  <si>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</si>
  <si>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</si>
  <si>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</si>
  <si>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</si>
  <si>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</si>
  <si>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</si>
  <si>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</si>
  <si>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</si>
  <si>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</si>
  <si>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</si>
  <si>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</si>
  <si>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</si>
  <si>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</si>
  <si>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</si>
  <si>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</si>
  <si>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</si>
  <si>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</si>
  <si>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</si>
  <si>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</si>
  <si>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</si>
  <si>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</si>
  <si>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</si>
  <si>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</si>
  <si>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</si>
  <si>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</si>
  <si>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</si>
  <si>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</si>
  <si>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</si>
  <si>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</si>
  <si>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</si>
  <si>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</si>
  <si>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</si>
  <si>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</si>
  <si>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</si>
  <si>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</si>
  <si>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</si>
  <si>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</si>
  <si>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</si>
  <si>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</si>
  <si>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</si>
  <si>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</si>
  <si>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</si>
  <si>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</si>
  <si>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</si>
  <si>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</si>
  <si>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</si>
  <si>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</si>
  <si>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</si>
  <si>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</si>
  <si>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</si>
  <si>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</si>
  <si>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</si>
  <si>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</si>
  <si>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</si>
  <si>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</si>
  <si>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</si>
  <si>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</si>
  <si>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</si>
  <si>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</si>
  <si>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</si>
  <si>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</si>
  <si>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</si>
  <si>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</si>
  <si>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</si>
  <si>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</si>
  <si>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</si>
  <si>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</si>
  <si>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</si>
  <si>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</si>
  <si>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</si>
  <si>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</si>
  <si>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</si>
  <si>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</si>
  <si>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</si>
  <si>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</si>
  <si>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</si>
  <si>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</si>
  <si>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</si>
  <si>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</si>
  <si>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</si>
  <si>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</si>
  <si>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</si>
  <si>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</si>
  <si>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</si>
  <si>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</si>
  <si>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</si>
  <si>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</si>
  <si>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</si>
  <si>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</si>
  <si>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</si>
  <si>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</si>
  <si>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</si>
  <si>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</si>
  <si>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</si>
  <si>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</si>
  <si>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</si>
  <si>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</si>
  <si>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</si>
  <si>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</si>
  <si>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</si>
  <si>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</si>
  <si>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</si>
  <si>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</si>
  <si>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</si>
  <si>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</si>
  <si>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</si>
  <si>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</si>
  <si>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</si>
  <si>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</si>
  <si>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</si>
  <si>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</si>
  <si>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</si>
  <si>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</si>
  <si>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</si>
  <si>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</si>
  <si>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</si>
  <si>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</si>
  <si>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</si>
  <si>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</si>
  <si>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</si>
  <si>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</si>
  <si>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</si>
  <si>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</si>
  <si>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</si>
  <si>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</si>
  <si>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</si>
  <si>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</si>
  <si>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</si>
  <si>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</si>
  <si>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</si>
  <si>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</si>
  <si>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</si>
  <si>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</si>
  <si>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</si>
  <si>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</si>
  <si>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</si>
  <si>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</si>
  <si>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</si>
  <si>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</si>
  <si>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</si>
  <si>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</si>
  <si>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</si>
  <si>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</si>
  <si>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</si>
  <si>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</si>
  <si>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</si>
  <si>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</si>
  <si>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</si>
  <si>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</si>
  <si>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</si>
  <si>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</si>
  <si>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</si>
  <si>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</si>
  <si>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</si>
  <si>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</si>
  <si>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</si>
  <si>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</si>
  <si>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</si>
  <si>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</si>
  <si>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</si>
  <si>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</si>
  <si>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</si>
  <si>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</si>
  <si>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</si>
  <si>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</si>
  <si>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</si>
  <si>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</si>
  <si>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</si>
  <si>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</si>
  <si>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</si>
  <si>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</si>
  <si>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</si>
  <si>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</si>
  <si>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</si>
  <si>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</si>
  <si>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</si>
  <si>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</si>
  <si>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</si>
  <si>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</si>
  <si>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</si>
  <si>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</si>
  <si>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</si>
  <si>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</si>
  <si>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</si>
  <si>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</si>
  <si>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</si>
  <si>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</si>
  <si>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</si>
  <si>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</si>
  <si>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</si>
  <si>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</si>
  <si>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</si>
  <si>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</si>
  <si>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</si>
  <si>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</si>
  <si>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</si>
  <si>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</si>
  <si>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</si>
  <si>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</si>
  <si>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</si>
  <si>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</si>
  <si>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</si>
  <si>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</si>
  <si>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</si>
  <si>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</si>
  <si>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</si>
  <si>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</si>
  <si>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</si>
  <si>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</si>
  <si>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</si>
  <si>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</si>
  <si>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</si>
  <si>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</si>
  <si>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</si>
  <si>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</si>
  <si>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</si>
  <si>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</si>
  <si>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</si>
  <si>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</si>
  <si>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</si>
  <si>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</si>
  <si>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</si>
  <si>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</si>
  <si>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</si>
  <si>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</si>
  <si>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</si>
  <si>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</si>
  <si>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</si>
  <si>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</si>
  <si>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</si>
  <si>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</si>
  <si>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</si>
  <si>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</si>
  <si>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</si>
  <si>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</si>
  <si>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</si>
  <si>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</si>
  <si>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</si>
  <si>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</si>
  <si>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</si>
  <si>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</si>
  <si>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</si>
  <si>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</si>
  <si>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</si>
  <si>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</si>
  <si>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</si>
  <si>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</si>
  <si>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</si>
  <si>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</si>
  <si>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</si>
  <si>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</si>
  <si>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</si>
  <si>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</si>
  <si>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</si>
  <si>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</si>
  <si>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</si>
  <si>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</si>
  <si>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</si>
  <si>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</si>
  <si>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</si>
  <si>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</si>
  <si>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</si>
  <si>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</si>
  <si>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</si>
  <si>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</si>
  <si>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</si>
  <si>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</si>
  <si>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</si>
  <si>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</si>
  <si>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</si>
  <si>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</si>
  <si>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</si>
  <si>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</si>
  <si>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</si>
  <si>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</si>
  <si>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</si>
  <si>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</si>
  <si>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</si>
  <si>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</si>
  <si>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</si>
  <si>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</si>
  <si>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</si>
  <si>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</si>
  <si>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</si>
  <si>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</si>
  <si>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</si>
  <si>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</si>
  <si>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</si>
  <si>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</si>
  <si>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</si>
  <si>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</si>
  <si>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</si>
  <si>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</si>
  <si>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</si>
  <si>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</si>
  <si>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</si>
  <si>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</si>
  <si>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</si>
  <si>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</si>
  <si>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</si>
  <si>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</si>
  <si>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</si>
  <si>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</si>
  <si>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</si>
  <si>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</si>
  <si>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</si>
  <si>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</si>
  <si>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</si>
  <si>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</si>
  <si>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</si>
  <si>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</si>
  <si>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</si>
  <si>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</si>
  <si>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</si>
  <si>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</si>
  <si>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</si>
  <si>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</si>
  <si>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</si>
  <si>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</si>
  <si>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</si>
  <si>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</si>
  <si>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</si>
  <si>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</si>
  <si>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</si>
  <si>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</si>
  <si>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</si>
  <si>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</si>
  <si>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</si>
  <si>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</si>
  <si>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</si>
  <si>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</si>
  <si>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</si>
  <si>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</si>
  <si>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</si>
  <si>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</si>
  <si>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</si>
  <si>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</si>
  <si>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</si>
  <si>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</si>
  <si>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</si>
  <si>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</si>
  <si>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</si>
  <si>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</si>
  <si>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</si>
  <si>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</si>
  <si>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</si>
  <si>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</si>
  <si>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</si>
  <si>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</si>
  <si>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</si>
  <si>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</si>
  <si>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</si>
  <si>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</si>
  <si>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</si>
  <si>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</si>
  <si>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</si>
  <si>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</si>
  <si>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</si>
  <si>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</si>
  <si>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</si>
  <si>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</si>
  <si>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</si>
  <si>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</si>
  <si>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</si>
  <si>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</si>
  <si>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</si>
  <si>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</si>
  <si>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</si>
  <si>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</si>
  <si>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</si>
  <si>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</si>
  <si>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</si>
  <si>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</si>
  <si>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</si>
  <si>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</si>
  <si>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</si>
  <si>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</si>
  <si>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</si>
  <si>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</si>
  <si>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</si>
  <si>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</si>
  <si>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</si>
  <si>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</si>
  <si>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</si>
  <si>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</si>
  <si>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</si>
  <si>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</si>
  <si>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</si>
  <si>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</si>
  <si>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</si>
  <si>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</si>
  <si>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</si>
  <si>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</si>
  <si>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</si>
  <si>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</si>
  <si>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</si>
  <si>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</si>
  <si>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</si>
  <si>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</si>
  <si>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</si>
  <si>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</si>
  <si>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</si>
  <si>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</si>
  <si>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</si>
  <si>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</si>
  <si>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</si>
  <si>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</si>
  <si>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</si>
  <si>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</si>
  <si>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</si>
  <si>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</si>
  <si>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</si>
  <si>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</si>
  <si>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</si>
  <si>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</si>
  <si>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</si>
  <si>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</si>
  <si>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</si>
  <si>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</si>
  <si>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</si>
  <si>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</si>
  <si>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</si>
  <si>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</si>
  <si>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</si>
  <si>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</si>
  <si>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</si>
  <si>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</si>
  <si>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</si>
  <si>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</si>
  <si>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</si>
  <si>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</si>
  <si>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</si>
  <si>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</si>
  <si>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</si>
  <si>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</si>
  <si>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</si>
  <si>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</si>
  <si>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</si>
  <si>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</si>
  <si>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</si>
  <si>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</si>
  <si>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</si>
  <si>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</si>
  <si>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</si>
  <si>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</si>
  <si>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</si>
  <si>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</si>
  <si>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</si>
  <si>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</si>
  <si>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</si>
  <si>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</si>
  <si>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</si>
  <si>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</si>
  <si>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</si>
  <si>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</si>
  <si>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</si>
  <si>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</si>
  <si>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</si>
  <si>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</si>
  <si>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</si>
  <si>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</si>
  <si>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</si>
  <si>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</si>
  <si>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</si>
  <si>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</si>
  <si>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</si>
  <si>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</si>
  <si>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</si>
  <si>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</si>
  <si>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</si>
  <si>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</si>
  <si>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</si>
  <si>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</si>
  <si>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</si>
  <si>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</si>
  <si>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</si>
  <si>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</si>
  <si>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</si>
  <si>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</si>
  <si>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</si>
  <si>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</si>
  <si>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</si>
  <si>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</si>
  <si>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</si>
  <si>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</si>
  <si>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</si>
  <si>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</si>
  <si>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</si>
  <si>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</si>
  <si>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</si>
  <si>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</si>
  <si>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</si>
  <si>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</si>
  <si>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</si>
  <si>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</si>
  <si>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</si>
  <si>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</si>
  <si>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</si>
  <si>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</si>
  <si>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</si>
  <si>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</si>
  <si>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</si>
  <si>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</si>
  <si>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</si>
  <si>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</si>
  <si>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</si>
  <si>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</si>
  <si>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</si>
  <si>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</si>
  <si>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</si>
  <si>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</si>
  <si>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</si>
  <si>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</si>
  <si>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</si>
  <si>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</si>
  <si>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</si>
  <si>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</si>
  <si>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</si>
  <si>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</si>
  <si>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</si>
  <si>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</si>
  <si>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</si>
  <si>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</si>
  <si>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</si>
  <si>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</si>
  <si>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</si>
  <si>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</si>
  <si>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</si>
  <si>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</si>
  <si>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</si>
  <si>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</si>
  <si>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</si>
  <si>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</si>
  <si>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</si>
  <si>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</si>
  <si>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</si>
  <si>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</si>
  <si>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</si>
  <si>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</si>
  <si>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</si>
  <si>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</si>
  <si>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</si>
  <si>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</si>
  <si>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</si>
  <si>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</si>
  <si>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</si>
  <si>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</si>
  <si>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</si>
  <si>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</si>
  <si>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</si>
  <si>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</si>
  <si>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</si>
  <si>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</si>
  <si>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</si>
  <si>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</si>
  <si>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</si>
  <si>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</si>
  <si>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</si>
  <si>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</si>
  <si>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</si>
  <si>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</si>
  <si>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</si>
  <si>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</si>
  <si>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</si>
  <si>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</si>
  <si>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</si>
  <si>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</si>
  <si>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</si>
  <si>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</si>
  <si>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</si>
  <si>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</si>
  <si>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</si>
  <si>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</si>
  <si>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</si>
  <si>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</si>
  <si>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</si>
  <si>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</si>
  <si>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</si>
  <si>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</si>
  <si>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</si>
  <si>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</si>
  <si>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</si>
  <si>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</si>
  <si>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</si>
  <si>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</si>
  <si>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</si>
  <si>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</si>
  <si>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</si>
  <si>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</si>
  <si>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</si>
  <si>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</si>
  <si>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</si>
  <si>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</si>
  <si>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</si>
  <si>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</si>
  <si>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</si>
  <si>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</si>
  <si>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</si>
  <si>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</si>
  <si>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</si>
  <si>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</si>
  <si>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</si>
  <si>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</si>
  <si>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</si>
  <si>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</si>
  <si>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</si>
  <si>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</si>
  <si>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</si>
  <si>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</si>
  <si>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</si>
  <si>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</si>
  <si>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</si>
  <si>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</si>
  <si>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</si>
  <si>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</si>
  <si>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</si>
  <si>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</si>
  <si>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</si>
  <si>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</si>
  <si>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</si>
  <si>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</si>
  <si>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</si>
  <si>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</si>
  <si>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</si>
  <si>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</si>
  <si>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</si>
  <si>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</si>
  <si>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</si>
  <si>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</si>
  <si>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</si>
  <si>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</si>
  <si>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</si>
  <si>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</si>
  <si>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</si>
  <si>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</si>
  <si>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</si>
  <si>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</si>
  <si>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</si>
  <si>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</si>
  <si>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</si>
  <si>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</si>
  <si>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</si>
  <si>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</si>
  <si>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</si>
  <si>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</si>
  <si>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</si>
  <si>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</si>
  <si>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</si>
  <si>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</si>
  <si>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</si>
  <si>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</si>
  <si>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</si>
  <si>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</si>
  <si>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</si>
  <si>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</si>
  <si>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</si>
  <si>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</si>
  <si>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</si>
  <si>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</si>
  <si>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</si>
  <si>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</si>
  <si>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</si>
  <si>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</si>
  <si>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</si>
  <si>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</si>
  <si>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</si>
  <si>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</si>
  <si>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</si>
  <si>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</si>
  <si>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</si>
  <si>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</si>
  <si>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</si>
  <si>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</si>
  <si>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</si>
  <si>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</si>
  <si>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</si>
  <si>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</si>
  <si>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</si>
  <si>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</si>
  <si>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</si>
  <si>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</si>
  <si>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</si>
  <si>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</si>
  <si>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</si>
  <si>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</si>
  <si>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</si>
  <si>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</si>
  <si>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</si>
  <si>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</si>
  <si>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</si>
  <si>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</si>
  <si>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</si>
  <si>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</si>
  <si>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</si>
  <si>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</si>
  <si>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</si>
  <si>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</si>
  <si>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</si>
  <si>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</si>
  <si>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</si>
  <si>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</si>
  <si>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</si>
  <si>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</si>
  <si>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</si>
  <si>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</si>
  <si>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</si>
  <si>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</si>
  <si>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</si>
  <si>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</si>
  <si>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</si>
  <si>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</si>
  <si>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</si>
  <si>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</si>
  <si>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</si>
  <si>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</si>
  <si>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</si>
  <si>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</si>
  <si>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</si>
  <si>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</si>
  <si>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</si>
  <si>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</si>
  <si>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</si>
  <si>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</si>
  <si>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</si>
  <si>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</si>
  <si>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</si>
  <si>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</si>
  <si>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</si>
  <si>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</si>
  <si>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</si>
  <si>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</si>
  <si>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</si>
  <si>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</si>
  <si>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</si>
  <si>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</si>
  <si>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</si>
  <si>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</si>
  <si>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</si>
  <si>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</si>
  <si>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</si>
  <si>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</si>
  <si>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</si>
  <si>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</si>
  <si>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</si>
  <si>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</si>
  <si>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</si>
  <si>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</si>
  <si>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</si>
  <si>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</si>
  <si>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</si>
  <si>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</si>
  <si>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</si>
  <si>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</si>
  <si>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</si>
  <si>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</si>
  <si>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</si>
  <si>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</si>
  <si>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</si>
  <si>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</si>
  <si>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</si>
  <si>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</si>
  <si>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</si>
  <si>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</si>
  <si>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</si>
  <si>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</si>
  <si>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</si>
  <si>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</si>
  <si>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</si>
  <si>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</si>
  <si>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</si>
  <si>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</si>
  <si>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</si>
  <si>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</si>
  <si>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</si>
  <si>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</si>
  <si>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</si>
  <si>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</si>
  <si>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</si>
  <si>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</si>
  <si>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</si>
  <si>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</si>
  <si>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</si>
  <si>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</si>
  <si>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</si>
  <si>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</si>
  <si>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</si>
  <si>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</si>
  <si>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</si>
  <si>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</si>
  <si>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</si>
  <si>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</si>
  <si>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</si>
  <si>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</si>
  <si>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</si>
  <si>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</si>
  <si>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</si>
  <si>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</si>
  <si>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</si>
  <si>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</si>
  <si>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</si>
  <si>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</si>
  <si>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</si>
  <si>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</si>
  <si>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</si>
  <si>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</si>
  <si>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</si>
  <si>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</si>
  <si>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</si>
  <si>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</si>
  <si>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</si>
  <si>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</si>
  <si>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</si>
  <si>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</si>
  <si>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</si>
  <si>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</si>
  <si>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</si>
  <si>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</si>
  <si>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</si>
  <si>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</si>
  <si>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</si>
  <si>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</si>
  <si>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</si>
  <si>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</si>
  <si>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</si>
  <si>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</si>
  <si>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</si>
  <si>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</si>
  <si>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</si>
  <si>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</si>
  <si>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</si>
  <si>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</si>
  <si>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</si>
  <si>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</si>
  <si>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</si>
  <si>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</si>
  <si>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</si>
  <si>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</si>
  <si>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</si>
  <si>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</si>
  <si>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</si>
  <si>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</si>
  <si>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</si>
  <si>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</si>
  <si>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</si>
  <si>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</si>
  <si>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</si>
  <si>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</si>
  <si>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</si>
  <si>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</si>
  <si>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</si>
  <si>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</si>
  <si>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</si>
  <si>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</si>
  <si>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</si>
  <si>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</si>
  <si>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</si>
  <si>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</si>
  <si>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</si>
  <si>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</si>
  <si>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</si>
  <si>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</si>
  <si>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</si>
  <si>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</si>
  <si>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</si>
  <si>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</si>
  <si>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</si>
  <si>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</si>
  <si>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</si>
  <si>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</si>
  <si>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</si>
  <si>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</si>
  <si>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</si>
  <si>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</si>
  <si>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</si>
  <si>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</si>
  <si>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</si>
  <si>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</si>
  <si>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</si>
  <si>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</si>
  <si>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</si>
  <si>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</si>
  <si>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</si>
  <si>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</si>
  <si>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</si>
  <si>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</si>
  <si>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</si>
  <si>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</si>
  <si>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</si>
  <si>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</si>
  <si>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</si>
  <si>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</si>
  <si>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</si>
  <si>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</si>
  <si>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</si>
  <si>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</si>
  <si>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</si>
  <si>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</si>
  <si>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</si>
  <si>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</si>
  <si>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</si>
  <si>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</si>
  <si>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</si>
  <si>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</si>
  <si>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</si>
  <si>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北京朝林置业有限公司</t>
    <phoneticPr fontId="6" type="noConversion"/>
  </si>
  <si>
    <t>核定资产</t>
  </si>
  <si>
    <t>房地产市场价值</t>
  </si>
  <si>
    <t>北京市</t>
  </si>
  <si>
    <t>企业</t>
  </si>
  <si>
    <t>出让</t>
  </si>
  <si>
    <t>办公</t>
    <phoneticPr fontId="6" type="noConversion"/>
  </si>
  <si>
    <t>是</t>
  </si>
  <si>
    <t>地上</t>
  </si>
  <si>
    <t>办公楼</t>
  </si>
  <si>
    <t>收益法</t>
  </si>
  <si>
    <t>成新度</t>
  </si>
  <si>
    <t>A、B座</t>
  </si>
  <si>
    <t>钢混</t>
  </si>
  <si>
    <t>非生产用房</t>
  </si>
  <si>
    <t>按租金收入计税</t>
  </si>
  <si>
    <t>售价</t>
  </si>
  <si>
    <t>荣华国际</t>
    <phoneticPr fontId="3" type="noConversion"/>
  </si>
  <si>
    <t>亦城国际</t>
    <phoneticPr fontId="3" type="noConversion"/>
  </si>
  <si>
    <t>朝林广场</t>
    <phoneticPr fontId="3" type="noConversion"/>
  </si>
  <si>
    <t>朝林广场</t>
    <phoneticPr fontId="3" type="noConversion"/>
  </si>
  <si>
    <t>正常</t>
  </si>
  <si>
    <t>办公</t>
    <phoneticPr fontId="32" type="noConversion"/>
  </si>
  <si>
    <t>30-40（含）</t>
  </si>
  <si>
    <t>钢混</t>
    <phoneticPr fontId="32" type="noConversion"/>
  </si>
  <si>
    <t>砖混</t>
    <phoneticPr fontId="32" type="noConversion"/>
  </si>
  <si>
    <t>精装</t>
  </si>
  <si>
    <t>精装</t>
    <phoneticPr fontId="32" type="noConversion"/>
  </si>
  <si>
    <t>普装</t>
    <phoneticPr fontId="32" type="noConversion"/>
  </si>
  <si>
    <t>简装</t>
    <phoneticPr fontId="32" type="noConversion"/>
  </si>
  <si>
    <t>甲级</t>
  </si>
  <si>
    <t>甲级</t>
    <phoneticPr fontId="32" type="noConversion"/>
  </si>
  <si>
    <t>乙级</t>
    <phoneticPr fontId="32" type="noConversion"/>
  </si>
  <si>
    <t>专业</t>
    <phoneticPr fontId="32" type="noConversion"/>
  </si>
  <si>
    <t>非专业</t>
    <phoneticPr fontId="32" type="noConversion"/>
  </si>
  <si>
    <t>七通</t>
    <phoneticPr fontId="32" type="noConversion"/>
  </si>
  <si>
    <t>六通</t>
    <phoneticPr fontId="32" type="noConversion"/>
  </si>
  <si>
    <t>五通</t>
    <phoneticPr fontId="32" type="noConversion"/>
  </si>
  <si>
    <t>非标</t>
    <phoneticPr fontId="32" type="noConversion"/>
  </si>
  <si>
    <t>标准</t>
    <phoneticPr fontId="32" type="noConversion"/>
  </si>
  <si>
    <t>标准写字楼</t>
    <phoneticPr fontId="32" type="noConversion"/>
  </si>
  <si>
    <t>Ⅵ-亦1</t>
  </si>
  <si>
    <t>商务金融用地（办公类）</t>
  </si>
  <si>
    <t>容积率修正</t>
  </si>
  <si>
    <t>一般</t>
  </si>
  <si>
    <t>地下</t>
  </si>
  <si>
    <t>车库</t>
  </si>
  <si>
    <t>收益法 (车位)</t>
  </si>
  <si>
    <t>较差</t>
  </si>
  <si>
    <t>地价指数</t>
  </si>
  <si>
    <t>成本法</t>
  </si>
  <si>
    <t>收益法（汇总）</t>
  </si>
  <si>
    <r>
      <t>B</t>
    </r>
    <r>
      <rPr>
        <sz val="10"/>
        <color indexed="8"/>
        <rFont val="宋体"/>
        <family val="3"/>
        <charset val="134"/>
      </rPr>
      <t>座地上</t>
    </r>
    <phoneticPr fontId="3" type="noConversion"/>
  </si>
  <si>
    <r>
      <t>B</t>
    </r>
    <r>
      <rPr>
        <sz val="10"/>
        <color indexed="8"/>
        <rFont val="宋体"/>
        <family val="3"/>
        <charset val="134"/>
      </rPr>
      <t>座地下</t>
    </r>
    <phoneticPr fontId="3" type="noConversion"/>
  </si>
  <si>
    <t>B座地上</t>
  </si>
  <si>
    <t>B座地下</t>
  </si>
  <si>
    <t>六通一平</t>
  </si>
  <si>
    <t>缺少</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</si>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</sst>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104" fillId="6"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560534</xdr:colOff>
      <xdr:row>41</xdr:row>
      <xdr:rowOff>113408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33334" cy="71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t="str">
        <f>'预评函-封皮'!B40</f>
        <v>北京朝林置业有限公司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估价对象为北京市出让国有建设用地使用权及在建建筑物房地产，为所有。根据《国有土地使用证》[]，估价对象（分摊）出让国有建设用地使用权面积为23731.26平方米，建筑面积为61537.21平方米。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23731.26平方米，规划建筑面积为61537.21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2018年8月22日（评估专业人员实地查勘之日）</v>
      </c>
    </row>
    <row r="13" spans="1:2" s="1596" customFormat="1">
      <c r="A13" s="1594" t="s">
        <v>1227</v>
      </c>
      <c r="B13" s="1595" t="str">
        <f>'预评函-1'!A18</f>
        <v>本次估价的“房地产价值”是指在正常市场情况下，在价值时点2018年8月22日，估价对象规划用途为办公，土地取得方式为出让，出让国有建设用地使用权剩余土地使用年限为35.56，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七通”（即、、、、、、）、红线内场地平整条件下，剩余土地使用年限为35.56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93406</v>
      </c>
    </row>
    <row r="21" spans="1:2" s="1596" customFormat="1">
      <c r="A21" s="1594" t="s">
        <v>1235</v>
      </c>
      <c r="B21" s="1595">
        <f ca="1">'预评函-2'!D7</f>
        <v>15179</v>
      </c>
    </row>
    <row r="22" spans="1:2" s="1596" customFormat="1">
      <c r="A22" s="1594" t="s">
        <v>1236</v>
      </c>
      <c r="B22" s="1595" t="str">
        <f ca="1">'预评函-2'!D6</f>
        <v>玖亿叁仟肆佰零陆万元整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93406</v>
      </c>
    </row>
    <row r="31" spans="1:2" s="1596" customFormat="1">
      <c r="A31" s="1594" t="s">
        <v>1274</v>
      </c>
      <c r="B31" s="1595">
        <f ca="1">'预评函-2'!D15</f>
        <v>15179</v>
      </c>
    </row>
    <row r="32" spans="1:2" s="1596" customFormat="1">
      <c r="A32" s="1594" t="s">
        <v>1241</v>
      </c>
      <c r="B32" s="1595" t="str">
        <f ca="1">'预评函-2'!D14</f>
        <v>玖亿叁仟肆佰零陆万元整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61537.21</v>
      </c>
    </row>
    <row r="44" spans="1:2" s="1596" customFormat="1">
      <c r="A44" s="1594" t="s">
        <v>1273</v>
      </c>
      <c r="B44" s="1595" t="str">
        <f>'预评函-3'!C2</f>
        <v>(分摊)土地面积</v>
      </c>
    </row>
    <row r="45" spans="1:2" s="1596" customFormat="1">
      <c r="A45" s="1594" t="s">
        <v>1245</v>
      </c>
      <c r="B45" s="1595">
        <f>'预评函-3'!C4</f>
        <v>23731.26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8" sqref="Z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3100</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6"/>
      <c r="B54" s="2025" t="s">
        <v>864</v>
      </c>
      <c r="C54" s="2022" t="s">
        <v>1281</v>
      </c>
    </row>
    <row r="55" spans="1:4">
      <c r="A55" s="3006"/>
      <c r="B55" s="2025" t="s">
        <v>865</v>
      </c>
      <c r="C55" s="2022" t="s">
        <v>1282</v>
      </c>
    </row>
    <row r="56" spans="1:4">
      <c r="A56" s="3006"/>
      <c r="B56" s="2025" t="s">
        <v>866</v>
      </c>
      <c r="C56" s="2022" t="s">
        <v>1286</v>
      </c>
    </row>
    <row r="57" spans="1:4">
      <c r="A57" s="300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1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43334</v>
      </c>
      <c r="C3" s="2040" t="s">
        <v>1779</v>
      </c>
      <c r="D3" s="2039">
        <f>B3</f>
        <v>43334</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8" t="s">
        <v>3053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f>B6</f>
        <v>0</v>
      </c>
      <c r="C7" s="2052"/>
      <c r="D7" s="2053"/>
      <c r="E7" s="2037"/>
      <c r="F7" s="2045"/>
      <c r="G7" s="2045"/>
      <c r="H7" s="2045"/>
      <c r="I7" s="2045"/>
      <c r="J7" s="2045"/>
      <c r="K7" s="2056"/>
      <c r="L7" s="2031"/>
      <c r="M7" s="2031"/>
      <c r="N7" s="2032"/>
      <c r="O7" s="2033"/>
      <c r="P7" s="2032"/>
      <c r="Q7" s="2032"/>
      <c r="R7" s="2032"/>
    </row>
    <row r="8" spans="1:19" ht="18" customHeight="1">
      <c r="A8" s="2050" t="s">
        <v>1784</v>
      </c>
      <c r="B8" s="2057" t="s">
        <v>3054</v>
      </c>
      <c r="C8" s="2058"/>
      <c r="D8" s="3018" t="s">
        <v>1785</v>
      </c>
      <c r="E8" s="2059"/>
      <c r="F8" s="2060"/>
      <c r="G8" s="2029"/>
      <c r="H8" s="2029"/>
      <c r="I8" s="2029"/>
      <c r="J8" s="2045"/>
      <c r="K8" s="2046"/>
      <c r="L8" s="2031"/>
      <c r="M8" s="2031"/>
      <c r="N8" s="2032"/>
      <c r="O8" s="2033"/>
      <c r="P8" s="2032"/>
      <c r="Q8" s="2032"/>
      <c r="R8" s="2032"/>
    </row>
    <row r="9" spans="1:19" ht="18" customHeight="1" thickBot="1">
      <c r="A9" s="2043" t="s">
        <v>1786</v>
      </c>
      <c r="B9" s="2061" t="s">
        <v>3055</v>
      </c>
      <c r="C9" s="2062"/>
      <c r="D9" s="3019"/>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49"/>
      <c r="E10" s="2068" t="s">
        <v>1788</v>
      </c>
      <c r="F10" s="2069"/>
      <c r="G10" s="2070"/>
      <c r="H10" s="2071"/>
      <c r="I10" s="2049"/>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v>56317</v>
      </c>
      <c r="G13" s="2082"/>
      <c r="H13" s="2082"/>
      <c r="I13" s="1050"/>
      <c r="J13" s="2045"/>
      <c r="K13" s="2056"/>
      <c r="L13" s="2031"/>
      <c r="M13" s="2031"/>
      <c r="N13" s="2032"/>
      <c r="O13" s="2033"/>
      <c r="P13" s="2032"/>
      <c r="Q13" s="2032"/>
      <c r="R13" s="2032"/>
    </row>
    <row r="14" spans="1:19" ht="18" customHeight="1">
      <c r="A14" s="2079"/>
      <c r="B14" s="2080"/>
      <c r="C14" s="2081" t="s">
        <v>1799</v>
      </c>
      <c r="D14" s="1053"/>
      <c r="E14" s="1053"/>
      <c r="F14" s="1053">
        <v>50</v>
      </c>
      <c r="G14" s="1053"/>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f>IF(B12="出让",IF(F13="","",ROUNDDOWN(MIN((F13-$D$3)/365,F14),2)),F14)</f>
        <v>35.56</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25" t="s">
        <v>3059</v>
      </c>
      <c r="C16" s="3026"/>
      <c r="D16" s="3027"/>
      <c r="E16" s="2088" t="s">
        <v>1802</v>
      </c>
      <c r="F16" s="3028">
        <v>35.56</v>
      </c>
      <c r="G16" s="3029"/>
      <c r="H16" s="3029"/>
      <c r="I16" s="3030"/>
      <c r="J16" s="2032"/>
      <c r="K16" s="2085"/>
      <c r="L16" s="2086"/>
      <c r="M16" s="2086"/>
      <c r="N16" s="2087"/>
      <c r="O16" s="2086"/>
      <c r="P16" s="2087"/>
      <c r="Q16" s="2032"/>
      <c r="R16" s="2032"/>
    </row>
    <row r="17" spans="1:22" ht="18" customHeight="1">
      <c r="A17" s="2089" t="s">
        <v>1803</v>
      </c>
      <c r="B17" s="2038" t="s">
        <v>1804</v>
      </c>
      <c r="C17" s="1057">
        <f>'数据-汇总表'!E3</f>
        <v>61537.21</v>
      </c>
      <c r="D17" s="2090" t="s">
        <v>1805</v>
      </c>
      <c r="E17" s="3031" t="s">
        <v>1806</v>
      </c>
      <c r="F17" s="3032"/>
      <c r="G17" s="3032"/>
      <c r="H17" s="3032"/>
      <c r="I17" s="3033"/>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23731.26</v>
      </c>
      <c r="D18" s="2093" t="s">
        <v>1805</v>
      </c>
      <c r="E18" s="3034" t="s">
        <v>1809</v>
      </c>
      <c r="F18" s="3035"/>
      <c r="G18" s="3035"/>
      <c r="H18" s="3035"/>
      <c r="I18" s="3036"/>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3060</v>
      </c>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21" t="s">
        <v>1814</v>
      </c>
      <c r="C20" s="3022"/>
      <c r="D20" s="3023" t="s">
        <v>1815</v>
      </c>
      <c r="E20" s="3024"/>
      <c r="F20" s="2100" t="s">
        <v>1816</v>
      </c>
      <c r="G20" s="2045"/>
      <c r="H20" s="2045"/>
      <c r="I20" s="2045"/>
      <c r="J20" s="2045"/>
      <c r="K20" s="302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08" t="s">
        <v>1829</v>
      </c>
      <c r="B27" s="2065"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08"/>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08"/>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09"/>
      <c r="B30" s="2038" t="s">
        <v>1833</v>
      </c>
      <c r="C30" s="3010"/>
      <c r="D30" s="3011"/>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2" t="s">
        <v>1834</v>
      </c>
      <c r="B31" s="2129"/>
      <c r="C31" s="2130" t="str">
        <f>IF(B31="现房","成新及维护状况正常否",IF(B31="在建","工程状态是否正常",IF(B31="土地","是否闲置","-")))</f>
        <v>-</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3"/>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3"/>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07" t="s">
        <v>1843</v>
      </c>
      <c r="T34" s="2137" t="str">
        <f>NUMBERSTRING(7-K34,1)&amp;"通"</f>
        <v>七通</v>
      </c>
      <c r="U34" s="2032"/>
      <c r="V34" s="2032"/>
    </row>
    <row r="35" spans="1:22" ht="18" customHeight="1">
      <c r="A35" s="2138"/>
      <c r="B35" s="3014" t="s">
        <v>1844</v>
      </c>
      <c r="C35" s="3014"/>
      <c r="D35" s="3014"/>
      <c r="E35" s="3014"/>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t="s">
        <v>56</v>
      </c>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t="s">
        <v>3094</v>
      </c>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23731.26</v>
      </c>
      <c r="B3" s="14">
        <f>IF(C3="否",G5-AT5,G5)</f>
        <v>61537.21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61537.21</v>
      </c>
      <c r="H5" s="16">
        <f t="shared" ref="H5:AT5" si="0">SUM(H13:H656)</f>
        <v>58540.31</v>
      </c>
      <c r="I5" s="16">
        <f t="shared" si="0"/>
        <v>55436.959999999999</v>
      </c>
      <c r="J5" s="16">
        <f t="shared" si="0"/>
        <v>0</v>
      </c>
      <c r="K5" s="16">
        <f t="shared" si="0"/>
        <v>3103.3500000000004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2996.9</v>
      </c>
      <c r="AD5" s="16">
        <f t="shared" si="0"/>
        <v>0</v>
      </c>
      <c r="AE5" s="16">
        <f t="shared" si="0"/>
        <v>0</v>
      </c>
      <c r="AF5" s="16">
        <f t="shared" si="0"/>
        <v>0</v>
      </c>
      <c r="AG5" s="16">
        <f t="shared" si="0"/>
        <v>0</v>
      </c>
      <c r="AH5" s="16">
        <f t="shared" si="0"/>
        <v>0</v>
      </c>
      <c r="AI5" s="16">
        <f t="shared" si="0"/>
        <v>0</v>
      </c>
      <c r="AJ5" s="16">
        <f t="shared" si="0"/>
        <v>2996.9</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61537.21</v>
      </c>
      <c r="BA5" s="18">
        <f t="shared" si="1"/>
        <v>58540.31</v>
      </c>
      <c r="BB5" s="18">
        <f t="shared" si="1"/>
        <v>55436.959999999999</v>
      </c>
      <c r="BC5" s="18">
        <f t="shared" si="1"/>
        <v>3103.3500000000004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2996.9</v>
      </c>
      <c r="BM5" s="18">
        <f t="shared" si="1"/>
        <v>0</v>
      </c>
      <c r="BN5" s="18">
        <f t="shared" si="1"/>
        <v>0</v>
      </c>
      <c r="BO5" s="18">
        <f t="shared" si="1"/>
        <v>0</v>
      </c>
      <c r="BP5" s="18">
        <f t="shared" si="1"/>
        <v>2996.9</v>
      </c>
      <c r="BQ5" s="18">
        <f t="shared" si="1"/>
        <v>0</v>
      </c>
      <c r="BR5" s="18">
        <f t="shared" si="1"/>
        <v>0</v>
      </c>
      <c r="BS5" s="18">
        <f t="shared" si="1"/>
        <v>0</v>
      </c>
      <c r="BT5" s="19">
        <f t="shared" si="1"/>
        <v>0</v>
      </c>
    </row>
    <row r="6" spans="1:72" s="2180" customFormat="1" ht="12.75">
      <c r="A6" s="15" t="s">
        <v>1881</v>
      </c>
      <c r="B6" s="2177"/>
      <c r="C6" s="2177"/>
      <c r="D6" s="2178"/>
      <c r="E6" s="16">
        <f>H6+AC6+AT6</f>
        <v>23731.26</v>
      </c>
      <c r="F6" s="16" t="s">
        <v>1</v>
      </c>
      <c r="G6" s="16" t="s">
        <v>2</v>
      </c>
      <c r="H6" s="20">
        <f>SUMIF(I$12:AB$12,"总值",I6:AB6)</f>
        <v>22575.53</v>
      </c>
      <c r="I6" s="16">
        <f t="shared" ref="I6:AB6" si="2">ROUND($A$3*I5/$B$3,2)</f>
        <v>21378.75</v>
      </c>
      <c r="J6" s="16">
        <f t="shared" si="2"/>
        <v>0</v>
      </c>
      <c r="K6" s="16">
        <f t="shared" si="2"/>
        <v>1196.78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1155.73</v>
      </c>
      <c r="AD6" s="16">
        <f t="shared" ref="AD6:AS6" si="3">ROUND($A$3*AD5/$B$3,2)</f>
        <v>0</v>
      </c>
      <c r="AE6" s="16">
        <f t="shared" si="3"/>
        <v>0</v>
      </c>
      <c r="AF6" s="16">
        <f t="shared" si="3"/>
        <v>0</v>
      </c>
      <c r="AG6" s="16">
        <f t="shared" si="3"/>
        <v>0</v>
      </c>
      <c r="AH6" s="16">
        <f t="shared" si="3"/>
        <v>0</v>
      </c>
      <c r="AI6" s="16">
        <f t="shared" si="3"/>
        <v>0</v>
      </c>
      <c r="AJ6" s="16">
        <f t="shared" si="3"/>
        <v>1155.73</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23731.26</v>
      </c>
      <c r="AZ6" s="16" t="s">
        <v>3</v>
      </c>
      <c r="BA6" s="16">
        <f>ROUND($AY$6*BA5/$AZ$5,2)</f>
        <v>22575.53</v>
      </c>
      <c r="BB6" s="16">
        <f>ROUND($AY$6*BB5/$AZ$5,2)</f>
        <v>21378.75</v>
      </c>
      <c r="BC6" s="16">
        <f t="shared" ref="BC6:BH6" si="4">ROUND($AY$6*BC5/$AZ$5,2)</f>
        <v>1196.78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1155.73</v>
      </c>
      <c r="BM6" s="16">
        <f t="shared" si="5"/>
        <v>0</v>
      </c>
      <c r="BN6" s="16">
        <f t="shared" si="5"/>
        <v>0</v>
      </c>
      <c r="BO6" s="16">
        <f t="shared" si="5"/>
        <v>0</v>
      </c>
      <c r="BP6" s="16">
        <f t="shared" si="5"/>
        <v>1155.73</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3061</v>
      </c>
      <c r="J9" s="984"/>
      <c r="K9" s="2194" t="s">
        <v>3098</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3099</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3062</v>
      </c>
      <c r="J11" s="2206"/>
      <c r="K11" s="2205" t="s">
        <v>3099</v>
      </c>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办公楼</v>
      </c>
      <c r="BC12" s="2215" t="str">
        <f>K11</f>
        <v>车库</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3105</v>
      </c>
      <c r="D13" s="2216" t="s">
        <v>3060</v>
      </c>
      <c r="E13" s="16">
        <f>IF($C$3="是",ROUND($A$3*G13/$B$3,2),ROUND($A$3*(G13-AT13)/$B$3,2))</f>
        <v>22534.48</v>
      </c>
      <c r="F13" s="32"/>
      <c r="G13" s="33">
        <f>H13+AC13+AT13</f>
        <v>58433.86</v>
      </c>
      <c r="H13" s="20">
        <f>SUMIF(I$12:AB$12,"总值",I13:AB13)</f>
        <v>55436.959999999999</v>
      </c>
      <c r="I13" s="2217">
        <v>55436.959999999999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2996.9</v>
      </c>
      <c r="AD13" s="2218"/>
      <c r="AE13" s="2218"/>
      <c r="AF13" s="2218"/>
      <c r="AG13" s="2218"/>
      <c r="AH13" s="2218"/>
      <c r="AI13" s="2218"/>
      <c r="AJ13" s="2218">
        <f>2996.9</f>
        <v>2996.9</v>
      </c>
      <c r="AK13" s="2218"/>
      <c r="AL13" s="2218"/>
      <c r="AM13" s="2218"/>
      <c r="AN13" s="2218"/>
      <c r="AO13" s="2218"/>
      <c r="AP13" s="2218"/>
      <c r="AQ13" s="2218"/>
      <c r="AR13" s="2218"/>
      <c r="AS13" s="2218"/>
      <c r="AT13" s="2219"/>
      <c r="AU13" s="2220"/>
      <c r="AV13" s="11">
        <f t="shared" ref="AV13:AX17" si="6">A13</f>
        <v>0</v>
      </c>
      <c r="AW13" s="11">
        <f t="shared" si="6"/>
        <v>0</v>
      </c>
      <c r="AX13" s="11" t="str">
        <f t="shared" si="6"/>
        <v>B座地上</v>
      </c>
      <c r="AY13" s="1809">
        <f>ROUND($AY$6*AZ13/$AZ$5,2)</f>
        <v>22534.48</v>
      </c>
      <c r="AZ13" s="16">
        <f>BA13+BL13</f>
        <v>58433.86</v>
      </c>
      <c r="BA13" s="16">
        <f>SUM(BB13:BK13)</f>
        <v>55436.959999999999</v>
      </c>
      <c r="BB13" s="16">
        <f>IF($D13="是",I13-J13,0)</f>
        <v>55436.959999999999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2996.9</v>
      </c>
      <c r="BM13" s="16">
        <f>IF($D13="是",AD13-AE13,0)</f>
        <v>0</v>
      </c>
      <c r="BN13" s="16">
        <f>IF($D13="是",AF13-AG13,0)</f>
        <v>0</v>
      </c>
      <c r="BO13" s="16">
        <f>IF($D13="是",AH13-AI13,0)</f>
        <v>0</v>
      </c>
      <c r="BP13" s="16">
        <f>IF($D13="是",AJ13-AK13,0)</f>
        <v>2996.9</v>
      </c>
      <c r="BQ13" s="16">
        <f>IF($D13="是",AL13-AM13,0)</f>
        <v>0</v>
      </c>
      <c r="BR13" s="16">
        <f>IF($D13="是",AN13-AO13,0)</f>
        <v>0</v>
      </c>
      <c r="BS13" s="16">
        <f>IF($D13="是",AP13-AQ13,0)</f>
        <v>0</v>
      </c>
      <c r="BT13" s="22">
        <f>IF($D13="是",AR13-AS13,0)</f>
        <v>0</v>
      </c>
    </row>
    <row r="14" spans="1:72" s="2170" customFormat="1" ht="12.75">
      <c r="A14" s="1275"/>
      <c r="B14" s="1275"/>
      <c r="C14" s="2156" t="s">
        <v>3106</v>
      </c>
      <c r="D14" s="2216" t="s">
        <v>3060</v>
      </c>
      <c r="E14" s="16">
        <f>IF($C$3="是",ROUND($A$3*G14/$B$3,2),ROUND($A$3*(G14-AT14)/$B$3,2))</f>
        <v>1196.78</v>
      </c>
      <c r="F14" s="32"/>
      <c r="G14" s="33">
        <f>H14+AC14+AT14</f>
        <v>3103.3500000000004</v>
      </c>
      <c r="H14" s="20">
        <f>SUMIF(I$12:AB$12,"总值",I14:AB14)</f>
        <v>3103.3500000000004</v>
      </c>
      <c r="I14" s="2217"/>
      <c r="J14" s="2217"/>
      <c r="K14" s="2217">
        <f>1783.42+1319.93</f>
        <v>3103.3500000000004</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B座地下</v>
      </c>
      <c r="AY14" s="1809">
        <f>ROUND($AY$6*AZ14/$AZ$5,2)</f>
        <v>1196.78</v>
      </c>
      <c r="AZ14" s="16">
        <f>BA14+BL14</f>
        <v>3103.3500000000004</v>
      </c>
      <c r="BA14" s="16">
        <f>SUM(BB14:BK14)</f>
        <v>3103.3500000000004</v>
      </c>
      <c r="BB14" s="16">
        <f>IF($D14="是",I14-J14,0)</f>
        <v>0</v>
      </c>
      <c r="BC14" s="16">
        <f>IF($D14="是",K14-L14,0)</f>
        <v>3103.3500000000004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48" t="s">
        <v>1940</v>
      </c>
      <c r="B2" s="3048"/>
      <c r="C2" s="3048"/>
      <c r="D2" s="970" t="s">
        <v>1916</v>
      </c>
      <c r="E2" s="2230" t="s">
        <v>1917</v>
      </c>
      <c r="F2" s="1395"/>
      <c r="G2" s="2231"/>
      <c r="H2" s="2232"/>
      <c r="I2" s="2233" t="s">
        <v>1941</v>
      </c>
      <c r="J2" s="1395"/>
      <c r="K2" s="1395"/>
      <c r="L2" s="1395"/>
      <c r="M2" s="1395"/>
      <c r="N2" s="1430"/>
      <c r="O2" s="1395"/>
      <c r="P2" s="1395"/>
    </row>
    <row r="3" spans="1:16" ht="15.75" thickBot="1">
      <c r="A3" s="3049" t="s">
        <v>1914</v>
      </c>
      <c r="B3" s="3049"/>
      <c r="C3" s="3049"/>
      <c r="D3" s="46">
        <f>'数据-基础表'!AY6</f>
        <v>23731.26</v>
      </c>
      <c r="E3" s="46">
        <f>'数据-基础表'!AZ5</f>
        <v>61537.21</v>
      </c>
      <c r="F3" s="1395"/>
      <c r="G3" s="1402"/>
      <c r="H3" s="1250" t="s">
        <v>1915</v>
      </c>
      <c r="I3" s="55">
        <f>ROUND('数据-基础表'!B3/'数据-基础表'!A3,2)</f>
        <v>2.59</v>
      </c>
      <c r="J3" s="1395"/>
      <c r="K3" s="1395"/>
      <c r="L3" s="1395"/>
      <c r="M3" s="1395"/>
      <c r="N3" s="1430"/>
      <c r="O3" s="1395"/>
      <c r="P3" s="1395"/>
    </row>
    <row r="4" spans="1:16" ht="15">
      <c r="A4" s="3050"/>
      <c r="B4" s="3051"/>
      <c r="C4" s="3052"/>
      <c r="D4" s="2234" t="s">
        <v>1916</v>
      </c>
      <c r="E4" s="2235" t="s">
        <v>1917</v>
      </c>
      <c r="F4" s="1395"/>
      <c r="G4" s="2236" t="s">
        <v>1942</v>
      </c>
      <c r="H4" s="1250" t="s">
        <v>1922</v>
      </c>
      <c r="I4" s="55">
        <f>ROUND(SUMIF('数据-基础表'!I9:AS9,"地上",'数据-基础表'!I5:AS5)/'数据-基础表'!A3,2)</f>
        <v>2.34</v>
      </c>
      <c r="J4" s="1395"/>
      <c r="K4" s="1395"/>
      <c r="L4" s="1395"/>
      <c r="M4" s="1395"/>
      <c r="N4" s="1430"/>
      <c r="O4" s="1395"/>
      <c r="P4" s="1395"/>
    </row>
    <row r="5" spans="1:16">
      <c r="A5" s="47" t="s">
        <v>1918</v>
      </c>
      <c r="B5" s="3053" t="s">
        <v>1919</v>
      </c>
      <c r="C5" s="3053"/>
      <c r="D5" s="48">
        <f>ROUND($D$3*E5/$E$3,2)</f>
        <v>0</v>
      </c>
      <c r="E5" s="49">
        <f>SUMIF('数据-基础表'!$11:$11,"住宅",'数据-基础表'!$5:$5)</f>
        <v>0</v>
      </c>
      <c r="F5" s="1395"/>
      <c r="G5" s="1402"/>
      <c r="H5" s="1250" t="s">
        <v>1915</v>
      </c>
      <c r="I5" s="55">
        <f>ROUND(E31/D31,2)</f>
        <v>2.59</v>
      </c>
      <c r="J5" s="1395"/>
      <c r="K5" s="1395"/>
      <c r="L5" s="1395"/>
      <c r="M5" s="1395"/>
      <c r="N5" s="1395"/>
      <c r="O5" s="1395"/>
      <c r="P5" s="1395"/>
    </row>
    <row r="6" spans="1:16" ht="15" thickBot="1">
      <c r="A6" s="2237"/>
      <c r="B6" s="3053" t="s">
        <v>1920</v>
      </c>
      <c r="C6" s="3053"/>
      <c r="D6" s="48">
        <f>ROUND($D$3*E6/$E$3,2)</f>
        <v>23731.26</v>
      </c>
      <c r="E6" s="49">
        <f>E3-E5</f>
        <v>61537.21</v>
      </c>
      <c r="F6" s="1395"/>
      <c r="G6" s="2238" t="s">
        <v>1921</v>
      </c>
      <c r="H6" s="1402" t="s">
        <v>1922</v>
      </c>
      <c r="I6" s="942">
        <f>ROUND(F31/D31,2)</f>
        <v>2.34</v>
      </c>
      <c r="J6" s="1395"/>
      <c r="K6" s="1395"/>
      <c r="L6" s="1395"/>
      <c r="M6" s="1395"/>
      <c r="N6" s="1395"/>
      <c r="O6" s="1395"/>
      <c r="P6" s="1395"/>
    </row>
    <row r="7" spans="1:16" ht="15">
      <c r="A7" s="3045"/>
      <c r="B7" s="3046"/>
      <c r="C7" s="3047"/>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21378.75</v>
      </c>
      <c r="E8" s="51">
        <f>SUMIF('数据-基础表'!BB10:BK10,"地上",'数据-基础表'!BB5:BK5)</f>
        <v>55436.959999999999</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1155.73</v>
      </c>
      <c r="E11" s="51">
        <f>SUMPRODUCT(('数据-基础表'!BB10:BK10="地下")*('数据-基础表'!BB11:BK11="办公")*('数据-基础表'!BB5:BK5))+'数据-基础表'!BP5</f>
        <v>2996.9</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1196.78</v>
      </c>
      <c r="E13" s="51">
        <f>SUMPRODUCT(('数据-基础表'!BB10:BK10="地下")*('数据-基础表'!BB11:BK11="车库")*('数据-基础表'!BB5:BK5))</f>
        <v>3103.3500000000004</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23731.26</v>
      </c>
      <c r="E16" s="53">
        <f>SUM(E8:E15)</f>
        <v>61537.21</v>
      </c>
      <c r="F16" s="1395"/>
      <c r="G16" s="2240"/>
      <c r="H16" s="2243" t="s">
        <v>1944</v>
      </c>
      <c r="I16" s="2244"/>
      <c r="J16" s="1395"/>
      <c r="K16" s="3042" t="s">
        <v>1944</v>
      </c>
      <c r="L16" s="3043"/>
      <c r="M16" s="3043"/>
      <c r="N16" s="3043"/>
      <c r="O16" s="3043"/>
      <c r="P16" s="3044"/>
    </row>
    <row r="17" spans="1:19" ht="15">
      <c r="A17" s="2245" t="s">
        <v>1945</v>
      </c>
      <c r="B17" s="2246" t="s">
        <v>1946</v>
      </c>
      <c r="C17" s="2247" t="s">
        <v>1947</v>
      </c>
      <c r="D17" s="2248" t="s">
        <v>1935</v>
      </c>
      <c r="E17" s="2249" t="s">
        <v>1936</v>
      </c>
      <c r="F17" s="2250"/>
      <c r="G17" s="2251"/>
      <c r="H17" s="2252" t="s">
        <v>1948</v>
      </c>
      <c r="I17" s="2253" t="s">
        <v>1933</v>
      </c>
      <c r="J17" s="1395"/>
      <c r="K17" s="3039" t="s">
        <v>1949</v>
      </c>
      <c r="L17" s="3040"/>
      <c r="M17" s="3041"/>
      <c r="N17" s="3039" t="s">
        <v>1950</v>
      </c>
      <c r="O17" s="3040"/>
      <c r="P17" s="3041"/>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263" t="str">
        <f>'数据-基础表'!C13</f>
        <v>B座地上</v>
      </c>
      <c r="D19" s="48">
        <f>ROUND($D$3*E19/$E$3,2)</f>
        <v>21378.75</v>
      </c>
      <c r="E19" s="56">
        <f t="shared" ref="E19:E26" si="1">SUM(F19:G19)</f>
        <v>55436.959999999999</v>
      </c>
      <c r="F19" s="57">
        <f>'数据-基础表'!I13</f>
        <v>55436.959999999999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21378.75</v>
      </c>
      <c r="S19" s="1251">
        <f t="shared" si="5"/>
        <v>55436.959999999999</v>
      </c>
    </row>
    <row r="20" spans="1:19">
      <c r="A20" s="2266"/>
      <c r="B20" s="50" t="s">
        <v>1962</v>
      </c>
      <c r="C20" s="2263" t="str">
        <f>'数据-基础表'!C14</f>
        <v>B座地下</v>
      </c>
      <c r="D20" s="48">
        <f t="shared" ref="D20:D26" si="6">ROUND($D$3*E20/$E$3,2)</f>
        <v>1196.78</v>
      </c>
      <c r="E20" s="56">
        <f t="shared" si="1"/>
        <v>3103.3500000000004</v>
      </c>
      <c r="F20" s="57"/>
      <c r="G20" s="58">
        <f>'数据-基础表'!K14</f>
        <v>3103.3500000000004</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1196.78</v>
      </c>
      <c r="S20" s="1251">
        <f t="shared" si="5"/>
        <v>3103.3500000000004</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43.5" thickBot="1">
      <c r="A27" s="2266"/>
      <c r="B27" s="48"/>
      <c r="C27" s="2269" t="s">
        <v>1963</v>
      </c>
      <c r="D27" s="1396">
        <f>SUM(D19:D26)</f>
        <v>22575.53</v>
      </c>
      <c r="E27" s="1397">
        <f>IF(SUM(E19:E26)='数据-基础表'!BA5,SUM(E19:E26),IF(F27="地上面积有误","面积有误","地下面积有误"))</f>
        <v>58540.31</v>
      </c>
      <c r="F27" s="1396">
        <f>IF(SUM(F19:F26)=E8,SUM(F19:F26),"地上面积有误")</f>
        <v>55436.959999999999</v>
      </c>
      <c r="G27" s="1398">
        <f>SUM(G19:G26)</f>
        <v>3103.3500000000004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22575.53误差-1155.73</v>
      </c>
      <c r="S27" s="1250" t="str">
        <f>IF(SUM(S19:S26)=$E$3,SUM(S19:S26),SUM(S19:S26)&amp;"误差"&amp;ROUND(SUM(S19:S26)-E3,2))</f>
        <v>58540.31误差-2996.9</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1155.73</v>
      </c>
      <c r="E29" s="56">
        <f>SUM(F29:G29)</f>
        <v>2996.9</v>
      </c>
      <c r="F29" s="66">
        <f>'数据-基础表'!BM5+'数据-基础表'!BO5</f>
        <v>0</v>
      </c>
      <c r="G29" s="67">
        <f>'数据-基础表'!BN5+'数据-基础表'!BP5</f>
        <v>2996.9</v>
      </c>
      <c r="H29" s="1395"/>
      <c r="I29" s="1395"/>
      <c r="J29" s="1395"/>
      <c r="K29" s="1395"/>
      <c r="L29" s="1395"/>
      <c r="M29" s="1395"/>
      <c r="N29" s="1395"/>
      <c r="O29" s="1395"/>
      <c r="P29" s="1395"/>
    </row>
    <row r="30" spans="1:19" ht="15">
      <c r="A30" s="2266"/>
      <c r="B30" s="50"/>
      <c r="C30" s="2271" t="s">
        <v>1963</v>
      </c>
      <c r="D30" s="1396">
        <f>SUM(D28:D29)</f>
        <v>1155.73</v>
      </c>
      <c r="E30" s="1396">
        <f>SUM(E28:E29)</f>
        <v>2996.9</v>
      </c>
      <c r="F30" s="1396">
        <f>SUM(F28:F29)</f>
        <v>0</v>
      </c>
      <c r="G30" s="1398">
        <f>SUM(G28:G29)</f>
        <v>2996.9</v>
      </c>
      <c r="H30" s="1395"/>
      <c r="I30" s="1395"/>
      <c r="J30" s="1395"/>
      <c r="K30" s="1395"/>
      <c r="L30" s="1395"/>
      <c r="M30" s="1395"/>
      <c r="N30" s="1395"/>
      <c r="O30" s="1395"/>
      <c r="P30" s="1395"/>
    </row>
    <row r="31" spans="1:19" ht="15.75" thickBot="1">
      <c r="A31" s="2272"/>
      <c r="B31" s="2273"/>
      <c r="C31" s="1010" t="s">
        <v>1967</v>
      </c>
      <c r="D31" s="729">
        <f>D27+D30</f>
        <v>23731.26</v>
      </c>
      <c r="E31" s="729">
        <f>E27+E30</f>
        <v>61537.21</v>
      </c>
      <c r="F31" s="730">
        <f>F27+F30</f>
        <v>55436.959999999999</v>
      </c>
      <c r="G31" s="731">
        <f>G27+G30</f>
        <v>6100.25</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43334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3064</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B座地上</v>
      </c>
      <c r="B6" s="2310" t="str">
        <f>IF(A6=0,"","经营性")</f>
        <v>经营性</v>
      </c>
      <c r="C6" s="2311" t="s">
        <v>27</v>
      </c>
      <c r="D6" s="1054">
        <f>SUMIF(项目基本情况!D$12:I$12,C6,项目基本情况!D$14:I$14)</f>
        <v>50</v>
      </c>
      <c r="E6" s="1051">
        <f>IF(B6="","",SUMIF(项目基本情况!D$12:I$12,C6,项目基本情况!D$13:I$13))</f>
        <v>56317</v>
      </c>
      <c r="F6" s="72">
        <f>SUMIF(项目基本情况!D$12:I$12,C6,项目基本情况!D$15:I$15)</f>
        <v>35.56</v>
      </c>
      <c r="G6" s="73">
        <f>IF(ISERROR(ROUND(POWER(1+H6,D6-F6)*(POWER(1+H6,F6)-1)/(POWER(1+H6,D6)-1),3)),0,ROUND(POWER(1+H6,D6-F6)*(POWER(1+H6,F6)-1)/(POWER(1+H6,D6)-1),3))</f>
        <v>0.91400000000000003</v>
      </c>
      <c r="H6" s="802">
        <v>5.5E-2</v>
      </c>
      <c r="I6" s="802">
        <v>0.06</v>
      </c>
      <c r="J6" s="74">
        <v>0.09</v>
      </c>
      <c r="K6" s="1254">
        <f>SUMIF('数据-汇总表'!C$19:C$33,A6,'数据-汇总表'!E$19:E$33)</f>
        <v>55436.959999999999</v>
      </c>
      <c r="L6" s="803">
        <v>5000</v>
      </c>
      <c r="M6" s="75">
        <f t="shared" ref="M6:M14" si="0">ROUND(K6*L6/10000,0)</f>
        <v>27718</v>
      </c>
      <c r="N6" s="801">
        <f>Y6</f>
        <v>0.9</v>
      </c>
      <c r="O6" s="75" t="str">
        <f>IF($N$5="成新度","——",ROUND(M6*N6,0))</f>
        <v>——</v>
      </c>
      <c r="P6" s="76" t="str">
        <f>IF($N$5="成新度","——",M6-O6)</f>
        <v>——</v>
      </c>
      <c r="Q6" s="804">
        <v>0.1</v>
      </c>
      <c r="R6" s="77">
        <f ca="1">SUMIF('数据-汇总表'!C$19:C$33,A6,'数据-汇总表'!R$19:R$27)</f>
        <v>21378.75</v>
      </c>
      <c r="S6" s="54">
        <f>IF('数据-汇总表'!$I$17="按面积比例",SUMIF('数据-汇总表'!C$19:C$33,A6,'数据-汇总表'!K$19:K$33),SUMIF('数据-汇总表'!C$19:C$33,A6,'数据-汇总表'!N$19:N$33))</f>
        <v>0</v>
      </c>
      <c r="T6" s="1446">
        <f>ROUND($L$14*S6/10000,0)</f>
        <v>0</v>
      </c>
      <c r="U6" s="78">
        <v>5</v>
      </c>
      <c r="V6" s="79">
        <v>1.4999999999999999E-2</v>
      </c>
      <c r="W6" s="79">
        <v>0.4</v>
      </c>
      <c r="X6" s="1264"/>
      <c r="Y6" s="80">
        <f>ROUND(1-(2018-2012)/60,2)</f>
        <v>0.9</v>
      </c>
      <c r="Z6" s="81"/>
      <c r="AA6" s="74"/>
      <c r="AB6" s="74"/>
      <c r="AC6" s="1264"/>
      <c r="AD6" s="82">
        <f>Y6</f>
        <v>0.9</v>
      </c>
      <c r="AE6" s="1265">
        <f ca="1">IF(AN6="",0,SUMIF(INDIRECT("'"&amp;AN6&amp;"'"&amp;"!E:E"),$AE$5,INDIRECT("'"&amp;AN6&amp;"'"&amp;"!F:F")))</f>
        <v>35.56</v>
      </c>
      <c r="AF6" s="1807"/>
      <c r="AG6" s="147">
        <f>IF(AF6="",0,AE6-AF6)</f>
        <v>0</v>
      </c>
      <c r="AH6" s="83"/>
      <c r="AI6" s="85">
        <v>365</v>
      </c>
      <c r="AJ6" s="86"/>
      <c r="AK6" s="87">
        <v>0.02</v>
      </c>
      <c r="AL6" s="88">
        <v>2E-3</v>
      </c>
      <c r="AM6" s="89">
        <v>0.03</v>
      </c>
      <c r="AN6" s="2312" t="s">
        <v>3063</v>
      </c>
      <c r="AO6" s="55">
        <f ca="1">SUMIF(INDIRECT("'"&amp;AN6&amp;"'"&amp;"!A:A"),"总价",INDIRECT("'"&amp;AN6&amp;"'"&amp;"!B:B"))</f>
        <v>69655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B座地下</v>
      </c>
      <c r="B7" s="2310" t="str">
        <f t="shared" ref="B7:B13" si="1">IF(A7=0,"","经营性")</f>
        <v>经营性</v>
      </c>
      <c r="C7" s="2311" t="s">
        <v>27</v>
      </c>
      <c r="D7" s="1054">
        <f>SUMIF(项目基本情况!D$12:I$12,C7,项目基本情况!D$14:I$14)</f>
        <v>50</v>
      </c>
      <c r="E7" s="1051">
        <f>IF(B7="","",SUMIF(项目基本情况!D$12:I$12,C7,项目基本情况!D$13:I$13))</f>
        <v>56317</v>
      </c>
      <c r="F7" s="72">
        <f>SUMIF(项目基本情况!D$12:I$12,C7,项目基本情况!D$15:I$15)</f>
        <v>35.56</v>
      </c>
      <c r="G7" s="73">
        <f t="shared" ref="G7:G11" si="2">IF(ISERROR(ROUND(POWER(1+H7,D7-F7)*(POWER(1+H7,F7)-1)/(POWER(1+H7,D7)-1),3)),0,ROUND(POWER(1+H7,D7-F7)*(POWER(1+H7,F7)-1)/(POWER(1+H7,D7)-1),3))</f>
        <v>0.91400000000000003</v>
      </c>
      <c r="H7" s="802">
        <v>5.5E-2</v>
      </c>
      <c r="I7" s="802">
        <v>0.06</v>
      </c>
      <c r="J7" s="74">
        <v>0.09</v>
      </c>
      <c r="K7" s="1254">
        <f>SUMIF('数据-汇总表'!C$19:C$33,A7,'数据-汇总表'!E$19:E$33)</f>
        <v>3103.3500000000004</v>
      </c>
      <c r="L7" s="803">
        <v>4000</v>
      </c>
      <c r="M7" s="75">
        <f t="shared" si="0"/>
        <v>1241</v>
      </c>
      <c r="N7" s="801">
        <f>N6</f>
        <v>0.9</v>
      </c>
      <c r="O7" s="75" t="str">
        <f t="shared" ref="O7:O14" si="3">IF($N$5="成新度","——",ROUND(M7*N7,0))</f>
        <v>——</v>
      </c>
      <c r="P7" s="76" t="str">
        <f t="shared" ref="P7:P14" si="4">IF($N$5="成新度","——",M7-O7)</f>
        <v>——</v>
      </c>
      <c r="Q7" s="804">
        <v>0.05</v>
      </c>
      <c r="R7" s="77">
        <f ca="1">SUMIF('数据-汇总表'!C$19:C$33,A7,'数据-汇总表'!R$19:R$27)</f>
        <v>1196.78</v>
      </c>
      <c r="S7" s="54">
        <f>IF('数据-汇总表'!$I$17="按面积比例",SUMIF('数据-汇总表'!C$19:C$33,A7,'数据-汇总表'!K$19:K$33),SUMIF('数据-汇总表'!C$19:C$33,A7,'数据-汇总表'!N$19:N$33))</f>
        <v>0</v>
      </c>
      <c r="T7" s="1446">
        <f t="shared" ref="T7:T13" si="5">ROUND($L$14*S7/10000,0)</f>
        <v>0</v>
      </c>
      <c r="U7" s="78">
        <v>500</v>
      </c>
      <c r="V7" s="79">
        <v>1.4999999999999999E-2</v>
      </c>
      <c r="W7" s="79">
        <v>0.4</v>
      </c>
      <c r="X7" s="1264"/>
      <c r="Y7" s="80">
        <f>Y6</f>
        <v>0.9</v>
      </c>
      <c r="Z7" s="81"/>
      <c r="AA7" s="74"/>
      <c r="AB7" s="74"/>
      <c r="AC7" s="1264"/>
      <c r="AD7" s="82">
        <f>Y7</f>
        <v>0.9</v>
      </c>
      <c r="AE7" s="1265">
        <f t="shared" ref="AE7:AE13" ca="1" si="6">IF(AN7="",0,SUMIF(INDIRECT("'"&amp;AN7&amp;"'"&amp;"!E:E"),$AE$5,INDIRECT("'"&amp;AN7&amp;"'"&amp;"!F:F")))</f>
        <v>35.56</v>
      </c>
      <c r="AF7" s="1807"/>
      <c r="AG7" s="147">
        <f t="shared" ref="AG7:AG13" si="7">IF(AF7="",0,AE7-AF7)</f>
        <v>0</v>
      </c>
      <c r="AH7" s="83">
        <v>72</v>
      </c>
      <c r="AI7" s="85">
        <v>12</v>
      </c>
      <c r="AJ7" s="86"/>
      <c r="AK7" s="87">
        <v>0.02</v>
      </c>
      <c r="AL7" s="88">
        <v>2E-3</v>
      </c>
      <c r="AM7" s="89">
        <v>0.03</v>
      </c>
      <c r="AN7" s="2312" t="s">
        <v>3100</v>
      </c>
      <c r="AO7" s="55">
        <f t="shared" ref="AO7:AO13" ca="1" si="8">SUMIF(INDIRECT("'"&amp;AN7&amp;"'"&amp;"!A:A"),"总价",INDIRECT("'"&amp;AN7&amp;"'"&amp;"!B:B"))</f>
        <v>-280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2996.9</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0.91400000000000003</v>
      </c>
      <c r="H16" s="99">
        <f>ROUND(SUMPRODUCT(H6:H13,K6:K13)/SUMPRODUCT((H6:H13&gt;0)*(K6:K13)),3)</f>
        <v>5.5E-2</v>
      </c>
      <c r="I16" s="100"/>
      <c r="J16" s="100"/>
      <c r="K16" s="101">
        <f>SUM(K6:K15)</f>
        <v>61537.21</v>
      </c>
      <c r="L16" s="102">
        <f>ROUND(M16*10000/SUM(K6:K14),0)</f>
        <v>4947</v>
      </c>
      <c r="M16" s="102">
        <f>SUM(M6:M14)</f>
        <v>28959</v>
      </c>
      <c r="N16" s="103">
        <f>ROUND(SUMPRODUCT(M6:M14,N6:N14)/M16,3)</f>
        <v>0.9</v>
      </c>
      <c r="O16" s="102">
        <f>SUM(O6:O14)</f>
        <v>0</v>
      </c>
      <c r="P16" s="102">
        <f>SUM(P6:P14)</f>
        <v>0</v>
      </c>
      <c r="Q16" s="104">
        <f>ROUND(SUMPRODUCT(Q6:Q13,K6:K13)/SUMPRODUCT((Q6:Q13&gt;0)*(K6:K13)),2)</f>
        <v>0.1</v>
      </c>
      <c r="R16" s="1258">
        <f ca="1">SUM(R6:R13)</f>
        <v>22575.53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160</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 ca="1">成本法!C10</f>
        <v>1231</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0.04</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0.05</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v>0</v>
      </c>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5.0000000000000002E-5</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4" t="s">
        <v>2085</v>
      </c>
      <c r="B1" s="3055"/>
      <c r="C1" s="3055"/>
      <c r="D1" s="3055"/>
      <c r="E1" s="3055"/>
      <c r="F1" s="3055"/>
      <c r="G1" s="30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61537.21</v>
      </c>
      <c r="C1" s="1745"/>
      <c r="D1" s="1745"/>
      <c r="E1" s="1745"/>
      <c r="F1" s="1745"/>
      <c r="G1" s="1743"/>
    </row>
    <row r="2" spans="1:10" ht="16.5">
      <c r="A2" s="1746" t="s">
        <v>1353</v>
      </c>
      <c r="B2" s="1746">
        <f>SUM(C14:C23)</f>
        <v>23731.26</v>
      </c>
      <c r="C2" s="1745"/>
      <c r="D2" s="1745"/>
      <c r="E2" s="1745"/>
      <c r="F2" s="1745"/>
      <c r="G2" s="1743"/>
    </row>
    <row r="3" spans="1:10" ht="16.5">
      <c r="A3" s="1746" t="s">
        <v>1362</v>
      </c>
      <c r="B3" s="1747">
        <f>项目基本情况!D3</f>
        <v>43334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93406</v>
      </c>
      <c r="C5" s="1746">
        <f ca="1">ROUND(B5*10000/$B$1,0)</f>
        <v>15179</v>
      </c>
      <c r="D5" s="1746">
        <f ca="1">ROUND(B5*10000/$B$2,0)</f>
        <v>39360</v>
      </c>
      <c r="E5" s="1745"/>
      <c r="F5" s="1743"/>
      <c r="G5" s="1743"/>
    </row>
    <row r="6" spans="1:10" ht="16.5">
      <c r="A6" s="1746" t="s">
        <v>1356</v>
      </c>
      <c r="B6" s="1746">
        <f ca="1">SUM(G14:G23)</f>
        <v>93406</v>
      </c>
      <c r="C6" s="1746">
        <f ca="1">ROUND(B6*10000/$B$1,0)</f>
        <v>15179</v>
      </c>
      <c r="D6" s="1746">
        <f ca="1">ROUND(B6*10000/$B$2,0)</f>
        <v>39360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61537.21</v>
      </c>
      <c r="C14" s="1744">
        <f>结果表!C118</f>
        <v>23731.26</v>
      </c>
      <c r="D14" s="1744">
        <f ca="1">结果表!H118</f>
        <v>93406</v>
      </c>
      <c r="E14" s="1744">
        <f ca="1">ROUND(D14*10000/B14,0)</f>
        <v>15179</v>
      </c>
      <c r="F14" s="1744">
        <f ca="1">ROUND(D14*10000/C14,0)</f>
        <v>39360</v>
      </c>
      <c r="G14" s="1744">
        <f ca="1">结果表!D122</f>
        <v>93406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9" sqref="I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2122</v>
      </c>
      <c r="B1" s="2422"/>
      <c r="C1" s="2423"/>
      <c r="D1" s="2422"/>
      <c r="E1" s="2422"/>
      <c r="F1" s="2424" t="s">
        <v>2123</v>
      </c>
      <c r="G1" s="2073" t="s">
        <v>2124</v>
      </c>
      <c r="H1" s="2425" t="str">
        <f>IF(G1="现房","——","估价对象范围")</f>
        <v>估价对象范围</v>
      </c>
      <c r="I1" s="2426"/>
    </row>
    <row r="2" spans="1:12" ht="21.75" customHeight="1" thickBot="1">
      <c r="A2" s="3089" t="str">
        <f>项目基本情况!S2</f>
        <v>北京市出让国有建设用地使用权及在建建筑物房地产</v>
      </c>
      <c r="B2" s="3090"/>
      <c r="C2" s="3090"/>
      <c r="D2" s="3090"/>
      <c r="E2" s="3090"/>
      <c r="F2" s="3090"/>
      <c r="G2" s="3090"/>
      <c r="H2" s="3090"/>
      <c r="I2" s="3091"/>
    </row>
    <row r="3" spans="1:12" ht="12.75">
      <c r="A3" s="3093" t="s">
        <v>2125</v>
      </c>
      <c r="B3" s="3094"/>
      <c r="C3" s="3094"/>
      <c r="D3" s="3094"/>
      <c r="E3" s="3094"/>
      <c r="F3" s="3094"/>
      <c r="G3" s="3094"/>
      <c r="H3" s="3094"/>
      <c r="I3" s="3094"/>
    </row>
    <row r="4" spans="1:12" ht="14.25">
      <c r="A4" s="2429" t="s">
        <v>2126</v>
      </c>
      <c r="B4" s="2430" t="s">
        <v>2127</v>
      </c>
      <c r="C4" s="2431" t="s">
        <v>3103</v>
      </c>
      <c r="D4" s="2431" t="s">
        <v>3104</v>
      </c>
      <c r="E4" s="3086" t="s">
        <v>2128</v>
      </c>
      <c r="F4" s="3087"/>
      <c r="G4" s="3087"/>
      <c r="H4" s="3087"/>
      <c r="I4" s="3095"/>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2129</v>
      </c>
      <c r="B5" s="3007">
        <v>25</v>
      </c>
      <c r="C5" s="3072"/>
      <c r="D5" s="3092"/>
      <c r="E5" s="140" t="s">
        <v>2130</v>
      </c>
      <c r="F5" s="2433"/>
      <c r="G5" s="2433"/>
      <c r="H5" s="2433"/>
      <c r="I5" s="1834"/>
    </row>
    <row r="6" spans="1:12" ht="12.75">
      <c r="A6" s="3069"/>
      <c r="B6" s="3007"/>
      <c r="C6" s="3073"/>
      <c r="D6" s="3092"/>
      <c r="E6" s="140" t="s">
        <v>2131</v>
      </c>
      <c r="F6" s="2433"/>
      <c r="G6" s="2433"/>
      <c r="H6" s="2433"/>
      <c r="I6" s="1834"/>
    </row>
    <row r="7" spans="1:12" ht="12.75">
      <c r="A7" s="3069"/>
      <c r="B7" s="3007"/>
      <c r="C7" s="3074"/>
      <c r="D7" s="3092"/>
      <c r="E7" s="140" t="s">
        <v>2132</v>
      </c>
      <c r="F7" s="2433"/>
      <c r="G7" s="2433"/>
      <c r="H7" s="2433"/>
      <c r="I7" s="1834"/>
    </row>
    <row r="8" spans="1:12" ht="12.75">
      <c r="A8" s="3069" t="s">
        <v>2133</v>
      </c>
      <c r="B8" s="3007">
        <v>15</v>
      </c>
      <c r="C8" s="3072"/>
      <c r="D8" s="3092"/>
      <c r="E8" s="140" t="s">
        <v>2134</v>
      </c>
      <c r="F8" s="2433"/>
      <c r="G8" s="2433"/>
      <c r="H8" s="2433"/>
      <c r="I8" s="1834"/>
    </row>
    <row r="9" spans="1:12" ht="12.75">
      <c r="A9" s="3069"/>
      <c r="B9" s="3007"/>
      <c r="C9" s="3074"/>
      <c r="D9" s="3092"/>
      <c r="E9" s="140" t="s">
        <v>2135</v>
      </c>
      <c r="F9" s="2433"/>
      <c r="G9" s="2433"/>
      <c r="H9" s="2433"/>
      <c r="I9" s="1834"/>
    </row>
    <row r="10" spans="1:12" ht="12.75">
      <c r="A10" s="3069" t="s">
        <v>2136</v>
      </c>
      <c r="B10" s="3007">
        <v>15</v>
      </c>
      <c r="C10" s="3072"/>
      <c r="D10" s="3092"/>
      <c r="E10" s="140" t="s">
        <v>2137</v>
      </c>
      <c r="F10" s="2433"/>
      <c r="G10" s="2433"/>
      <c r="H10" s="2433"/>
      <c r="I10" s="1834"/>
    </row>
    <row r="11" spans="1:12" ht="12.75">
      <c r="A11" s="3069"/>
      <c r="B11" s="3007"/>
      <c r="C11" s="3074"/>
      <c r="D11" s="3092"/>
      <c r="E11" s="140" t="s">
        <v>2138</v>
      </c>
      <c r="F11" s="2433"/>
      <c r="G11" s="2433"/>
      <c r="H11" s="2433"/>
      <c r="I11" s="1834"/>
    </row>
    <row r="12" spans="1:12" ht="12.75">
      <c r="A12" s="3069" t="s">
        <v>2139</v>
      </c>
      <c r="B12" s="3007">
        <v>15</v>
      </c>
      <c r="C12" s="3072"/>
      <c r="D12" s="3092"/>
      <c r="E12" s="140" t="s">
        <v>2140</v>
      </c>
      <c r="F12" s="2433"/>
      <c r="G12" s="2433"/>
      <c r="H12" s="2433"/>
      <c r="I12" s="1834"/>
    </row>
    <row r="13" spans="1:12" ht="12.75">
      <c r="A13" s="3069"/>
      <c r="B13" s="3007"/>
      <c r="C13" s="3074"/>
      <c r="D13" s="3092"/>
      <c r="E13" s="140" t="s">
        <v>2141</v>
      </c>
      <c r="F13" s="2433"/>
      <c r="G13" s="2433"/>
      <c r="H13" s="2433"/>
      <c r="I13" s="1834"/>
    </row>
    <row r="14" spans="1:12" ht="12.75">
      <c r="A14" s="3069" t="s">
        <v>2142</v>
      </c>
      <c r="B14" s="3007">
        <v>30</v>
      </c>
      <c r="C14" s="3072">
        <v>4</v>
      </c>
      <c r="D14" s="3092">
        <v>6</v>
      </c>
      <c r="E14" s="140" t="s">
        <v>2143</v>
      </c>
      <c r="F14" s="2433"/>
      <c r="G14" s="2433"/>
      <c r="H14" s="2433"/>
      <c r="I14" s="1834"/>
    </row>
    <row r="15" spans="1:12" ht="12.75">
      <c r="A15" s="3069"/>
      <c r="B15" s="3007"/>
      <c r="C15" s="3073"/>
      <c r="D15" s="3092"/>
      <c r="E15" s="140" t="s">
        <v>2144</v>
      </c>
      <c r="F15" s="2433"/>
      <c r="G15" s="2433"/>
      <c r="H15" s="2433"/>
      <c r="I15" s="1834"/>
    </row>
    <row r="16" spans="1:12" ht="12.75">
      <c r="A16" s="3069"/>
      <c r="B16" s="3007"/>
      <c r="C16" s="3074"/>
      <c r="D16" s="3092"/>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61537.21</v>
      </c>
      <c r="M18" s="2432">
        <f>IF(C1="",'数据-汇总表'!E3,SUMIF(项目类型,C1,'数据-汇总表'!E17:E26))</f>
        <v>61537.21</v>
      </c>
    </row>
    <row r="19" spans="1:35" ht="15">
      <c r="A19" s="2438" t="s">
        <v>2151</v>
      </c>
      <c r="B19" s="2439" t="s">
        <v>2152</v>
      </c>
      <c r="C19" s="143">
        <f ca="1">SUMIF(INDIRECT("'"&amp;C4&amp;"'"&amp;"!A:A"),结果表!B19,INDIRECT("'"&amp;C4&amp;"'"&amp;"!B:B"))</f>
        <v>129452</v>
      </c>
      <c r="D19" s="144">
        <f ca="1">SUMIF(INDIRECT("'"&amp;D4&amp;"'"&amp;"!A:A"),结果表!B19,INDIRECT("'"&amp;D4&amp;"'"&amp;"!B:B"))</f>
        <v>69375</v>
      </c>
      <c r="E19" s="2438" t="s">
        <v>2153</v>
      </c>
      <c r="F19" s="2439" t="s">
        <v>2152</v>
      </c>
      <c r="G19" s="145">
        <f ca="1">ROUND(C19*$C$18+D19*$D$18,0)</f>
        <v>93406</v>
      </c>
      <c r="H19" s="2440" t="s">
        <v>2154</v>
      </c>
      <c r="I19" s="138"/>
      <c r="K19" s="2432" t="s">
        <v>2155</v>
      </c>
      <c r="L19" s="2432">
        <f>IF(C1="",'数据-汇总表'!D3,SUMIF(项目类型,C1,'数据-汇总表'!D17:D26)+SUMIF(项目类型,C1,'数据-汇总表'!H17:H27))</f>
        <v>23731.26</v>
      </c>
      <c r="M19" s="2432">
        <f>IF(C1="",'数据-汇总表'!D3,SUMIF(项目类型,C1,'数据-汇总表'!D17:D26))</f>
        <v>23731.26</v>
      </c>
    </row>
    <row r="20" spans="1:35" ht="15">
      <c r="A20" s="2441"/>
      <c r="B20" s="1250" t="s">
        <v>2156</v>
      </c>
      <c r="C20" s="146">
        <f ca="1">SUMIF(INDIRECT("'"&amp;C4&amp;"'"&amp;"!A:A"),结果表!B20,INDIRECT("'"&amp;C4&amp;"'"&amp;"!B:B"))</f>
        <v>21036</v>
      </c>
      <c r="D20" s="147">
        <f ca="1">SUMIF(INDIRECT("'"&amp;D4&amp;"'"&amp;"!A:A"),结果表!B20,INDIRECT("'"&amp;D4&amp;"'"&amp;"!B:B"))</f>
        <v>11851</v>
      </c>
      <c r="E20" s="2441"/>
      <c r="F20" s="1250" t="s">
        <v>2156</v>
      </c>
      <c r="G20" s="148">
        <f ca="1">ROUND(C20*$C$18+D20*$D$18,0)</f>
        <v>15525</v>
      </c>
      <c r="H20" s="983" t="s">
        <v>2157</v>
      </c>
      <c r="I20" s="138"/>
    </row>
    <row r="21" spans="1:35" ht="15" customHeight="1" thickBot="1">
      <c r="A21" s="1003"/>
      <c r="B21" s="2442" t="s">
        <v>2158</v>
      </c>
      <c r="C21" s="789">
        <f ca="1">ROUND(C19*10000/L19,0)</f>
        <v>54549</v>
      </c>
      <c r="D21" s="790">
        <f ca="1">ROUND(D19*10000/L19,0)</f>
        <v>29234</v>
      </c>
      <c r="E21" s="1003"/>
      <c r="F21" s="2442" t="s">
        <v>2158</v>
      </c>
      <c r="G21" s="149">
        <f ca="1">ROUND(G19*10000/L19,0)</f>
        <v>39360</v>
      </c>
      <c r="H21" s="2443" t="s">
        <v>2157</v>
      </c>
      <c r="I21" s="138"/>
    </row>
    <row r="22" spans="1:35" ht="15" thickBot="1">
      <c r="A22" s="2284" t="s">
        <v>2159</v>
      </c>
      <c r="B22" s="2444"/>
      <c r="C22" s="2445"/>
      <c r="D22" s="791">
        <f ca="1">IF(C19&lt;D19,D19/C19-1,C19/D19-1)</f>
        <v>0.8659747747747748</v>
      </c>
      <c r="E22" s="138"/>
      <c r="F22" s="138"/>
      <c r="G22" s="138"/>
      <c r="H22" s="138"/>
      <c r="I22" s="138"/>
    </row>
    <row r="23" spans="1:35" ht="13.5" thickBot="1">
      <c r="A23" s="2422"/>
      <c r="B23" s="2422"/>
      <c r="C23" s="2422"/>
      <c r="D23" s="2422"/>
      <c r="E23" s="138"/>
      <c r="F23" s="138"/>
      <c r="G23" s="138"/>
      <c r="H23" s="138"/>
      <c r="I23" s="138"/>
    </row>
    <row r="24" spans="1:35" ht="14.25">
      <c r="A24" s="3063" t="s">
        <v>2160</v>
      </c>
      <c r="B24" s="2439" t="s">
        <v>2152</v>
      </c>
      <c r="C24" s="145">
        <f>IF(B30=0,0,D30)</f>
        <v>0</v>
      </c>
      <c r="D24" s="2446"/>
      <c r="E24" s="138"/>
      <c r="F24" s="138"/>
      <c r="G24" s="138"/>
      <c r="H24" s="138"/>
      <c r="I24" s="138"/>
    </row>
    <row r="25" spans="1:35" ht="14.25">
      <c r="A25" s="3064"/>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93406</v>
      </c>
      <c r="D32" s="2453" t="s">
        <v>2167</v>
      </c>
      <c r="E32" s="138"/>
      <c r="F32" s="138"/>
      <c r="G32" s="138"/>
      <c r="H32" s="138"/>
      <c r="I32" s="138">
        <v>2</v>
      </c>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081" t="s">
        <v>2174</v>
      </c>
      <c r="B36" s="2465" t="s">
        <v>2175</v>
      </c>
      <c r="C36" s="154"/>
      <c r="D36" s="2466"/>
      <c r="E36" s="2467"/>
      <c r="F36" s="2468"/>
      <c r="G36" s="138"/>
      <c r="H36" s="138"/>
      <c r="I36" s="138"/>
    </row>
    <row r="37" spans="1:15" ht="15.75" thickBot="1">
      <c r="A37" s="3082"/>
      <c r="B37" s="2270" t="s">
        <v>2176</v>
      </c>
      <c r="C37" s="156"/>
      <c r="D37" s="1395"/>
      <c r="E37" s="1395"/>
      <c r="F37" s="2468"/>
      <c r="G37" s="138"/>
      <c r="H37" s="138"/>
      <c r="I37" s="138"/>
    </row>
    <row r="38" spans="1:15" ht="15.75" thickBot="1">
      <c r="A38" s="3083"/>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60" t="s">
        <v>2188</v>
      </c>
      <c r="B45" s="3061"/>
      <c r="C45" s="3062"/>
      <c r="D45" s="164">
        <f ca="1">ROUND(H101*F45,0)</f>
        <v>93406</v>
      </c>
      <c r="E45" s="165" t="s">
        <v>2189</v>
      </c>
      <c r="F45" s="166">
        <v>1</v>
      </c>
      <c r="G45" s="167" t="s">
        <v>2190</v>
      </c>
      <c r="H45" s="138"/>
      <c r="I45" s="138"/>
      <c r="J45" s="3120" t="s">
        <v>2191</v>
      </c>
      <c r="K45" s="3120"/>
      <c r="L45" s="3120"/>
      <c r="M45" s="3120"/>
      <c r="N45" s="3120"/>
      <c r="O45" s="3120"/>
    </row>
    <row r="46" spans="1:15" ht="14.25" customHeight="1">
      <c r="A46" s="3057" t="s">
        <v>2192</v>
      </c>
      <c r="B46" s="3058"/>
      <c r="C46" s="3058"/>
      <c r="D46" s="3058"/>
      <c r="E46" s="3058"/>
      <c r="F46" s="3058"/>
      <c r="G46" s="3059"/>
      <c r="H46" s="2484"/>
      <c r="I46" s="168"/>
      <c r="J46" s="1812">
        <v>1</v>
      </c>
      <c r="K46" s="3120" t="s">
        <v>2193</v>
      </c>
      <c r="L46" s="3120"/>
      <c r="M46" s="3140"/>
      <c r="N46" s="3140"/>
      <c r="O46" s="3140"/>
    </row>
    <row r="47" spans="1:15" ht="12" customHeight="1">
      <c r="A47" s="169" t="s">
        <v>2194</v>
      </c>
      <c r="B47" s="170"/>
      <c r="C47" s="171"/>
      <c r="D47" s="172" t="s">
        <v>2195</v>
      </c>
      <c r="E47" s="24" t="s">
        <v>2196</v>
      </c>
      <c r="F47" s="173" t="s">
        <v>2197</v>
      </c>
      <c r="G47" s="174" t="s">
        <v>2198</v>
      </c>
      <c r="H47" s="2484"/>
      <c r="I47" s="168"/>
      <c r="J47" s="1812">
        <v>2</v>
      </c>
      <c r="K47" s="3120" t="s">
        <v>2199</v>
      </c>
      <c r="L47" s="3120"/>
      <c r="M47" s="3141">
        <f>'数据-取费表'!B2</f>
        <v>43334</v>
      </c>
      <c r="N47" s="3141"/>
      <c r="O47" s="3141"/>
    </row>
    <row r="48" spans="1:15" ht="25.5">
      <c r="A48" s="3088" t="s">
        <v>2200</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20" t="s">
        <v>2203</v>
      </c>
      <c r="L48" s="3120"/>
      <c r="M48" s="3142">
        <f ca="1">H101</f>
        <v>93406</v>
      </c>
      <c r="N48" s="3142"/>
      <c r="O48" s="3142"/>
    </row>
    <row r="49" spans="1:35" ht="25.5" customHeight="1">
      <c r="A49" s="176" t="s">
        <v>2204</v>
      </c>
      <c r="B49" s="3056" t="s">
        <v>2205</v>
      </c>
      <c r="C49" s="3056"/>
      <c r="D49" s="177">
        <v>0</v>
      </c>
      <c r="E49" s="23" t="s">
        <v>2206</v>
      </c>
      <c r="F49" s="28" t="s">
        <v>34</v>
      </c>
      <c r="G49" s="3126"/>
      <c r="H49" s="138"/>
      <c r="I49" s="2487"/>
      <c r="J49" s="1812">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2207</v>
      </c>
      <c r="C50" s="3056"/>
      <c r="D50" s="179"/>
      <c r="E50" s="31"/>
      <c r="F50" s="180"/>
      <c r="G50" s="3127"/>
      <c r="H50" s="138"/>
      <c r="I50" s="2487"/>
      <c r="J50" s="3120" t="s">
        <v>2208</v>
      </c>
      <c r="K50" s="3120"/>
      <c r="L50" s="3120"/>
      <c r="M50" s="3120"/>
      <c r="N50" s="3120"/>
      <c r="O50" s="3120"/>
    </row>
    <row r="51" spans="1:35" ht="12" customHeight="1">
      <c r="A51" s="181"/>
      <c r="B51" s="3056" t="s">
        <v>2209</v>
      </c>
      <c r="C51" s="3056"/>
      <c r="D51" s="182"/>
      <c r="E51" s="30"/>
      <c r="F51" s="180"/>
      <c r="G51" s="3128"/>
      <c r="H51" s="138"/>
      <c r="I51" s="2487"/>
      <c r="J51" s="2488" t="s">
        <v>2210</v>
      </c>
      <c r="K51" s="3120" t="s">
        <v>2211</v>
      </c>
      <c r="L51" s="3120"/>
      <c r="M51" s="2488" t="s">
        <v>2212</v>
      </c>
      <c r="N51" s="2488" t="s">
        <v>2213</v>
      </c>
      <c r="O51" s="2488" t="s">
        <v>2214</v>
      </c>
    </row>
    <row r="52" spans="1:35" ht="24" customHeight="1">
      <c r="A52" s="183" t="s">
        <v>2215</v>
      </c>
      <c r="B52" s="3056" t="s">
        <v>2216</v>
      </c>
      <c r="C52" s="3056"/>
      <c r="D52" s="182">
        <f ca="1">ROUND(D45*'数据-取费表'!B41/(1+'数据-取费表'!C42),0)</f>
        <v>4893</v>
      </c>
      <c r="E52" s="11" t="s">
        <v>2217</v>
      </c>
      <c r="F52" s="184">
        <f>'数据-取费表'!B41</f>
        <v>5.5000000000000007E-2</v>
      </c>
      <c r="G52" s="2489"/>
      <c r="H52" s="138"/>
      <c r="I52" s="2487"/>
      <c r="J52" s="1812">
        <v>1</v>
      </c>
      <c r="K52" s="3121" t="s">
        <v>2218</v>
      </c>
      <c r="L52" s="3121"/>
      <c r="M52" s="1754">
        <f>D48</f>
        <v>0</v>
      </c>
      <c r="N52" s="1812" t="str">
        <f>E48</f>
        <v>销售额×税（费）率</v>
      </c>
      <c r="O52" s="1755" t="str">
        <f>F48</f>
        <v>免征</v>
      </c>
    </row>
    <row r="53" spans="1:35" ht="12" customHeight="1">
      <c r="A53" s="183" t="s">
        <v>2219</v>
      </c>
      <c r="B53" s="3079" t="s">
        <v>2220</v>
      </c>
      <c r="C53" s="3080"/>
      <c r="D53" s="182">
        <f ca="1">ROUND(D45*'数据-取费表'!B41/(1+'数据-取费表'!C42),0)</f>
        <v>4893</v>
      </c>
      <c r="E53" s="11" t="s">
        <v>2217</v>
      </c>
      <c r="F53" s="184">
        <f>'数据-取费表'!B41</f>
        <v>5.5000000000000007E-2</v>
      </c>
      <c r="G53" s="2489"/>
      <c r="H53" s="138"/>
      <c r="I53" s="2487"/>
      <c r="J53" s="1812">
        <v>2</v>
      </c>
      <c r="K53" s="3121" t="s">
        <v>2221</v>
      </c>
      <c r="L53" s="3121"/>
      <c r="M53" s="1754">
        <f t="shared" ref="M53:O54" ca="1" si="0">D55</f>
        <v>5</v>
      </c>
      <c r="N53" s="1812" t="str">
        <f t="shared" si="0"/>
        <v>销售额×税（费）率</v>
      </c>
      <c r="O53" s="1755">
        <f t="shared" si="0"/>
        <v>5.0000000000000002E-5</v>
      </c>
    </row>
    <row r="54" spans="1:35" ht="12" customHeight="1">
      <c r="A54" s="183" t="s">
        <v>2222</v>
      </c>
      <c r="B54" s="3079" t="s">
        <v>2223</v>
      </c>
      <c r="C54" s="3080"/>
      <c r="D54" s="182">
        <f ca="1">C68</f>
        <v>4893</v>
      </c>
      <c r="E54" s="30" t="s">
        <v>2224</v>
      </c>
      <c r="F54" s="184">
        <f>'数据-取费表'!B41</f>
        <v>5.5000000000000007E-2</v>
      </c>
      <c r="G54" s="2489"/>
      <c r="H54" s="2490"/>
      <c r="I54" s="2487"/>
      <c r="J54" s="1812">
        <v>3</v>
      </c>
      <c r="K54" s="3121" t="s">
        <v>2225</v>
      </c>
      <c r="L54" s="3121"/>
      <c r="M54" s="1754">
        <f t="shared" ca="1" si="0"/>
        <v>52952</v>
      </c>
      <c r="N54" s="1812" t="str">
        <f t="shared" si="0"/>
        <v>增值额×税（费）率</v>
      </c>
      <c r="O54" s="1756" t="str">
        <f t="shared" si="0"/>
        <v>——</v>
      </c>
    </row>
    <row r="55" spans="1:35" ht="24" customHeight="1">
      <c r="A55" s="3070" t="s">
        <v>2226</v>
      </c>
      <c r="B55" s="3071"/>
      <c r="C55" s="3071"/>
      <c r="D55" s="185">
        <f ca="1">IF(H55="个人住宅",0,ROUND(D45*I55,0))</f>
        <v>5</v>
      </c>
      <c r="E55" s="11" t="s">
        <v>2227</v>
      </c>
      <c r="F55" s="184">
        <f>IF(H55="正常",I55,"免征")</f>
        <v>5.0000000000000002E-5</v>
      </c>
      <c r="G55" s="2489"/>
      <c r="H55" s="2486" t="s">
        <v>2228</v>
      </c>
      <c r="I55" s="186">
        <f>'数据-取费表'!B49</f>
        <v>5.0000000000000002E-5</v>
      </c>
      <c r="J55" s="1812" t="str">
        <f>IF(H59="非个人房产","",4)</f>
        <v/>
      </c>
      <c r="K55" s="3121" t="str">
        <f>IF(H59="非个人房产","——","个人所得税")</f>
        <v>——</v>
      </c>
      <c r="L55" s="3121"/>
      <c r="M55" s="1757" t="str">
        <f>D59</f>
        <v>——</v>
      </c>
      <c r="N55" s="1810" t="str">
        <f>E59</f>
        <v>——</v>
      </c>
      <c r="O55" s="1758" t="str">
        <f>F59</f>
        <v>——</v>
      </c>
    </row>
    <row r="56" spans="1:35" ht="24.75">
      <c r="A56" s="3070" t="s">
        <v>2229</v>
      </c>
      <c r="B56" s="3071"/>
      <c r="C56" s="3071"/>
      <c r="D56" s="185">
        <f ca="1">IF(H56="个人住宅",D57,D58)</f>
        <v>52952</v>
      </c>
      <c r="E56" s="11" t="s">
        <v>2230</v>
      </c>
      <c r="F56" s="184" t="str">
        <f>IF(H56="正常",F58,"免征")</f>
        <v>——</v>
      </c>
      <c r="G56" s="2491" t="s">
        <v>2231</v>
      </c>
      <c r="H56" s="2492" t="s">
        <v>2228</v>
      </c>
      <c r="I56" s="2493"/>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c r="A57" s="183" t="s">
        <v>2204</v>
      </c>
      <c r="B57" s="3086" t="s">
        <v>2232</v>
      </c>
      <c r="C57" s="3095"/>
      <c r="D57" s="187">
        <v>0</v>
      </c>
      <c r="E57" s="23" t="s">
        <v>2206</v>
      </c>
      <c r="F57" s="155"/>
      <c r="G57" s="2489"/>
      <c r="H57" s="2493"/>
      <c r="I57" s="2493"/>
      <c r="J57" s="3121">
        <f>IF(AND(J55="",J56=""),4,IF(项目基本情况!K6="上海银行",结果表!J56+1,结果表!J55+1))</f>
        <v>4</v>
      </c>
      <c r="K57" s="3121" t="s">
        <v>2233</v>
      </c>
      <c r="L57" s="2494" t="s">
        <v>2234</v>
      </c>
      <c r="M57" s="1759"/>
      <c r="N57" s="1760">
        <f ca="1">SUMIF(M52:M56,"&lt;9e307")</f>
        <v>52957</v>
      </c>
      <c r="O57" s="2495"/>
      <c r="P57" s="1753" t="e">
        <f ca="1">N57/M49</f>
        <v>#VALUE!</v>
      </c>
    </row>
    <row r="58" spans="1:35" ht="24.75">
      <c r="A58" s="183" t="s">
        <v>2215</v>
      </c>
      <c r="B58" s="3086" t="s">
        <v>2235</v>
      </c>
      <c r="C58" s="3087"/>
      <c r="D58" s="185">
        <f ca="1">IF(H58="转让取得",C81,C97)</f>
        <v>52952</v>
      </c>
      <c r="E58" s="11" t="s">
        <v>2230</v>
      </c>
      <c r="F58" s="24" t="s">
        <v>34</v>
      </c>
      <c r="G58" s="2489"/>
      <c r="H58" s="2492" t="s">
        <v>2236</v>
      </c>
      <c r="I58" s="2493"/>
      <c r="J58" s="3121"/>
      <c r="K58" s="3121"/>
      <c r="L58" s="2494" t="s">
        <v>2237</v>
      </c>
      <c r="M58" s="1761"/>
      <c r="N58" s="2496" t="str">
        <f ca="1">NUMBERSTRING(INT(N57*10000),2)&amp;"元整"</f>
        <v>伍亿贰仟玖佰伍拾柒万元整</v>
      </c>
      <c r="O58" s="2497"/>
    </row>
    <row r="59" spans="1:35" ht="24.75" thickBot="1">
      <c r="A59" s="3124" t="s">
        <v>2238</v>
      </c>
      <c r="B59" s="3125"/>
      <c r="C59" s="3125"/>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2">
        <f>J57+1</f>
        <v>5</v>
      </c>
      <c r="K59" s="3121" t="s">
        <v>2240</v>
      </c>
      <c r="L59" s="1812" t="s">
        <v>2234</v>
      </c>
      <c r="M59" s="1762"/>
      <c r="N59" s="1763" t="e">
        <f ca="1">M49-N57</f>
        <v>#VALUE!</v>
      </c>
      <c r="O59" s="2499"/>
    </row>
    <row r="60" spans="1:35" ht="12" customHeight="1">
      <c r="A60" s="2500"/>
      <c r="B60" s="2422"/>
      <c r="C60" s="2422"/>
      <c r="D60" s="2422"/>
      <c r="E60" s="2169"/>
      <c r="F60" s="2493"/>
      <c r="G60" s="2493"/>
      <c r="H60" s="2501"/>
      <c r="I60" s="138"/>
      <c r="J60" s="3123"/>
      <c r="K60" s="3121"/>
      <c r="L60" s="2494" t="s">
        <v>2237</v>
      </c>
      <c r="M60" s="1761"/>
      <c r="N60" s="2496" t="e">
        <f ca="1">NUMBERSTRING(INT(N59*10000),2)&amp;"元整"</f>
        <v>#VALUE!</v>
      </c>
      <c r="O60" s="2497"/>
    </row>
    <row r="61" spans="1:35" ht="13.5" thickBot="1">
      <c r="A61" s="3068" t="s">
        <v>2241</v>
      </c>
      <c r="B61" s="3068"/>
      <c r="C61" s="3068"/>
      <c r="D61" s="3068"/>
      <c r="E61" s="3068"/>
      <c r="F61" s="2493"/>
      <c r="G61" s="2493"/>
      <c r="H61" s="2501"/>
      <c r="I61" s="138"/>
      <c r="J61" s="1812">
        <f>J59+1</f>
        <v>6</v>
      </c>
      <c r="K61" s="3121" t="s">
        <v>2242</v>
      </c>
      <c r="L61" s="3121"/>
      <c r="M61" s="1764"/>
      <c r="N61" s="1765" t="e">
        <f ca="1">ROUND(N59*10000/'数据-汇总表'!E3,0)</f>
        <v>#VALUE!</v>
      </c>
      <c r="O61" s="2502"/>
    </row>
    <row r="62" spans="1:35" ht="12.75">
      <c r="A62" s="3084" t="s">
        <v>2243</v>
      </c>
      <c r="B62" s="3085"/>
      <c r="C62" s="1804"/>
      <c r="D62" s="1804" t="s">
        <v>2244</v>
      </c>
      <c r="E62" s="192" t="s">
        <v>2245</v>
      </c>
      <c r="F62" s="2493"/>
      <c r="G62" s="2493"/>
      <c r="H62" s="2501"/>
      <c r="I62" s="138"/>
    </row>
    <row r="63" spans="1:35" ht="12.75">
      <c r="A63" s="203" t="s">
        <v>775</v>
      </c>
      <c r="B63" s="193" t="s">
        <v>2246</v>
      </c>
      <c r="C63" s="194">
        <f ca="1">ROUND((C64+C65)/(1+'数据-取费表'!C42),0)</f>
        <v>88958</v>
      </c>
      <c r="D63" s="195"/>
      <c r="E63" s="196"/>
      <c r="F63" s="2493"/>
      <c r="G63" s="2493"/>
      <c r="H63" s="2501"/>
      <c r="I63" s="138"/>
      <c r="J63" s="3146" t="s">
        <v>2247</v>
      </c>
      <c r="K63" s="2503" t="s">
        <v>2248</v>
      </c>
      <c r="L63" s="1752" t="e">
        <f>IF(M49&gt;10000,M49*0.5%,IF(AND(M49&gt;1000,M49&lt;=10000),M49*1%,IF(AND(M49&gt;100,M49&lt;=1000),M49*3%,IF(AND(M49&gt;10,M49&lt;=100),M49*5%,M49*8%))))</f>
        <v>#VALUE!</v>
      </c>
      <c r="M63" s="24" t="e">
        <f>ROUND(L63,1)</f>
        <v>#VALUE!</v>
      </c>
      <c r="Z63" s="2427"/>
      <c r="AI63" s="2428"/>
    </row>
    <row r="64" spans="1:35" ht="14.25" customHeight="1">
      <c r="A64" s="197" t="s">
        <v>770</v>
      </c>
      <c r="B64" s="198" t="s">
        <v>2249</v>
      </c>
      <c r="C64" s="199">
        <f ca="1">D45</f>
        <v>93406</v>
      </c>
      <c r="D64" s="200" t="s">
        <v>32</v>
      </c>
      <c r="E64" s="201"/>
      <c r="F64" s="2493"/>
      <c r="G64" s="2493"/>
      <c r="H64" s="2501"/>
      <c r="I64" s="138"/>
      <c r="J64" s="3146"/>
      <c r="K64" s="2503"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7"/>
      <c r="AI64" s="2428"/>
    </row>
    <row r="65" spans="1:35" ht="14.25" customHeight="1">
      <c r="A65" s="197" t="s">
        <v>771</v>
      </c>
      <c r="B65" s="198" t="s">
        <v>2252</v>
      </c>
      <c r="C65" s="202"/>
      <c r="D65" s="200"/>
      <c r="E65" s="201"/>
      <c r="F65" s="2493"/>
      <c r="G65" s="2493"/>
      <c r="H65" s="2501"/>
      <c r="I65" s="138"/>
      <c r="J65" s="3146"/>
      <c r="K65" s="2503" t="s">
        <v>2253</v>
      </c>
      <c r="L65" s="1752" t="e">
        <f>IF(M49&gt;1000,M49*0.1%,IF(AND(M49&gt;500,M49&lt;=1000),M49*0.5%,IF(AND(M49&gt;50,M49&lt;=500),M49*1%,IF(AND(M49&gt;1,M49&lt;=50),M49*1.5%))))</f>
        <v>#VALUE!</v>
      </c>
      <c r="M65" s="24" t="e">
        <f t="shared" si="1"/>
        <v>#VALUE!</v>
      </c>
      <c r="N65" s="138" t="s">
        <v>2251</v>
      </c>
      <c r="Z65" s="2427"/>
      <c r="AI65" s="2428"/>
    </row>
    <row r="66" spans="1:35" ht="14.25" customHeight="1">
      <c r="A66" s="203" t="s">
        <v>772</v>
      </c>
      <c r="B66" s="204" t="s">
        <v>2254</v>
      </c>
      <c r="C66" s="205"/>
      <c r="D66" s="206" t="s">
        <v>32</v>
      </c>
      <c r="E66" s="1776" t="s">
        <v>1371</v>
      </c>
      <c r="F66" s="2493"/>
      <c r="G66" s="2493"/>
      <c r="H66" s="2501"/>
      <c r="I66" s="138"/>
      <c r="J66" s="3146"/>
      <c r="K66" s="2503" t="s">
        <v>2255</v>
      </c>
      <c r="L66" s="1752" t="e">
        <f>M49*0.5%</f>
        <v>#VALUE!</v>
      </c>
      <c r="M66" s="24" t="e">
        <f>IF(L66&gt;0.5,0.5,ROUND(L66,0))</f>
        <v>#VALUE!</v>
      </c>
      <c r="N66" s="138" t="s">
        <v>2256</v>
      </c>
      <c r="Z66" s="2427"/>
      <c r="AI66" s="2428"/>
    </row>
    <row r="67" spans="1:35" ht="14.25" customHeight="1">
      <c r="A67" s="203" t="s">
        <v>773</v>
      </c>
      <c r="B67" s="204" t="s">
        <v>2257</v>
      </c>
      <c r="C67" s="207">
        <f ca="1">C63-C66</f>
        <v>88958</v>
      </c>
      <c r="D67" s="200" t="s">
        <v>32</v>
      </c>
      <c r="E67" s="201"/>
      <c r="F67" s="2493"/>
      <c r="G67" s="2493"/>
      <c r="H67" s="2501"/>
      <c r="I67" s="138"/>
      <c r="J67" s="3146"/>
      <c r="K67" s="2503"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2259</v>
      </c>
      <c r="C68" s="210">
        <f ca="1">IF(C67&lt;=0,0,ROUND(C67*D68,0))</f>
        <v>4893</v>
      </c>
      <c r="D68" s="211">
        <f>'数据-取费表'!B41</f>
        <v>5.5000000000000007E-2</v>
      </c>
      <c r="E68" s="212"/>
      <c r="F68" s="2493"/>
      <c r="G68" s="2493"/>
      <c r="H68" s="2501"/>
      <c r="I68" s="138"/>
      <c r="J68" s="3146"/>
      <c r="K68" s="2503" t="s">
        <v>2260</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46"/>
      <c r="K69" s="2503" t="s">
        <v>2261</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5" t="s">
        <v>2262</v>
      </c>
      <c r="B70" s="3106"/>
      <c r="C70" s="3106"/>
      <c r="D70" s="3106"/>
      <c r="E70" s="3106"/>
      <c r="F70" s="3106"/>
      <c r="G70" s="3106"/>
      <c r="H70" s="31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4" t="s">
        <v>2243</v>
      </c>
      <c r="B71" s="3085"/>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88958</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445</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79" t="s">
        <v>2271</v>
      </c>
      <c r="F76" s="3056"/>
      <c r="G76" s="3056"/>
      <c r="H76" s="31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3.005E-2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445</v>
      </c>
      <c r="D78" s="226">
        <f>'数据-取费表'!B43</f>
        <v>5.000000000000001E-3</v>
      </c>
      <c r="E78" s="3065" t="s">
        <v>2276</v>
      </c>
      <c r="F78" s="3066"/>
      <c r="G78" s="3066"/>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88513</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198.9056179775281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52952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5" t="s">
        <v>2280</v>
      </c>
      <c r="B83" s="3106"/>
      <c r="C83" s="3106"/>
      <c r="D83" s="3106"/>
      <c r="E83" s="3106"/>
      <c r="F83" s="3106"/>
      <c r="G83" s="3106"/>
      <c r="H83" s="31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4" t="s">
        <v>2243</v>
      </c>
      <c r="B84" s="3085"/>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88958</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445</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3.005E-2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65" t="s">
        <v>2289</v>
      </c>
      <c r="F91" s="3066"/>
      <c r="G91" s="3066"/>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65" t="s">
        <v>2293</v>
      </c>
      <c r="F92" s="3066"/>
      <c r="G92" s="3066"/>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445</v>
      </c>
      <c r="D93" s="226">
        <f>'数据-取费表'!B43</f>
        <v>5.000000000000001E-3</v>
      </c>
      <c r="E93" s="3065" t="s">
        <v>2276</v>
      </c>
      <c r="F93" s="3066"/>
      <c r="G93" s="3066"/>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76" t="s">
        <v>2297</v>
      </c>
      <c r="F94" s="3077"/>
      <c r="G94" s="3077"/>
      <c r="H94" s="30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88513</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198.9056179775281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52952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50" t="s">
        <v>2299</v>
      </c>
      <c r="B100" s="3051"/>
      <c r="C100" s="3051"/>
      <c r="D100" s="3067"/>
      <c r="E100" s="3051" t="s">
        <v>2300</v>
      </c>
      <c r="F100" s="3051"/>
      <c r="G100" s="3051"/>
      <c r="H100" s="3067"/>
      <c r="I100" s="138"/>
    </row>
    <row r="101" spans="1:35" ht="18.75" customHeight="1">
      <c r="A101" s="3129" t="s">
        <v>2301</v>
      </c>
      <c r="B101" s="3130"/>
      <c r="C101" s="736" t="str">
        <f>C4</f>
        <v>成本法</v>
      </c>
      <c r="D101" s="737" t="str">
        <f>D4</f>
        <v>收益法（汇总）</v>
      </c>
      <c r="E101" s="3143" t="s">
        <v>2302</v>
      </c>
      <c r="F101" s="3097"/>
      <c r="G101" s="2524" t="s">
        <v>2303</v>
      </c>
      <c r="H101" s="1048">
        <f ca="1">H118</f>
        <v>93406</v>
      </c>
      <c r="I101" s="138"/>
    </row>
    <row r="102" spans="1:35" ht="18.75" customHeight="1">
      <c r="A102" s="3099" t="s">
        <v>2304</v>
      </c>
      <c r="B102" s="2524" t="s">
        <v>2303</v>
      </c>
      <c r="C102" s="736">
        <f ca="1">C19</f>
        <v>129452</v>
      </c>
      <c r="D102" s="737">
        <f ca="1">D19</f>
        <v>69375</v>
      </c>
      <c r="E102" s="3143"/>
      <c r="F102" s="3097"/>
      <c r="G102" s="2524" t="s">
        <v>2305</v>
      </c>
      <c r="H102" s="371">
        <f ca="1">I118</f>
        <v>15179</v>
      </c>
      <c r="I102" s="138"/>
    </row>
    <row r="103" spans="1:35" ht="42.75" customHeight="1">
      <c r="A103" s="3099"/>
      <c r="B103" s="2524" t="s">
        <v>2305</v>
      </c>
      <c r="C103" s="738">
        <f ca="1">C20</f>
        <v>21036</v>
      </c>
      <c r="D103" s="739">
        <f ca="1">D20</f>
        <v>11851</v>
      </c>
      <c r="E103" s="3138" t="s">
        <v>2306</v>
      </c>
      <c r="F103" s="3139"/>
      <c r="G103" s="2525" t="s">
        <v>2307</v>
      </c>
      <c r="H103" s="1048">
        <f>IF(D36="正常操作",H104+H105+H106,H105+H106)</f>
        <v>0</v>
      </c>
      <c r="I103" s="138"/>
    </row>
    <row r="104" spans="1:35" ht="18.75" customHeight="1">
      <c r="A104" s="3099" t="s">
        <v>2308</v>
      </c>
      <c r="B104" s="2526" t="s">
        <v>2303</v>
      </c>
      <c r="C104" s="740">
        <f ca="1">H118</f>
        <v>93406</v>
      </c>
      <c r="D104" s="741"/>
      <c r="E104" s="2270" t="s">
        <v>2309</v>
      </c>
      <c r="F104" s="2261"/>
      <c r="G104" s="2525" t="s">
        <v>2307</v>
      </c>
      <c r="H104" s="1049">
        <f>IF(D36="同一抵押权人同一抵押物续贷",C36&amp;"（未扣减，详见特别提示）",C36)</f>
        <v>0</v>
      </c>
      <c r="I104" s="138"/>
    </row>
    <row r="105" spans="1:35" ht="18.75" customHeight="1" thickBot="1">
      <c r="A105" s="3100"/>
      <c r="B105" s="2527" t="s">
        <v>2305</v>
      </c>
      <c r="C105" s="742">
        <f ca="1">I118</f>
        <v>15179</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096" t="str">
        <f>IF(项目基本情况!E8="已注销","——","3.房地产抵押价值")</f>
        <v>3.房地产抵押价值</v>
      </c>
      <c r="F107" s="3097"/>
      <c r="G107" s="2524" t="s">
        <v>2303</v>
      </c>
      <c r="H107" s="1048">
        <f ca="1">IF(E107="——","——",H101-H103)</f>
        <v>93406</v>
      </c>
      <c r="I107" s="138"/>
    </row>
    <row r="108" spans="1:35" ht="18.75" customHeight="1">
      <c r="A108" s="138"/>
      <c r="B108" s="138"/>
      <c r="C108" s="138"/>
      <c r="D108" s="138"/>
      <c r="E108" s="3096"/>
      <c r="F108" s="3097"/>
      <c r="G108" s="2524" t="s">
        <v>2305</v>
      </c>
      <c r="H108" s="371">
        <f ca="1">ROUND(H107*10000/'数据-汇总表'!E3,0)</f>
        <v>15179</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4" t="s">
        <v>2303</v>
      </c>
      <c r="H109" s="348" t="str">
        <f>IF(E109="——","——",H101-H105-H106)</f>
        <v>——</v>
      </c>
      <c r="I109" s="138"/>
    </row>
    <row r="110" spans="1:35" ht="18.75" customHeight="1">
      <c r="A110" s="138"/>
      <c r="B110" s="138"/>
      <c r="C110" s="138"/>
      <c r="D110" s="138"/>
      <c r="E110" s="3096"/>
      <c r="F110" s="3097"/>
      <c r="G110" s="2524" t="s">
        <v>2305</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4" t="s">
        <v>2303</v>
      </c>
      <c r="H111" s="1048" t="str">
        <f>IF(E111="——","——",N59)</f>
        <v>——</v>
      </c>
      <c r="I111" s="138"/>
    </row>
    <row r="112" spans="1:35" ht="18.75" customHeight="1" thickBot="1">
      <c r="A112" s="138"/>
      <c r="B112" s="138"/>
      <c r="C112" s="138"/>
      <c r="D112" s="138"/>
      <c r="E112" s="3133"/>
      <c r="F112" s="3134"/>
      <c r="G112" s="2529" t="s">
        <v>2305</v>
      </c>
      <c r="H112" s="790" t="str">
        <f>IF(E111="——","——",N61)</f>
        <v>——</v>
      </c>
      <c r="I112" s="138"/>
    </row>
    <row r="113" spans="1:11" ht="18.75" customHeight="1">
      <c r="A113" s="138"/>
      <c r="B113" s="138"/>
      <c r="C113" s="138"/>
      <c r="D113" s="138"/>
      <c r="E113" s="3101" t="s">
        <v>2311</v>
      </c>
      <c r="F113" s="3101"/>
      <c r="G113" s="3101"/>
      <c r="H113" s="3101"/>
      <c r="I113" s="138"/>
    </row>
    <row r="114" spans="1:11" ht="3.75" customHeight="1">
      <c r="A114" s="2422"/>
      <c r="B114" s="2422"/>
      <c r="C114" s="2422"/>
      <c r="D114" s="2422"/>
      <c r="E114" s="2500"/>
      <c r="F114" s="2500"/>
      <c r="G114" s="2500"/>
      <c r="H114" s="2500"/>
      <c r="I114" s="2422"/>
    </row>
    <row r="115" spans="1:11" ht="18.75" customHeight="1">
      <c r="A115" s="3114" t="s">
        <v>2313</v>
      </c>
      <c r="B115" s="3115"/>
      <c r="C115" s="3115"/>
      <c r="D115" s="3115"/>
      <c r="E115" s="3115"/>
      <c r="F115" s="3115"/>
      <c r="G115" s="3115"/>
      <c r="H115" s="3115"/>
      <c r="I115" s="3116"/>
    </row>
    <row r="116" spans="1:11" ht="27" customHeight="1">
      <c r="A116" s="3007" t="s">
        <v>2314</v>
      </c>
      <c r="B116" s="3102" t="s">
        <v>2315</v>
      </c>
      <c r="C116" s="3102" t="s">
        <v>2316</v>
      </c>
      <c r="D116" s="3118" t="s">
        <v>2317</v>
      </c>
      <c r="E116" s="3119"/>
      <c r="F116" s="3110" t="s">
        <v>2318</v>
      </c>
      <c r="G116" s="3110"/>
      <c r="H116" s="3007" t="s">
        <v>2319</v>
      </c>
      <c r="I116" s="3007"/>
    </row>
    <row r="117" spans="1:11" ht="18.75" customHeight="1">
      <c r="A117" s="3007"/>
      <c r="B117" s="3103"/>
      <c r="C117" s="3103"/>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61537.21</v>
      </c>
      <c r="C118" s="1798">
        <f>M19</f>
        <v>23731.26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93406</v>
      </c>
      <c r="I118" s="1798">
        <f ca="1">ROUND(IF(D32="楼面单价",C32,H118*10000/B118),0)</f>
        <v>15179</v>
      </c>
    </row>
    <row r="119" spans="1:11" ht="18.75" customHeight="1">
      <c r="A119" s="3007" t="s">
        <v>2323</v>
      </c>
      <c r="B119" s="3007"/>
      <c r="C119" s="3007"/>
      <c r="D119" s="3107" t="e">
        <f ca="1">NUMBERSTRING(INT(D118*10000),2)&amp;"元整"</f>
        <v>#REF!</v>
      </c>
      <c r="E119" s="3109"/>
      <c r="F119" s="3107" t="e">
        <f ca="1">NUMBERSTRING(INT(F118*10000),2)&amp;"元整"</f>
        <v>#REF!</v>
      </c>
      <c r="G119" s="3109"/>
      <c r="H119" s="3107" t="str">
        <f ca="1">NUMBERSTRING(INT(H118*10000),2)&amp;"元整"</f>
        <v>玖亿叁仟肆佰零陆万元整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7" t="str">
        <f>IF(D120=0,"故，本次评估不存在"&amp;A120,"故，本次评估"&amp;A120&amp;"为人民币"&amp;D120&amp;"万元整。")</f>
        <v>故，本次评估不存在</v>
      </c>
    </row>
    <row r="121" spans="1:11" ht="18.75" customHeight="1">
      <c r="A121" s="3111" t="s">
        <v>2323</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93406</v>
      </c>
      <c r="E122" s="3136"/>
      <c r="F122" s="3136"/>
      <c r="G122" s="3136"/>
      <c r="H122" s="3136"/>
      <c r="I122" s="3137"/>
    </row>
    <row r="123" spans="1:11" ht="18.75" customHeight="1">
      <c r="A123" s="3007" t="s">
        <v>2323</v>
      </c>
      <c r="B123" s="3007"/>
      <c r="C123" s="3007"/>
      <c r="D123" s="3107" t="str">
        <f ca="1">NUMBERSTRING(INT(D122*10000),2)&amp;"元整"</f>
        <v>玖亿叁仟肆佰零陆万元整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2323</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2323</v>
      </c>
      <c r="B127" s="3007"/>
      <c r="C127" s="3007"/>
      <c r="D127" s="3107" t="e">
        <f>NUMBERSTRING(INT(D126*10000),2)&amp;"元整"</f>
        <v>#VALUE!</v>
      </c>
      <c r="E127" s="3108"/>
      <c r="F127" s="3108"/>
      <c r="G127" s="3108"/>
      <c r="H127" s="3108"/>
      <c r="I127" s="3109"/>
    </row>
    <row r="128" spans="1:11" ht="21.75" customHeight="1">
      <c r="A128" s="3117" t="s">
        <v>2324</v>
      </c>
      <c r="B128" s="3117"/>
      <c r="C128" s="3117"/>
      <c r="D128" s="3117"/>
      <c r="E128" s="3117"/>
      <c r="F128" s="3117"/>
      <c r="G128" s="3117"/>
      <c r="H128" s="3117"/>
      <c r="I128" s="3117"/>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129452</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21036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68213</v>
      </c>
      <c r="D5" s="255" t="s">
        <v>2340</v>
      </c>
      <c r="E5" s="256" t="s">
        <v>2341</v>
      </c>
      <c r="F5" s="256" t="s">
        <v>2342</v>
      </c>
      <c r="G5" s="257"/>
    </row>
    <row r="6" spans="1:9" s="258" customFormat="1" ht="13.5" customHeight="1">
      <c r="A6" s="952" t="s">
        <v>2343</v>
      </c>
      <c r="B6" s="259" t="s">
        <v>2344</v>
      </c>
      <c r="C6" s="260">
        <f ca="1">基准地价修正!B2</f>
        <v>65028</v>
      </c>
      <c r="D6" s="261"/>
      <c r="E6" s="262"/>
      <c r="F6" s="262"/>
      <c r="G6" s="263"/>
    </row>
    <row r="7" spans="1:9" s="258" customFormat="1" ht="13.5" customHeight="1">
      <c r="A7" s="952" t="s">
        <v>2345</v>
      </c>
      <c r="B7" s="259" t="s">
        <v>2346</v>
      </c>
      <c r="C7" s="264">
        <f ca="1">ROUND(C6*F7,0)</f>
        <v>1954</v>
      </c>
      <c r="D7" s="264"/>
      <c r="E7" s="262"/>
      <c r="F7" s="265">
        <f>'数据-取费表'!B48+'数据-取费表'!B49</f>
        <v>3.005E-2</v>
      </c>
      <c r="G7" s="263"/>
    </row>
    <row r="8" spans="1:9" s="267" customFormat="1">
      <c r="A8" s="952" t="s">
        <v>2347</v>
      </c>
      <c r="B8" s="259" t="s">
        <v>2348</v>
      </c>
      <c r="C8" s="264">
        <f ca="1">IF(G8="已包含在土地购买价格中","0",IF(B1="",'数据-取费表'!B29,IF(G9="全部缴纳",C9+C10,H9)))</f>
        <v>1231</v>
      </c>
      <c r="D8" s="266"/>
      <c r="E8" s="264"/>
      <c r="F8" s="265"/>
      <c r="G8" s="2556"/>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160</v>
      </c>
      <c r="F9" s="265"/>
      <c r="G9" s="2557"/>
      <c r="H9" s="1393"/>
      <c r="I9" s="2558" t="s">
        <v>2350</v>
      </c>
    </row>
    <row r="10" spans="1:9" s="258" customFormat="1" ht="13.5" customHeight="1">
      <c r="A10" s="953" t="s">
        <v>801</v>
      </c>
      <c r="B10" s="268" t="s">
        <v>2351</v>
      </c>
      <c r="C10" s="269">
        <f ca="1">ROUND(D10*E10/10000,0)</f>
        <v>1231</v>
      </c>
      <c r="D10" s="1035">
        <f ca="1">IF(B1="",'数据-汇总表'!E6,IF(INDIRECT("'数据-取费表'!c"&amp;$G$1)="住宅",INDIRECT("'数据-取费表'!s"&amp;$G$1),INDIRECT("'数据-取费表'!k"&amp;$G$1)+INDIRECT("'数据-取费表'!s"&amp;$G$1)))</f>
        <v>61537.21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1231</v>
      </c>
      <c r="D19" s="1039">
        <f ca="1">D9+D10</f>
        <v>61537.21</v>
      </c>
      <c r="E19" s="255">
        <f>'数据-取费表'!B31</f>
        <v>200</v>
      </c>
      <c r="F19" s="275"/>
      <c r="G19" s="2556" t="s">
        <v>1074</v>
      </c>
    </row>
    <row r="20" spans="1:7" s="258" customFormat="1" ht="13.5" customHeight="1">
      <c r="A20" s="299" t="s">
        <v>2364</v>
      </c>
      <c r="B20" s="254" t="s">
        <v>2365</v>
      </c>
      <c r="C20" s="276">
        <f ca="1">ROUND((C5+C19)*F20,0)</f>
        <v>1389</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6820</v>
      </c>
      <c r="D22" s="279">
        <f ca="1">C26</f>
        <v>1.4E-3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6634</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120</v>
      </c>
      <c r="D24" s="282"/>
      <c r="E24" s="282"/>
      <c r="F24" s="283"/>
      <c r="G24" s="284" t="s">
        <v>2378</v>
      </c>
    </row>
    <row r="25" spans="1:7" s="258" customFormat="1" ht="24">
      <c r="A25" s="954" t="s">
        <v>2379</v>
      </c>
      <c r="B25" s="259" t="s">
        <v>2380</v>
      </c>
      <c r="C25" s="1358">
        <f ca="1">ROUND(IF('数据-取费表'!B22&lt;=1,C20*F22*'数据-取费表'!B23/2,C20*(POWER((1+F22),'数据-取费表'!B23/2)-1)),0)</f>
        <v>66</v>
      </c>
      <c r="D25" s="282"/>
      <c r="E25" s="285"/>
      <c r="F25" s="283"/>
      <c r="G25" s="286" t="s">
        <v>2381</v>
      </c>
    </row>
    <row r="26" spans="1:7" s="258" customFormat="1">
      <c r="A26" s="954"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7083</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ROUND((C5+C19+C20)*F27*'数据-取费表'!B21/'数据-取费表'!B20,0)</f>
        <v>7083</v>
      </c>
      <c r="D28" s="279"/>
      <c r="E28" s="280"/>
      <c r="F28" s="290"/>
      <c r="G28" s="291"/>
    </row>
    <row r="29" spans="1:7" s="258" customFormat="1" ht="13.5" customHeight="1">
      <c r="A29" s="954"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92790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31782</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28959</v>
      </c>
      <c r="D34" s="261"/>
      <c r="E34" s="264"/>
      <c r="F34" s="301">
        <f ca="1">IF('数据-取费表'!B24=0,1,IF(B1="",'数据-取费表'!N16,INDIRECT("'数据-取费表'!n"&amp;$G$1)))</f>
        <v>1</v>
      </c>
      <c r="G34" s="263" t="s">
        <v>2397</v>
      </c>
    </row>
    <row r="35" spans="1:7" ht="13.5" customHeight="1">
      <c r="A35" s="954" t="s">
        <v>796</v>
      </c>
      <c r="B35" s="259" t="s">
        <v>2398</v>
      </c>
      <c r="C35" s="264">
        <f ca="1">ROUND(C34*F35,0)</f>
        <v>1158</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1231</v>
      </c>
      <c r="D37" s="261">
        <f ca="1">D19</f>
        <v>61537.21</v>
      </c>
      <c r="E37" s="293">
        <f>'数据-取费表'!B35</f>
        <v>200</v>
      </c>
      <c r="F37" s="303"/>
      <c r="G37" s="305" t="s">
        <v>2403</v>
      </c>
    </row>
    <row r="38" spans="1:7" ht="13.5" customHeight="1">
      <c r="A38" s="954" t="s">
        <v>799</v>
      </c>
      <c r="B38" s="259" t="s">
        <v>2404</v>
      </c>
      <c r="C38" s="264">
        <f ca="1">ROUND(C34*F38,0)</f>
        <v>434</v>
      </c>
      <c r="D38" s="264"/>
      <c r="E38" s="264"/>
      <c r="F38" s="303">
        <f>'数据-取费表'!B36</f>
        <v>1.4999999999999999E-2</v>
      </c>
      <c r="G38" s="263" t="s">
        <v>2399</v>
      </c>
    </row>
    <row r="39" spans="1:7" s="258" customFormat="1" ht="13.5" customHeight="1">
      <c r="A39" s="299" t="s">
        <v>2405</v>
      </c>
      <c r="B39" s="254" t="s">
        <v>2406</v>
      </c>
      <c r="C39" s="276">
        <f ca="1">ROUND(C33*F20,0)</f>
        <v>636</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1540</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1510</v>
      </c>
      <c r="D42" s="282"/>
      <c r="E42" s="282"/>
      <c r="F42" s="283"/>
      <c r="G42" s="3149" t="s">
        <v>2415</v>
      </c>
    </row>
    <row r="43" spans="1:7" ht="13.5" customHeight="1">
      <c r="A43" s="954" t="s">
        <v>792</v>
      </c>
      <c r="B43" s="259" t="s">
        <v>2416</v>
      </c>
      <c r="C43" s="282">
        <f ca="1">ROUND(IF('数据-取费表'!B22&lt;=1,C39*F22*'数据-取费表'!B21/2,C39*(POWER((1+F22),'数据-取费表'!B21/2)-1)),0)</f>
        <v>30</v>
      </c>
      <c r="D43" s="282"/>
      <c r="E43" s="282"/>
      <c r="F43" s="283"/>
      <c r="G43" s="3150"/>
    </row>
    <row r="44" spans="1:7" ht="13.5" customHeight="1">
      <c r="A44" s="954" t="s">
        <v>793</v>
      </c>
      <c r="B44" s="259" t="s">
        <v>2417</v>
      </c>
      <c r="C44" s="282">
        <f ca="1">ROUND(IF('数据-取费表'!B22&lt;=1,C40*F22*'数据-取费表'!B21/2,C40*(POWER((1+F22),'数据-取费表'!B21/2)-1)),4)</f>
        <v>1.4E-3</v>
      </c>
      <c r="D44" s="282"/>
      <c r="E44" s="282"/>
      <c r="F44" s="283"/>
      <c r="G44" s="3151"/>
    </row>
    <row r="45" spans="1:7" s="258" customFormat="1" ht="13.5" customHeight="1">
      <c r="A45" s="299" t="s">
        <v>2418</v>
      </c>
      <c r="B45" s="288" t="s">
        <v>2384</v>
      </c>
      <c r="C45" s="289">
        <f ca="1">C46</f>
        <v>3242</v>
      </c>
      <c r="D45" s="279">
        <f ca="1">C47</f>
        <v>3.0000000000000001E-3</v>
      </c>
      <c r="E45" s="280" t="s">
        <v>2410</v>
      </c>
      <c r="F45" s="290"/>
      <c r="G45" s="291" t="s">
        <v>2419</v>
      </c>
    </row>
    <row r="46" spans="1:7" s="258" customFormat="1" ht="13.5" customHeight="1">
      <c r="A46" s="954" t="s">
        <v>791</v>
      </c>
      <c r="B46" s="292" t="s">
        <v>2420</v>
      </c>
      <c r="C46" s="293">
        <f ca="1">ROUND((C33+C39)*F27,0)</f>
        <v>3242</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40736</v>
      </c>
      <c r="D49" s="276"/>
      <c r="E49" s="276"/>
      <c r="F49" s="308"/>
      <c r="G49" s="278" t="s">
        <v>2425</v>
      </c>
    </row>
    <row r="50" spans="1:7" s="302" customFormat="1" ht="24">
      <c r="A50" s="299" t="s">
        <v>2426</v>
      </c>
      <c r="B50" s="254" t="s">
        <v>2427</v>
      </c>
      <c r="C50" s="276"/>
      <c r="D50" s="276"/>
      <c r="E50" s="276"/>
      <c r="F50" s="308">
        <f>IF('数据-取费表'!B24=0,'数据-取费表'!N16,1)</f>
        <v>0.9</v>
      </c>
      <c r="G50" s="291" t="s">
        <v>2428</v>
      </c>
    </row>
    <row r="51" spans="1:7" ht="16.5" customHeight="1">
      <c r="A51" s="299" t="s">
        <v>2429</v>
      </c>
      <c r="B51" s="254" t="s">
        <v>2430</v>
      </c>
      <c r="C51" s="276">
        <f ca="1">ROUND(C49*F50,0)</f>
        <v>36662</v>
      </c>
      <c r="D51" s="276"/>
      <c r="E51" s="276"/>
      <c r="F51" s="308"/>
      <c r="G51" s="278" t="s">
        <v>2431</v>
      </c>
    </row>
    <row r="52" spans="1:7" s="252" customFormat="1" ht="16.5" thickBot="1">
      <c r="A52" s="309" t="s">
        <v>2432</v>
      </c>
      <c r="B52" s="310"/>
      <c r="C52" s="311">
        <f ca="1">C31+C51</f>
        <v>129452</v>
      </c>
      <c r="D52" s="310"/>
      <c r="E52" s="310"/>
      <c r="F52" s="310"/>
      <c r="G52" s="312"/>
    </row>
    <row r="55" spans="1:7" ht="15">
      <c r="B55" s="314" t="s">
        <v>2433</v>
      </c>
      <c r="C55" s="315"/>
    </row>
    <row r="56" spans="1:7">
      <c r="B56" s="317" t="s">
        <v>1513</v>
      </c>
      <c r="C56" s="319">
        <f ca="1">1-C57</f>
        <v>0.71700000000000008</v>
      </c>
    </row>
    <row r="57" spans="1:7">
      <c r="B57" s="317" t="s">
        <v>1514</v>
      </c>
      <c r="C57" s="318">
        <f ca="1">ROUND(C51/C52,3)</f>
        <v>0.28299999999999997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北京市出让国有建设用地使用权及在建建筑物房地产市场价值预评估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北京朝林置业有限公司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 sqref="C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39952</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6492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12307442</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3.005E-2</v>
      </c>
      <c r="G7" s="263"/>
    </row>
    <row r="8" spans="1:8" s="267" customFormat="1">
      <c r="A8" s="952" t="s">
        <v>2347</v>
      </c>
      <c r="B8" s="259" t="s">
        <v>2348</v>
      </c>
      <c r="C8" s="264">
        <f ca="1">IF(G8="已包含在土地购买价格中",0,C9+C10)</f>
        <v>12307442</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2351</v>
      </c>
      <c r="C10" s="269">
        <f ca="1">ROUND(D10*E10,0)</f>
        <v>12307442</v>
      </c>
      <c r="D10" s="1035">
        <f ca="1">IF(B1="",'数据-汇总表'!E6,IF(INDIRECT("'数据-取费表'!c"&amp;$G$1)="住宅",INDIRECT("'数据-取费表'!s"&amp;$G$1),INDIRECT("'数据-取费表'!k"&amp;$G$1)+INDIRECT("'数据-取费表'!s"&amp;$G$1)))</f>
        <v>61537.21</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12307442</v>
      </c>
      <c r="D19" s="1039">
        <f ca="1">D9+D10</f>
        <v>61537.21</v>
      </c>
      <c r="E19" s="255">
        <f>'数据-取费表'!B31</f>
        <v>200</v>
      </c>
      <c r="F19" s="275"/>
      <c r="G19" s="2556"/>
    </row>
    <row r="20" spans="1:7" s="258" customFormat="1" ht="13.5" customHeight="1">
      <c r="A20" s="299" t="s">
        <v>2445</v>
      </c>
      <c r="B20" s="254" t="s">
        <v>2446</v>
      </c>
      <c r="C20" s="276">
        <f ca="1">ROUND((C5+C19)*F20,0)</f>
        <v>492298</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2417336</v>
      </c>
      <c r="D22" s="279">
        <f ca="1">C26</f>
        <v>1.4E-3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1196976</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1196976</v>
      </c>
      <c r="D24" s="282"/>
      <c r="E24" s="282"/>
      <c r="F24" s="283"/>
      <c r="G24" s="284" t="s">
        <v>2457</v>
      </c>
    </row>
    <row r="25" spans="1:7" s="258" customFormat="1" ht="24">
      <c r="A25" s="954" t="s">
        <v>2347</v>
      </c>
      <c r="B25" s="259" t="s">
        <v>2458</v>
      </c>
      <c r="C25" s="1384">
        <f ca="1">ROUND(IF('数据-取费表'!B22&lt;=1,C20*F22*'数据-取费表'!B22/2,C20*(POWER((1+F22),'数据-取费表'!B22/2)-1)),0)</f>
        <v>23384</v>
      </c>
      <c r="D25" s="282"/>
      <c r="E25" s="285"/>
      <c r="F25" s="283"/>
      <c r="G25" s="286" t="s">
        <v>2459</v>
      </c>
    </row>
    <row r="26" spans="1:7" s="258" customFormat="1">
      <c r="A26" s="954"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2510718</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ROUND((C5+C19+C20)*F27,0)</f>
        <v>2510718</v>
      </c>
      <c r="D28" s="279"/>
      <c r="E28" s="280"/>
      <c r="F28" s="290"/>
      <c r="G28" s="291"/>
    </row>
    <row r="29" spans="1:7" s="258" customFormat="1" ht="13.5" customHeight="1">
      <c r="A29" s="954"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32890096</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317833543</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289598200</v>
      </c>
      <c r="D34" s="261"/>
      <c r="E34" s="264"/>
      <c r="F34" s="301"/>
      <c r="G34" s="263"/>
    </row>
    <row r="35" spans="1:7" ht="13.5" customHeight="1">
      <c r="A35" s="954" t="s">
        <v>796</v>
      </c>
      <c r="B35" s="259" t="s">
        <v>2398</v>
      </c>
      <c r="C35" s="264">
        <f ca="1">ROUND(C34*F35,0)</f>
        <v>11583928</v>
      </c>
      <c r="D35" s="264"/>
      <c r="E35" s="264"/>
      <c r="F35" s="303">
        <f>'数据-取费表'!B33</f>
        <v>0.04</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12307442</v>
      </c>
      <c r="D37" s="261">
        <f ca="1">D19</f>
        <v>61537.21</v>
      </c>
      <c r="E37" s="293">
        <f>'数据-取费表'!B35</f>
        <v>200</v>
      </c>
      <c r="F37" s="303"/>
      <c r="G37" s="305"/>
    </row>
    <row r="38" spans="1:7" ht="13.5" customHeight="1">
      <c r="A38" s="954" t="s">
        <v>799</v>
      </c>
      <c r="B38" s="259" t="s">
        <v>2404</v>
      </c>
      <c r="C38" s="264">
        <f ca="1">ROUND(C34*F38,0)</f>
        <v>4343973</v>
      </c>
      <c r="D38" s="264"/>
      <c r="E38" s="264"/>
      <c r="F38" s="303">
        <f>'数据-取费表'!B36</f>
        <v>1.4999999999999999E-2</v>
      </c>
      <c r="G38" s="263" t="s">
        <v>2399</v>
      </c>
    </row>
    <row r="39" spans="1:7" s="258" customFormat="1" ht="13.5" customHeight="1">
      <c r="A39" s="299" t="s">
        <v>2405</v>
      </c>
      <c r="B39" s="254" t="s">
        <v>2406</v>
      </c>
      <c r="C39" s="276">
        <f ca="1">ROUND(C33*F20,0)</f>
        <v>6356671</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15399035</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15097093</v>
      </c>
      <c r="D42" s="282"/>
      <c r="E42" s="282"/>
      <c r="F42" s="283"/>
      <c r="G42" s="3149" t="s">
        <v>2462</v>
      </c>
    </row>
    <row r="43" spans="1:7" ht="13.5" customHeight="1">
      <c r="A43" s="954" t="s">
        <v>792</v>
      </c>
      <c r="B43" s="259" t="s">
        <v>2416</v>
      </c>
      <c r="C43" s="282">
        <f ca="1">ROUND(IF('数据-取费表'!B22&lt;=1,C39*F22*'数据-取费表'!B20/2,C39*(POWER((1+F22),'数据-取费表'!B20/2)-1)),0)</f>
        <v>301942</v>
      </c>
      <c r="D43" s="282"/>
      <c r="E43" s="282"/>
      <c r="F43" s="283"/>
      <c r="G43" s="3150"/>
    </row>
    <row r="44" spans="1:7" ht="13.5" customHeight="1">
      <c r="A44" s="954" t="s">
        <v>793</v>
      </c>
      <c r="B44" s="259" t="s">
        <v>2417</v>
      </c>
      <c r="C44" s="282">
        <f ca="1">ROUND(IF('数据-取费表'!B22&lt;=1,C40*F22*'数据-取费表'!B20/2,C40*(POWER((1+F22),'数据-取费表'!B20/2)-1)),4)</f>
        <v>1.4E-3</v>
      </c>
      <c r="D44" s="282"/>
      <c r="E44" s="282"/>
      <c r="F44" s="283"/>
      <c r="G44" s="3151"/>
    </row>
    <row r="45" spans="1:7" s="258" customFormat="1" ht="13.5" customHeight="1">
      <c r="A45" s="299" t="s">
        <v>2418</v>
      </c>
      <c r="B45" s="288" t="s">
        <v>2384</v>
      </c>
      <c r="C45" s="289">
        <f ca="1">C46</f>
        <v>32419021</v>
      </c>
      <c r="D45" s="279">
        <f ca="1">C47</f>
        <v>3.0000000000000001E-3</v>
      </c>
      <c r="E45" s="280" t="s">
        <v>2410</v>
      </c>
      <c r="F45" s="290"/>
      <c r="G45" s="291" t="s">
        <v>2419</v>
      </c>
    </row>
    <row r="46" spans="1:7" s="258" customFormat="1" ht="13.5" customHeight="1">
      <c r="A46" s="954" t="s">
        <v>791</v>
      </c>
      <c r="B46" s="292" t="s">
        <v>2420</v>
      </c>
      <c r="C46" s="293">
        <f ca="1">ROUND((C33+C39)*F27,0)</f>
        <v>32419021</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407367795</v>
      </c>
      <c r="D49" s="276"/>
      <c r="E49" s="276"/>
      <c r="F49" s="308"/>
      <c r="G49" s="278" t="s">
        <v>2425</v>
      </c>
    </row>
    <row r="50" spans="1:7" s="302" customFormat="1">
      <c r="A50" s="299" t="s">
        <v>2426</v>
      </c>
      <c r="B50" s="254" t="s">
        <v>2427</v>
      </c>
      <c r="C50" s="276"/>
      <c r="D50" s="276"/>
      <c r="E50" s="276"/>
      <c r="F50" s="308">
        <f>IF('数据-取费表'!B24=0,'数据-取费表'!N16,1)</f>
        <v>0.9</v>
      </c>
      <c r="G50" s="291"/>
    </row>
    <row r="51" spans="1:7" ht="16.5" customHeight="1">
      <c r="A51" s="299" t="s">
        <v>2429</v>
      </c>
      <c r="B51" s="254" t="s">
        <v>2464</v>
      </c>
      <c r="C51" s="276">
        <f ca="1">ROUND(C49*F50,0)</f>
        <v>366631016</v>
      </c>
      <c r="D51" s="276"/>
      <c r="E51" s="276"/>
      <c r="F51" s="308"/>
      <c r="G51" s="278" t="s">
        <v>2431</v>
      </c>
    </row>
    <row r="52" spans="1:7" s="252" customFormat="1" ht="16.5" thickBot="1">
      <c r="A52" s="309" t="s">
        <v>2432</v>
      </c>
      <c r="B52" s="310"/>
      <c r="C52" s="311">
        <f ca="1">C31+C51</f>
        <v>399521112</v>
      </c>
      <c r="D52" s="310"/>
      <c r="E52" s="310"/>
      <c r="F52" s="310"/>
      <c r="G52" s="312"/>
    </row>
    <row r="55" spans="1:7" ht="15">
      <c r="B55" s="314" t="s">
        <v>2433</v>
      </c>
      <c r="C55" s="315"/>
    </row>
    <row r="56" spans="1:7">
      <c r="B56" s="317" t="s">
        <v>1513</v>
      </c>
      <c r="C56" s="319">
        <f ca="1">1-C57</f>
        <v>8.1999999999999962E-2</v>
      </c>
    </row>
    <row r="57" spans="1:7">
      <c r="B57" s="317" t="s">
        <v>1514</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0.04</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61537.21</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61537.21</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0</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2501</v>
      </c>
      <c r="C20" s="24">
        <f ca="1">ROUND(D20*E20/10000,0)</f>
        <v>1231</v>
      </c>
      <c r="D20" s="1036">
        <f ca="1">IF(C1="",'数据-汇总表'!E6,IF(INDIRECT("'数据-取费表'!c"&amp;$K$1)="住宅",INDIRECT("'数据-取费表'!s"&amp;$K$1),INDIRECT("'数据-取费表'!k"&amp;$K$1)+INDIRECT("'数据-取费表'!s"&amp;$K$1)))</f>
        <v>61537.21</v>
      </c>
      <c r="E20" s="24">
        <f>'数据-取费表'!B28</f>
        <v>200</v>
      </c>
      <c r="F20" s="979"/>
      <c r="G20" s="15"/>
      <c r="H20" s="984"/>
      <c r="I20" s="984"/>
      <c r="J20" s="984"/>
      <c r="K20" s="985"/>
    </row>
    <row r="21" spans="1:33" s="978" customFormat="1" ht="13.5" customHeight="1">
      <c r="A21" s="964" t="s">
        <v>802</v>
      </c>
      <c r="B21" s="988" t="s">
        <v>2502</v>
      </c>
      <c r="C21" s="989">
        <f ca="1">C16+C17+C18</f>
        <v>0</v>
      </c>
      <c r="D21" s="990"/>
      <c r="E21" s="325"/>
      <c r="F21" s="325"/>
      <c r="G21" s="140" t="s">
        <v>2503</v>
      </c>
      <c r="H21" s="982"/>
      <c r="I21" s="982"/>
      <c r="J21" s="982"/>
      <c r="K21" s="983"/>
    </row>
    <row r="22" spans="1:33" s="978" customFormat="1" ht="13.5" customHeight="1">
      <c r="A22" s="964" t="s">
        <v>2475</v>
      </c>
      <c r="B22" s="988" t="s">
        <v>2504</v>
      </c>
      <c r="C22" s="989">
        <f ca="1">ROUND(C21*F22,0)</f>
        <v>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2.86E-2</v>
      </c>
      <c r="D24" s="325" t="s">
        <v>15</v>
      </c>
      <c r="E24" s="325"/>
      <c r="F24" s="991">
        <f>'数据-取费表'!B48+'数据-取费表'!B49</f>
        <v>3.005E-2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0</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0</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3107</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69655</v>
      </c>
      <c r="C2" s="1848" t="s">
        <v>1516</v>
      </c>
      <c r="D2" s="1848"/>
      <c r="E2" s="1849"/>
      <c r="F2" s="1850"/>
      <c r="G2" s="1851"/>
      <c r="H2" s="1843"/>
      <c r="I2" s="1843"/>
      <c r="J2" s="1843"/>
      <c r="K2" s="1844"/>
      <c r="L2" s="1843"/>
      <c r="M2" s="1843"/>
    </row>
    <row r="3" spans="1:37" ht="18" customHeight="1" thickBot="1">
      <c r="A3" s="1852" t="s">
        <v>1517</v>
      </c>
      <c r="B3" s="1853">
        <f ca="1">IF(ISERROR(B2*10000/F43),0,ROUND(B2*10000/F43,0))</f>
        <v>12565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6070</v>
      </c>
      <c r="D5" s="1825" t="s">
        <v>1402</v>
      </c>
      <c r="E5" s="1296"/>
      <c r="F5" s="1297"/>
      <c r="G5" s="1854"/>
      <c r="H5" s="344">
        <v>1</v>
      </c>
      <c r="I5" s="345" t="s">
        <v>1401</v>
      </c>
      <c r="J5" s="1295">
        <f ca="1">J6+J10+J12</f>
        <v>0</v>
      </c>
      <c r="K5" s="1825" t="s">
        <v>1402</v>
      </c>
      <c r="L5" s="1296"/>
      <c r="M5" s="1297"/>
    </row>
    <row r="6" spans="1:37" ht="18" customHeight="1">
      <c r="A6" s="1294" t="s">
        <v>1035</v>
      </c>
      <c r="B6" s="3154" t="s">
        <v>1403</v>
      </c>
      <c r="C6" s="1299">
        <f ca="1">ROUND(F6*F8*F7*(1-F9)/10000,0)</f>
        <v>6070</v>
      </c>
      <c r="D6" s="164" t="s">
        <v>3038</v>
      </c>
      <c r="E6" s="347" t="s">
        <v>1405</v>
      </c>
      <c r="F6" s="348">
        <f ca="1">INDIRECT("'数据-取费表'!u"&amp;$G$1)</f>
        <v>5</v>
      </c>
      <c r="G6" s="1854"/>
      <c r="H6" s="1294" t="s">
        <v>1035</v>
      </c>
      <c r="I6" s="3154" t="s">
        <v>1403</v>
      </c>
      <c r="J6" s="346">
        <f ca="1">ROUND(M6*M8*M7*(1-M9)/10000,0)</f>
        <v>0</v>
      </c>
      <c r="K6" s="164" t="s">
        <v>3037</v>
      </c>
      <c r="L6" s="347" t="s">
        <v>1405</v>
      </c>
      <c r="M6" s="348">
        <f ca="1">INDIRECT("'数据-取费表'!z"&amp;$G$1)</f>
        <v>0</v>
      </c>
    </row>
    <row r="7" spans="1:37" ht="18" customHeight="1">
      <c r="A7" s="1298"/>
      <c r="B7" s="3155"/>
      <c r="C7" s="1300"/>
      <c r="D7" s="352"/>
      <c r="E7" s="1301" t="s">
        <v>1406</v>
      </c>
      <c r="F7" s="348">
        <f ca="1">IF(INDIRECT("'数据-取费表'!ah"&amp;$G$1)="",INDIRECT("'数据-取费表'!k"&amp;$G$1),INDIRECT("'数据-取费表'!ah"&amp;$G$1))</f>
        <v>55436.959999999999</v>
      </c>
      <c r="G7" s="1854"/>
      <c r="H7" s="349"/>
      <c r="I7" s="3155"/>
      <c r="J7" s="351"/>
      <c r="K7" s="352"/>
      <c r="L7" s="347" t="s">
        <v>1406</v>
      </c>
      <c r="M7" s="348">
        <f ca="1">F7</f>
        <v>55436.959999999999</v>
      </c>
    </row>
    <row r="8" spans="1:37" ht="18" customHeight="1">
      <c r="A8" s="349"/>
      <c r="B8" s="3155"/>
      <c r="C8" s="351"/>
      <c r="D8" s="352"/>
      <c r="E8" s="347" t="s">
        <v>1407</v>
      </c>
      <c r="F8" s="348">
        <f ca="1">INDIRECT("'数据-取费表'!ai"&amp;$G$1)</f>
        <v>365</v>
      </c>
      <c r="G8" s="1854"/>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0.4</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35013</v>
      </c>
      <c r="D13" s="1334" t="s">
        <v>1415</v>
      </c>
      <c r="E13" s="1334" t="s">
        <v>1416</v>
      </c>
      <c r="F13" s="1335">
        <f ca="1">INDIRECT("'数据-取费表'!y"&amp;$G$1)</f>
        <v>0.9</v>
      </c>
      <c r="G13" s="1854"/>
      <c r="H13" s="1332">
        <v>2</v>
      </c>
      <c r="I13" s="1333" t="s">
        <v>1414</v>
      </c>
      <c r="J13" s="1293">
        <f ca="1">ROUND(J14*J15,0)</f>
        <v>35013</v>
      </c>
      <c r="K13" s="1340" t="s">
        <v>1415</v>
      </c>
      <c r="L13" s="1855"/>
      <c r="M13" s="1856"/>
    </row>
    <row r="14" spans="1:37" ht="18" customHeight="1">
      <c r="A14" s="1204" t="s">
        <v>1034</v>
      </c>
      <c r="B14" s="347" t="s">
        <v>1417</v>
      </c>
      <c r="C14" s="363">
        <f ca="1">INDIRECT("'数据-取费表'!m"&amp;$G$1)+INDIRECT("'数据-取费表'!t"&amp;$G$1)</f>
        <v>27718</v>
      </c>
      <c r="D14" s="1803" t="s">
        <v>1418</v>
      </c>
      <c r="E14" s="1797"/>
      <c r="F14" s="364"/>
      <c r="G14" s="1854"/>
      <c r="H14" s="1204" t="s">
        <v>1035</v>
      </c>
      <c r="I14" s="347" t="s">
        <v>1419</v>
      </c>
      <c r="J14" s="24">
        <f ca="1">C29</f>
        <v>38903</v>
      </c>
      <c r="K14" s="15"/>
      <c r="L14" s="982"/>
      <c r="M14" s="983"/>
    </row>
    <row r="15" spans="1:37" s="1861" customFormat="1" ht="18" customHeight="1" thickBot="1">
      <c r="A15" s="1204" t="s">
        <v>1036</v>
      </c>
      <c r="B15" s="347" t="s">
        <v>1420</v>
      </c>
      <c r="C15" s="24">
        <f ca="1">ROUND(C14*F15,0)</f>
        <v>1109</v>
      </c>
      <c r="D15" s="365" t="s">
        <v>1421</v>
      </c>
      <c r="E15" s="365" t="s">
        <v>1422</v>
      </c>
      <c r="F15" s="366">
        <f>'数据-取费表'!B33</f>
        <v>0.04</v>
      </c>
      <c r="G15" s="1857"/>
      <c r="H15" s="1342" t="s">
        <v>1039</v>
      </c>
      <c r="I15" s="1343" t="s">
        <v>1416</v>
      </c>
      <c r="J15" s="1352">
        <f ca="1">INDIRECT("'数据-取费表'!ad"&amp;$G$1)</f>
        <v>0.9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1181</v>
      </c>
      <c r="K16" s="1340" t="s">
        <v>1425</v>
      </c>
      <c r="L16" s="1341"/>
      <c r="M16" s="1297"/>
    </row>
    <row r="17" spans="1:37" s="1861" customFormat="1" ht="18" customHeight="1">
      <c r="A17" s="1204" t="s">
        <v>1390</v>
      </c>
      <c r="B17" s="347" t="s">
        <v>1426</v>
      </c>
      <c r="C17" s="24">
        <f ca="1">ROUND(F17*(F43+INDIRECT("'数据-取费表'!S"&amp;$G$1))/10000,0)</f>
        <v>1109</v>
      </c>
      <c r="D17" s="347" t="s">
        <v>1427</v>
      </c>
      <c r="E17" s="347" t="s">
        <v>1428</v>
      </c>
      <c r="F17" s="26">
        <f>'数据-取费表'!B35</f>
        <v>200</v>
      </c>
      <c r="G17" s="1857"/>
      <c r="H17" s="1204" t="s">
        <v>1035</v>
      </c>
      <c r="I17" s="347" t="s">
        <v>1429</v>
      </c>
      <c r="J17" s="24">
        <f ca="1">ROUND(IF(项目基本情况!B11="自然人",J5*M17,J18+J19+J20),1)</f>
        <v>333.2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30352</v>
      </c>
      <c r="D19" s="140" t="s">
        <v>1436</v>
      </c>
      <c r="E19" s="1821"/>
      <c r="F19" s="26"/>
      <c r="G19" s="1854"/>
      <c r="H19" s="1204" t="s">
        <v>1036</v>
      </c>
      <c r="I19" s="347" t="s">
        <v>1437</v>
      </c>
      <c r="J19" s="24">
        <f ca="1">IF(K19="按租金收入计税",ROUND(J5*M19,2),ROUND(C29*M19*0.7,2))</f>
        <v>326.79000000000002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607</v>
      </c>
      <c r="D20" s="369" t="s">
        <v>1440</v>
      </c>
      <c r="E20" s="347" t="s">
        <v>1422</v>
      </c>
      <c r="F20" s="367">
        <f>'数据-取费表'!B37</f>
        <v>0.02</v>
      </c>
      <c r="G20" s="1857"/>
      <c r="H20" s="1204" t="s">
        <v>1389</v>
      </c>
      <c r="I20" s="164" t="s">
        <v>1441</v>
      </c>
      <c r="J20" s="25">
        <f ca="1">ROUND(M20*M21/10000,2)</f>
        <v>6.41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21378.75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778.1</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1471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70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-1181</v>
      </c>
      <c r="K25" s="1348" t="s">
        <v>1464</v>
      </c>
      <c r="L25" s="1349"/>
      <c r="M25" s="1350"/>
    </row>
    <row r="26" spans="1:37">
      <c r="A26" s="1204" t="s">
        <v>1034</v>
      </c>
      <c r="B26" s="347" t="s">
        <v>1465</v>
      </c>
      <c r="C26" s="24">
        <f ca="1">ROUND((C19+C20)*F26,0)</f>
        <v>3096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38903</v>
      </c>
      <c r="D29" s="1345"/>
      <c r="E29" s="1343"/>
      <c r="F29" s="1346"/>
      <c r="G29" s="1857"/>
      <c r="H29" s="380" t="s">
        <v>1033</v>
      </c>
      <c r="I29" s="381" t="s">
        <v>1479</v>
      </c>
      <c r="J29" s="382">
        <f ca="1">ROUND(J26/(1+F40)^F41,0)</f>
        <v>0</v>
      </c>
      <c r="K29" s="383" t="s">
        <v>1480</v>
      </c>
      <c r="L29" s="384"/>
      <c r="M29" s="385">
        <f ca="1">INDIRECT("'数据-取费表'!k"&amp;$G$1)</f>
        <v>55436.959999999999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2083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1052.8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317.95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728.4</v>
      </c>
      <c r="D33" s="1831" t="s">
        <v>3068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6.41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21378.75</v>
      </c>
      <c r="G35" s="1854"/>
      <c r="H35" s="745"/>
      <c r="I35" s="1863"/>
      <c r="J35" s="1864"/>
      <c r="K35" s="1865"/>
      <c r="L35" s="1862"/>
      <c r="M35" s="1862"/>
    </row>
    <row r="36" spans="1:18" ht="18" customHeight="1">
      <c r="A36" s="1355" t="s">
        <v>1039</v>
      </c>
      <c r="B36" s="347" t="s">
        <v>1449</v>
      </c>
      <c r="C36" s="24">
        <f ca="1">ROUND(C29*F36,1)</f>
        <v>778.1</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70</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182.1</v>
      </c>
      <c r="D38" s="1345" t="s">
        <v>1459</v>
      </c>
      <c r="E38" s="1343" t="s">
        <v>1455</v>
      </c>
      <c r="F38" s="1339">
        <f ca="1">INDIRECT("'数据-取费表'!Am"&amp;$G$1)</f>
        <v>0.03</v>
      </c>
      <c r="G38" s="1854"/>
      <c r="H38" s="1862"/>
      <c r="I38" s="1863"/>
      <c r="J38" s="1864"/>
      <c r="K38" s="1868"/>
      <c r="L38" s="1862"/>
      <c r="M38" s="1862"/>
    </row>
    <row r="39" spans="1:18" ht="24.6" customHeight="1" thickTop="1">
      <c r="A39" s="1332" t="s">
        <v>1031</v>
      </c>
      <c r="B39" s="1347" t="s">
        <v>1483</v>
      </c>
      <c r="C39" s="355">
        <f ca="1">C5-C30</f>
        <v>3987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69655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12565</v>
      </c>
      <c r="D43" s="383" t="s">
        <v>1488</v>
      </c>
      <c r="E43" s="384" t="s">
        <v>1489</v>
      </c>
      <c r="F43" s="385">
        <f ca="1">INDIRECT("'数据-取费表'!k"&amp;$G$1)</f>
        <v>55436.959999999999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-82111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3066</v>
      </c>
      <c r="K47" s="1885" t="s">
        <v>1527</v>
      </c>
      <c r="L47" s="1886">
        <f ca="1">INDIRECT("'数据-取费表'!d"&amp;$G$1)</f>
        <v>50</v>
      </c>
      <c r="M47" s="1841" t="str">
        <f>IF(ISNUMBER(FIND("住宅",C1)),"住宅","非住宅")</f>
        <v>非住宅</v>
      </c>
      <c r="O47" s="1887" t="s">
        <v>1040</v>
      </c>
      <c r="P47" s="1888" t="s">
        <v>1528</v>
      </c>
      <c r="Q47" s="1889">
        <f ca="1">C40+J29</f>
        <v>69655</v>
      </c>
      <c r="R47" s="1889" t="s">
        <v>1529</v>
      </c>
    </row>
    <row r="48" spans="1:18" s="1845" customFormat="1" ht="28.5" thickBot="1">
      <c r="A48" s="1363" t="s">
        <v>1135</v>
      </c>
      <c r="B48" s="345" t="s">
        <v>1401</v>
      </c>
      <c r="C48" s="1820">
        <f ca="1">C49+C53+C55</f>
        <v>0</v>
      </c>
      <c r="D48" s="1365"/>
      <c r="E48" s="1366"/>
      <c r="F48" s="1184"/>
      <c r="G48" s="792"/>
      <c r="H48" s="793"/>
      <c r="I48" s="1890" t="s">
        <v>1530</v>
      </c>
      <c r="J48" s="1891" t="s">
        <v>3067</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3039</v>
      </c>
      <c r="E49" s="1833" t="s">
        <v>1491</v>
      </c>
      <c r="F49" s="1284"/>
      <c r="G49" s="1894"/>
      <c r="H49" s="793"/>
      <c r="I49" s="1890" t="s">
        <v>1534</v>
      </c>
      <c r="J49" s="1895">
        <v>2012</v>
      </c>
      <c r="K49" s="1892" t="s">
        <v>1535</v>
      </c>
      <c r="L49" s="1896"/>
      <c r="O49" s="1897" t="s">
        <v>1042</v>
      </c>
      <c r="P49" s="1888" t="s">
        <v>1536</v>
      </c>
      <c r="Q49" s="1889">
        <f ca="1">C29</f>
        <v>38903</v>
      </c>
      <c r="R49" s="1889" t="s">
        <v>1529</v>
      </c>
    </row>
    <row r="50" spans="1:18" s="1845" customFormat="1" ht="13.5" thickBot="1">
      <c r="A50" s="1198"/>
      <c r="B50" s="1201"/>
      <c r="C50" s="1371"/>
      <c r="D50" s="1175"/>
      <c r="E50" s="1280" t="s">
        <v>1406</v>
      </c>
      <c r="F50" s="1281">
        <f ca="1">F7</f>
        <v>55436.959999999999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12933</v>
      </c>
      <c r="M51" s="1905"/>
      <c r="O51" s="1897" t="s">
        <v>1044</v>
      </c>
      <c r="P51" s="1888" t="s">
        <v>1542</v>
      </c>
      <c r="Q51" s="1900">
        <f>J52</f>
        <v>9.5000000000000001E-2</v>
      </c>
      <c r="R51" s="1889"/>
    </row>
    <row r="52" spans="1:18" s="1845" customFormat="1" ht="13.5" thickBot="1">
      <c r="A52" s="1199"/>
      <c r="B52" s="1201"/>
      <c r="C52" s="1202"/>
      <c r="D52" s="1175"/>
      <c r="E52" s="1203" t="s">
        <v>1408</v>
      </c>
      <c r="F52" s="1278"/>
      <c r="I52" s="1906" t="s">
        <v>1543</v>
      </c>
      <c r="J52" s="1907">
        <v>9.5000000000000001E-2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35.56</v>
      </c>
      <c r="K53" s="3152" t="s">
        <v>1548</v>
      </c>
      <c r="L53" s="3153"/>
      <c r="O53" s="1887" t="s">
        <v>1046</v>
      </c>
      <c r="P53" s="1888" t="s">
        <v>1549</v>
      </c>
      <c r="Q53" s="1889">
        <f ca="1">Q47+Q48</f>
        <v>69655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35013</v>
      </c>
      <c r="D56" s="1917"/>
      <c r="E56" s="1918"/>
      <c r="F56" s="1910"/>
      <c r="I56" s="1919" t="s">
        <v>1554</v>
      </c>
      <c r="J56" s="1920" t="s">
        <v>3060</v>
      </c>
      <c r="K56" s="1890" t="s">
        <v>1555</v>
      </c>
      <c r="L56" s="1893" t="str">
        <f ca="1">IF(L48&lt;J51,"——",L48-J53)</f>
        <v>——</v>
      </c>
      <c r="O56" s="1887" t="s">
        <v>1040</v>
      </c>
      <c r="P56" s="1888" t="s">
        <v>1528</v>
      </c>
      <c r="Q56" s="1889">
        <f ca="1">C40+J29</f>
        <v>69655</v>
      </c>
      <c r="R56" s="1889" t="s">
        <v>1529</v>
      </c>
    </row>
    <row r="57" spans="1:18" s="1845" customFormat="1" ht="24.75" thickBot="1">
      <c r="A57" s="1921"/>
      <c r="B57" s="1172" t="s">
        <v>1478</v>
      </c>
      <c r="C57" s="282">
        <f ca="1">C29</f>
        <v>38903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855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6.4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3068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6.41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69655</v>
      </c>
      <c r="R62" s="1889" t="s">
        <v>1047</v>
      </c>
    </row>
    <row r="63" spans="1:18" s="1845" customFormat="1" ht="13.5" thickBot="1">
      <c r="A63" s="372"/>
      <c r="B63" s="1178"/>
      <c r="C63" s="29"/>
      <c r="D63" s="1188"/>
      <c r="E63" s="1172" t="s">
        <v>1499</v>
      </c>
      <c r="F63" s="348">
        <f t="shared" ca="1" si="0"/>
        <v>21378.75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778.1</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70</v>
      </c>
      <c r="D65" s="1186" t="s">
        <v>1454</v>
      </c>
      <c r="E65" s="1172" t="s">
        <v>1455</v>
      </c>
      <c r="F65" s="376">
        <f t="shared" ca="1" si="0"/>
        <v>2E-3</v>
      </c>
      <c r="I65" s="1932" t="s">
        <v>1579</v>
      </c>
      <c r="J65" s="1933">
        <v>40</v>
      </c>
      <c r="K65" s="1933">
        <v>30</v>
      </c>
      <c r="L65" s="1933">
        <v>50</v>
      </c>
      <c r="M65" s="1935">
        <v>0.02</v>
      </c>
      <c r="O65" s="1887" t="s">
        <v>1040</v>
      </c>
      <c r="P65" s="1888" t="s">
        <v>1580</v>
      </c>
      <c r="Q65" s="1889">
        <f ca="1">C40+J29</f>
        <v>69655</v>
      </c>
      <c r="R65" s="1889" t="s">
        <v>1529</v>
      </c>
    </row>
    <row r="66" spans="1:18" s="1845" customFormat="1" ht="16.5" thickBot="1">
      <c r="A66" s="1204" t="s">
        <v>1504</v>
      </c>
      <c r="B66" s="1172" t="s">
        <v>1439</v>
      </c>
      <c r="C66" s="24">
        <f ca="1">ROUND(C48*F66,1)</f>
        <v>0</v>
      </c>
      <c r="D66" s="1186" t="s">
        <v>1505</v>
      </c>
      <c r="E66" s="1172" t="s">
        <v>1422</v>
      </c>
      <c r="F66" s="357">
        <f t="shared" ca="1" si="0"/>
        <v>0.03</v>
      </c>
      <c r="O66" s="1887" t="s">
        <v>1041</v>
      </c>
      <c r="P66" s="1888" t="s">
        <v>1558</v>
      </c>
      <c r="Q66" s="1889">
        <f ca="1">L60</f>
        <v>0</v>
      </c>
      <c r="R66" s="1889" t="s">
        <v>1581</v>
      </c>
    </row>
    <row r="67" spans="1:18" s="1845" customFormat="1" ht="16.5" thickBot="1">
      <c r="A67" s="1179" t="s">
        <v>1031</v>
      </c>
      <c r="B67" s="1189" t="s">
        <v>1463</v>
      </c>
      <c r="C67" s="361">
        <f ca="1">C48-C58</f>
        <v>-855</v>
      </c>
      <c r="D67" s="1185" t="s">
        <v>1464</v>
      </c>
      <c r="E67" s="1190"/>
      <c r="F67" s="1191"/>
      <c r="O67" s="1897" t="s">
        <v>1042</v>
      </c>
      <c r="P67" s="1888" t="s">
        <v>1562</v>
      </c>
      <c r="Q67" s="1936">
        <f ca="1">L51</f>
        <v>12933</v>
      </c>
      <c r="R67" s="1889" t="s">
        <v>1582</v>
      </c>
    </row>
    <row r="68" spans="1:18" s="1845" customFormat="1" ht="16.5" thickBot="1">
      <c r="A68" s="1169" t="s">
        <v>1032</v>
      </c>
      <c r="B68" s="1170" t="s">
        <v>1485</v>
      </c>
      <c r="C68" s="346">
        <f ca="1">ROUND(C67*(1-((1+F70)/(1+F68))^F69)/(F68-F70),0)</f>
        <v>-12456</v>
      </c>
      <c r="D68" s="1187" t="s">
        <v>1469</v>
      </c>
      <c r="E68" s="1172" t="s">
        <v>1470</v>
      </c>
      <c r="F68" s="357">
        <f ca="1">F40</f>
        <v>0.06</v>
      </c>
      <c r="O68" s="1897" t="s">
        <v>1043</v>
      </c>
      <c r="P68" s="1937" t="s">
        <v>1583</v>
      </c>
      <c r="Q68" s="1889">
        <f ca="1">ROUND(Q69-Q70*Q71,0)</f>
        <v>836</v>
      </c>
      <c r="R68" s="1889" t="s">
        <v>1051</v>
      </c>
    </row>
    <row r="69" spans="1:18" s="1845" customFormat="1" ht="13.5" thickBot="1">
      <c r="A69" s="1173"/>
      <c r="B69" s="1174"/>
      <c r="C69" s="351"/>
      <c r="D69" s="1192" t="s">
        <v>1473</v>
      </c>
      <c r="E69" s="1172" t="s">
        <v>1474</v>
      </c>
      <c r="F69" s="379">
        <f ca="1">F41</f>
        <v>35.56</v>
      </c>
      <c r="O69" s="1897" t="s">
        <v>1048</v>
      </c>
      <c r="P69" s="1937" t="s">
        <v>1584</v>
      </c>
      <c r="Q69" s="1889">
        <f ca="1">C39</f>
        <v>3987</v>
      </c>
      <c r="R69" s="1889" t="s">
        <v>1529</v>
      </c>
    </row>
    <row r="70" spans="1:18" s="1845" customFormat="1" ht="13.5" thickBot="1">
      <c r="A70" s="1176"/>
      <c r="B70" s="1177"/>
      <c r="C70" s="355"/>
      <c r="D70" s="1188"/>
      <c r="E70" s="1172" t="s">
        <v>1477</v>
      </c>
      <c r="F70" s="1278"/>
      <c r="O70" s="1897" t="s">
        <v>1049</v>
      </c>
      <c r="P70" s="1937" t="s">
        <v>1585</v>
      </c>
      <c r="Q70" s="1889">
        <f ca="1">C13</f>
        <v>35013</v>
      </c>
      <c r="R70" s="1889" t="s">
        <v>1529</v>
      </c>
    </row>
    <row r="71" spans="1:18" s="1845" customFormat="1" ht="13.5" thickBot="1">
      <c r="A71" s="1193" t="s">
        <v>1033</v>
      </c>
      <c r="B71" s="1194" t="s">
        <v>1487</v>
      </c>
      <c r="C71" s="382">
        <f ca="1">ROUND(C68*10000/F71,0)</f>
        <v>-2247</v>
      </c>
      <c r="D71" s="1195" t="s">
        <v>1488</v>
      </c>
      <c r="E71" s="1196" t="s">
        <v>1489</v>
      </c>
      <c r="F71" s="385">
        <f ca="1">F43</f>
        <v>55436.959999999999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3151</v>
      </c>
      <c r="D75" s="1845"/>
      <c r="E75" s="1845"/>
      <c r="F75" s="1845"/>
      <c r="K75" s="1871"/>
      <c r="L75" s="1845"/>
      <c r="O75" s="1887" t="s">
        <v>1046</v>
      </c>
      <c r="P75" s="1888" t="s">
        <v>1549</v>
      </c>
      <c r="Q75" s="1889">
        <f ca="1">Q65+Q66</f>
        <v>69655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0.20999999999999996</v>
      </c>
    </row>
    <row r="80" spans="1:18">
      <c r="B80" s="386" t="s">
        <v>1511</v>
      </c>
      <c r="C80" s="318">
        <f ca="1">ROUND(C75/C39,3)</f>
        <v>0.79</v>
      </c>
    </row>
    <row r="81" spans="2:3">
      <c r="B81" s="314" t="s">
        <v>1512</v>
      </c>
      <c r="C81" s="282"/>
    </row>
    <row r="82" spans="2:3">
      <c r="B82" s="317" t="s">
        <v>1513</v>
      </c>
      <c r="C82" s="319">
        <f ca="1">1-C83</f>
        <v>0.497</v>
      </c>
    </row>
    <row r="83" spans="2:3">
      <c r="B83" s="317" t="s">
        <v>1514</v>
      </c>
      <c r="C83" s="318">
        <f ca="1">ROUND(C13/C40,3)</f>
        <v>0.503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54" t="s">
        <v>1403</v>
      </c>
      <c r="C6" s="1299">
        <f ca="1">ROUND(F6*F8*F7*(1-F9),0)</f>
        <v>0</v>
      </c>
      <c r="D6" s="164" t="s">
        <v>3035</v>
      </c>
      <c r="E6" s="347" t="s">
        <v>1405</v>
      </c>
      <c r="F6" s="348">
        <f ca="1">INDIRECT("'数据-取费表'!u"&amp;$G$1)</f>
        <v>0</v>
      </c>
      <c r="G6" s="1854"/>
      <c r="H6" s="1294" t="s">
        <v>1035</v>
      </c>
      <c r="I6" s="3154" t="s">
        <v>1403</v>
      </c>
      <c r="J6" s="346">
        <f ca="1">ROUND(M6*M8*M7*(1-M9),0)</f>
        <v>0</v>
      </c>
      <c r="K6" s="1837" t="s">
        <v>3036</v>
      </c>
      <c r="L6" s="347" t="s">
        <v>1405</v>
      </c>
      <c r="M6" s="348">
        <f ca="1">INDIRECT("'数据-取费表'!z"&amp;$G$1)</f>
        <v>0</v>
      </c>
    </row>
    <row r="7" spans="1:37" ht="18" customHeight="1">
      <c r="A7" s="1298"/>
      <c r="B7" s="3155"/>
      <c r="C7" s="1300"/>
      <c r="D7" s="352"/>
      <c r="E7" s="1301" t="s">
        <v>1406</v>
      </c>
      <c r="F7" s="348">
        <f ca="1">IF(INDIRECT("'数据-取费表'!ah"&amp;$G$1)="",INDIRECT("'数据-取费表'!k"&amp;$G$1),INDIRECT("'数据-取费表'!ah"&amp;$G$1))</f>
        <v>0</v>
      </c>
      <c r="G7" s="1854"/>
      <c r="H7" s="349"/>
      <c r="I7" s="3155"/>
      <c r="J7" s="351"/>
      <c r="K7" s="352"/>
      <c r="L7" s="347" t="s">
        <v>1406</v>
      </c>
      <c r="M7" s="348">
        <f ca="1">F7</f>
        <v>0</v>
      </c>
    </row>
    <row r="8" spans="1:37" ht="18" customHeight="1">
      <c r="A8" s="349"/>
      <c r="B8" s="3155"/>
      <c r="C8" s="351"/>
      <c r="D8" s="352"/>
      <c r="E8" s="347" t="s">
        <v>1407</v>
      </c>
      <c r="F8" s="348">
        <f ca="1">INDIRECT("'数据-取费表'!ai"&amp;$G$1)</f>
        <v>0</v>
      </c>
      <c r="G8" s="1854"/>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38" t="s">
        <v>3048</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3049</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2" t="s">
        <v>1548</v>
      </c>
      <c r="L53" s="315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69375</v>
      </c>
      <c r="C2" s="2572" t="s">
        <v>2525</v>
      </c>
      <c r="D2" s="2573" t="s">
        <v>2526</v>
      </c>
      <c r="E2" s="2574">
        <f>SUM(E6:E13)</f>
        <v>58540.31</v>
      </c>
    </row>
    <row r="3" spans="1:6" ht="15.75">
      <c r="A3" s="2570" t="s">
        <v>1395</v>
      </c>
      <c r="B3" s="2571">
        <f ca="1">ROUND(B2*10000/E2,0)</f>
        <v>11851</v>
      </c>
      <c r="C3" s="2572" t="s">
        <v>2533</v>
      </c>
      <c r="D3" s="2575"/>
      <c r="E3" s="2576"/>
    </row>
    <row r="4" spans="1:6" ht="15.75">
      <c r="A4" s="2577"/>
      <c r="B4" s="2575"/>
      <c r="C4" s="2575"/>
      <c r="D4" s="2575"/>
      <c r="E4" s="2576"/>
    </row>
    <row r="5" spans="1:6" ht="15">
      <c r="A5" s="2578" t="s">
        <v>2527</v>
      </c>
      <c r="B5" s="3157" t="s">
        <v>2528</v>
      </c>
      <c r="C5" s="3157"/>
      <c r="D5" s="2579"/>
      <c r="E5" s="2580" t="s">
        <v>2529</v>
      </c>
      <c r="F5" s="2581" t="s">
        <v>2530</v>
      </c>
    </row>
    <row r="6" spans="1:6">
      <c r="A6" s="2582" t="str">
        <f>'数据-取费表'!AN6</f>
        <v>收益法</v>
      </c>
      <c r="B6" s="2581">
        <f ca="1">IF(F6="是",'数据-取费表'!AO6,0)</f>
        <v>69655</v>
      </c>
      <c r="C6" s="2572" t="s">
        <v>2525</v>
      </c>
      <c r="D6" s="2575"/>
      <c r="E6" s="2583">
        <f>IF(OR(A6=0,F6="否"),0,'数据-取费表'!K6+'数据-取费表'!S6)</f>
        <v>55436.959999999999</v>
      </c>
      <c r="F6" s="2584" t="s">
        <v>2531</v>
      </c>
    </row>
    <row r="7" spans="1:6">
      <c r="A7" s="2582" t="str">
        <f>'数据-取费表'!AN7</f>
        <v>收益法 (车位)</v>
      </c>
      <c r="B7" s="2581">
        <f ca="1">IF(F7="是",'数据-取费表'!AO7,0)</f>
        <v>-280</v>
      </c>
      <c r="C7" s="2572" t="s">
        <v>2525</v>
      </c>
      <c r="D7" s="2575"/>
      <c r="E7" s="2583">
        <f>IF(OR(A7=0,F7="否"),0,'数据-取费表'!K7+'数据-取费表'!S7)</f>
        <v>3103.3500000000004</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1076</v>
      </c>
      <c r="B1" s="3175"/>
      <c r="C1" s="3176"/>
      <c r="D1" s="3177">
        <f>SUM(I10,I15,I20,I21,I23)</f>
        <v>0</v>
      </c>
      <c r="E1" s="3177"/>
      <c r="F1" s="3177"/>
      <c r="G1" s="3177"/>
      <c r="H1" s="3177"/>
      <c r="I1" s="3178"/>
    </row>
    <row r="2" spans="1:9">
      <c r="A2" s="3164" t="s">
        <v>1077</v>
      </c>
      <c r="B2" s="3165" t="s">
        <v>1078</v>
      </c>
      <c r="C2" s="3165"/>
      <c r="D2" s="1304" t="s">
        <v>1079</v>
      </c>
      <c r="E2" s="1304" t="s">
        <v>1080</v>
      </c>
      <c r="F2" s="1304" t="s">
        <v>1081</v>
      </c>
      <c r="G2" s="1304" t="s">
        <v>1082</v>
      </c>
      <c r="H2" s="1304" t="s">
        <v>1083</v>
      </c>
      <c r="I2" s="1305" t="s">
        <v>1084</v>
      </c>
    </row>
    <row r="3" spans="1:9">
      <c r="A3" s="3164"/>
      <c r="B3" s="3165" t="s">
        <v>1085</v>
      </c>
      <c r="C3" s="3165"/>
      <c r="D3" s="1306"/>
      <c r="E3" s="1304"/>
      <c r="F3" s="1307"/>
      <c r="G3" s="1307"/>
      <c r="H3" s="1308"/>
      <c r="I3" s="1309">
        <f>ROUND(D3*E3*F3*G3*H3/10000,0)</f>
        <v>0</v>
      </c>
    </row>
    <row r="4" spans="1:9">
      <c r="A4" s="3164"/>
      <c r="B4" s="3165" t="s">
        <v>1086</v>
      </c>
      <c r="C4" s="3165"/>
      <c r="D4" s="1306"/>
      <c r="E4" s="1304"/>
      <c r="F4" s="1307"/>
      <c r="G4" s="1307"/>
      <c r="H4" s="1308"/>
      <c r="I4" s="1309">
        <f t="shared" ref="I4:I9" si="0">ROUND(D4*E4*F4*G4*H4/10000,0)</f>
        <v>0</v>
      </c>
    </row>
    <row r="5" spans="1:9">
      <c r="A5" s="3164"/>
      <c r="B5" s="3165" t="s">
        <v>1087</v>
      </c>
      <c r="C5" s="3165"/>
      <c r="D5" s="1306"/>
      <c r="E5" s="1304"/>
      <c r="F5" s="1307"/>
      <c r="G5" s="1307"/>
      <c r="H5" s="1308"/>
      <c r="I5" s="1309">
        <f t="shared" si="0"/>
        <v>0</v>
      </c>
    </row>
    <row r="6" spans="1:9">
      <c r="A6" s="3164"/>
      <c r="B6" s="3165" t="s">
        <v>1088</v>
      </c>
      <c r="C6" s="3165"/>
      <c r="D6" s="1306"/>
      <c r="E6" s="1304"/>
      <c r="F6" s="1307"/>
      <c r="G6" s="1307"/>
      <c r="H6" s="1308"/>
      <c r="I6" s="1309">
        <f t="shared" si="0"/>
        <v>0</v>
      </c>
    </row>
    <row r="7" spans="1:9">
      <c r="A7" s="3164"/>
      <c r="B7" s="3165" t="s">
        <v>1089</v>
      </c>
      <c r="C7" s="3165"/>
      <c r="D7" s="1306"/>
      <c r="E7" s="1304"/>
      <c r="F7" s="1307"/>
      <c r="G7" s="1307"/>
      <c r="H7" s="1308"/>
      <c r="I7" s="1309">
        <f t="shared" si="0"/>
        <v>0</v>
      </c>
    </row>
    <row r="8" spans="1:9">
      <c r="A8" s="3164"/>
      <c r="B8" s="3165" t="s">
        <v>1090</v>
      </c>
      <c r="C8" s="3165"/>
      <c r="D8" s="1306"/>
      <c r="E8" s="1304"/>
      <c r="F8" s="1307"/>
      <c r="G8" s="1307"/>
      <c r="H8" s="1308"/>
      <c r="I8" s="1309">
        <f t="shared" si="0"/>
        <v>0</v>
      </c>
    </row>
    <row r="9" spans="1:9">
      <c r="A9" s="3164"/>
      <c r="B9" s="3165" t="s">
        <v>1091</v>
      </c>
      <c r="C9" s="3165"/>
      <c r="D9" s="1306"/>
      <c r="E9" s="1304"/>
      <c r="F9" s="1307"/>
      <c r="G9" s="1307"/>
      <c r="H9" s="1308"/>
      <c r="I9" s="1309">
        <f t="shared" si="0"/>
        <v>0</v>
      </c>
    </row>
    <row r="10" spans="1:9">
      <c r="A10" s="3164"/>
      <c r="B10" s="3166" t="s">
        <v>1092</v>
      </c>
      <c r="C10" s="3166"/>
      <c r="D10" s="1310"/>
      <c r="E10" s="1310" t="e">
        <f>ROUND(D1*10000/D10/H9,0)</f>
        <v>#DIV/0!</v>
      </c>
      <c r="F10" s="1311"/>
      <c r="G10" s="1311"/>
      <c r="H10" s="1312"/>
      <c r="I10" s="1313">
        <f>SUM(I3:I9)</f>
        <v>0</v>
      </c>
    </row>
    <row r="11" spans="1:9" ht="14.25">
      <c r="A11" s="3164" t="s">
        <v>1093</v>
      </c>
      <c r="B11" s="3165" t="s">
        <v>1094</v>
      </c>
      <c r="C11" s="3165"/>
      <c r="D11" s="1306" t="s">
        <v>1095</v>
      </c>
      <c r="E11" s="1306" t="s">
        <v>1096</v>
      </c>
      <c r="F11" s="1307" t="s">
        <v>1097</v>
      </c>
      <c r="G11" s="1307" t="s">
        <v>1083</v>
      </c>
      <c r="H11" s="1314" t="s">
        <v>1098</v>
      </c>
      <c r="I11" s="1305" t="s">
        <v>1084</v>
      </c>
    </row>
    <row r="12" spans="1:9">
      <c r="A12" s="3164"/>
      <c r="B12" s="3165" t="s">
        <v>1099</v>
      </c>
      <c r="C12" s="3165"/>
      <c r="D12" s="1306"/>
      <c r="E12" s="1306"/>
      <c r="F12" s="1307"/>
      <c r="G12" s="1308"/>
      <c r="H12" s="1315"/>
      <c r="I12" s="1305">
        <f>ROUND(D12*E12*F12*G12/10000,0)</f>
        <v>0</v>
      </c>
    </row>
    <row r="13" spans="1:9">
      <c r="A13" s="3164"/>
      <c r="B13" s="3165" t="s">
        <v>1100</v>
      </c>
      <c r="C13" s="3165"/>
      <c r="D13" s="1306"/>
      <c r="E13" s="1306"/>
      <c r="F13" s="1307"/>
      <c r="G13" s="1308"/>
      <c r="H13" s="1315"/>
      <c r="I13" s="1305">
        <f>ROUND(D13*E13*F13*G13/10000,0)</f>
        <v>0</v>
      </c>
    </row>
    <row r="14" spans="1:9">
      <c r="A14" s="3164"/>
      <c r="B14" s="3165" t="s">
        <v>1101</v>
      </c>
      <c r="C14" s="3165"/>
      <c r="D14" s="1306"/>
      <c r="E14" s="1306"/>
      <c r="F14" s="1307"/>
      <c r="G14" s="1308"/>
      <c r="H14" s="1315"/>
      <c r="I14" s="1305">
        <f>ROUND(D14*E14*F14*G14/10000,0)</f>
        <v>0</v>
      </c>
    </row>
    <row r="15" spans="1:9">
      <c r="A15" s="3164"/>
      <c r="B15" s="3166" t="s">
        <v>1092</v>
      </c>
      <c r="C15" s="3166"/>
      <c r="D15" s="1310"/>
      <c r="E15" s="1310">
        <f>SUM(E12:E14)</f>
        <v>0</v>
      </c>
      <c r="F15" s="1311"/>
      <c r="G15" s="1308"/>
      <c r="H15" s="1315"/>
      <c r="I15" s="1316">
        <f>SUM(I12:I14)</f>
        <v>0</v>
      </c>
    </row>
    <row r="16" spans="1:9" ht="24">
      <c r="A16" s="3164" t="s">
        <v>1102</v>
      </c>
      <c r="B16" s="3165" t="s">
        <v>1103</v>
      </c>
      <c r="C16" s="3165"/>
      <c r="D16" s="1306" t="s">
        <v>1079</v>
      </c>
      <c r="E16" s="1317" t="s">
        <v>1104</v>
      </c>
      <c r="F16" s="1307" t="s">
        <v>1105</v>
      </c>
      <c r="G16" s="1308" t="s">
        <v>1083</v>
      </c>
      <c r="H16" s="1314" t="s">
        <v>1098</v>
      </c>
      <c r="I16" s="1305" t="s">
        <v>1084</v>
      </c>
    </row>
    <row r="17" spans="1:9" ht="14.25">
      <c r="A17" s="3164"/>
      <c r="B17" s="3165" t="s">
        <v>1106</v>
      </c>
      <c r="C17" s="3165"/>
      <c r="D17" s="1306"/>
      <c r="E17" s="1306"/>
      <c r="F17" s="1307"/>
      <c r="G17" s="1308"/>
      <c r="H17" s="1318"/>
      <c r="I17" s="1319">
        <f>ROUND(D17*E17*F17*G17/10000,0)</f>
        <v>0</v>
      </c>
    </row>
    <row r="18" spans="1:9" ht="14.25">
      <c r="A18" s="3164"/>
      <c r="B18" s="3165" t="s">
        <v>1107</v>
      </c>
      <c r="C18" s="3165"/>
      <c r="D18" s="1306"/>
      <c r="E18" s="1306"/>
      <c r="F18" s="1307"/>
      <c r="G18" s="1308"/>
      <c r="H18" s="1318"/>
      <c r="I18" s="1319">
        <f>ROUND(D18*E18*F18*G18/10000,0)</f>
        <v>0</v>
      </c>
    </row>
    <row r="19" spans="1:9" ht="14.25">
      <c r="A19" s="3164"/>
      <c r="B19" s="3165" t="s">
        <v>1108</v>
      </c>
      <c r="C19" s="3165"/>
      <c r="D19" s="1306"/>
      <c r="E19" s="1306"/>
      <c r="F19" s="1307"/>
      <c r="G19" s="1308"/>
      <c r="H19" s="1318"/>
      <c r="I19" s="1319">
        <f>ROUND(D19*E19*F19*G19/10000,0)</f>
        <v>0</v>
      </c>
    </row>
    <row r="20" spans="1:9">
      <c r="A20" s="3164"/>
      <c r="B20" s="3166" t="s">
        <v>1092</v>
      </c>
      <c r="C20" s="3166"/>
      <c r="D20" s="1310">
        <f>SUM(D17:D19)</f>
        <v>0</v>
      </c>
      <c r="E20" s="1310"/>
      <c r="F20" s="1311"/>
      <c r="G20" s="1308"/>
      <c r="H20" s="1315"/>
      <c r="I20" s="1316">
        <f>SUM(I17:I19)</f>
        <v>0</v>
      </c>
    </row>
    <row r="21" spans="1:9">
      <c r="A21" s="3164" t="s">
        <v>1109</v>
      </c>
      <c r="B21" s="3167"/>
      <c r="C21" s="3167"/>
      <c r="D21" s="3167"/>
      <c r="E21" s="3167"/>
      <c r="F21" s="3167"/>
      <c r="G21" s="3167"/>
      <c r="H21" s="1768">
        <v>0.1</v>
      </c>
      <c r="I21" s="1313">
        <f>ROUND(I10*H21,0)</f>
        <v>0</v>
      </c>
    </row>
    <row r="22" spans="1:9" ht="14.25">
      <c r="A22" s="3168" t="s">
        <v>1110</v>
      </c>
      <c r="B22" s="3169"/>
      <c r="C22" s="3170"/>
      <c r="D22" s="1320" t="s">
        <v>1111</v>
      </c>
      <c r="E22" s="1320" t="s">
        <v>1112</v>
      </c>
      <c r="F22" s="1321" t="s">
        <v>1113</v>
      </c>
      <c r="G22" s="1321" t="s">
        <v>1114</v>
      </c>
      <c r="H22" s="1314" t="s">
        <v>1115</v>
      </c>
      <c r="I22" s="1305" t="s">
        <v>1116</v>
      </c>
    </row>
    <row r="23" spans="1:9" ht="14.25" thickBot="1">
      <c r="A23" s="3171"/>
      <c r="B23" s="3172"/>
      <c r="C23" s="3173"/>
      <c r="D23" s="1322"/>
      <c r="E23" s="1322"/>
      <c r="F23" s="1322"/>
      <c r="G23" s="1323"/>
      <c r="H23" s="1324"/>
      <c r="I23" s="1325">
        <f>ROUND(E23*D23*F23*(1-G23)/10000,0)</f>
        <v>0</v>
      </c>
    </row>
    <row r="26" spans="1:9">
      <c r="A26" s="1326" t="s">
        <v>1117</v>
      </c>
      <c r="B26" s="1326"/>
      <c r="C26" s="1326"/>
      <c r="D26" s="1326"/>
      <c r="E26" s="3161">
        <f>C27-C30-C31-C32</f>
        <v>0</v>
      </c>
      <c r="F26" s="3161"/>
      <c r="G26" s="3161"/>
      <c r="H26" s="1740" t="s">
        <v>1340</v>
      </c>
    </row>
    <row r="27" spans="1:9">
      <c r="A27" s="1327">
        <v>1</v>
      </c>
      <c r="B27" s="1328" t="s">
        <v>1118</v>
      </c>
      <c r="C27" s="1328">
        <f>C28+C29</f>
        <v>0</v>
      </c>
      <c r="D27" s="1328"/>
      <c r="E27" s="3162"/>
      <c r="F27" s="3162"/>
      <c r="G27" s="3162"/>
    </row>
    <row r="28" spans="1:9">
      <c r="A28" s="1329" t="s">
        <v>1119</v>
      </c>
      <c r="B28" s="1328" t="s">
        <v>1120</v>
      </c>
      <c r="C28" s="1328"/>
      <c r="D28" s="1328"/>
      <c r="E28" s="3162"/>
      <c r="F28" s="3162"/>
      <c r="G28" s="316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3"/>
      <c r="F32" s="3163"/>
      <c r="G32" s="3163"/>
    </row>
    <row r="33" spans="1:7" hidden="1">
      <c r="A33" s="3158" t="s">
        <v>1129</v>
      </c>
      <c r="B33" s="3159"/>
      <c r="C33" s="3159"/>
      <c r="D33" s="3160"/>
      <c r="E33" s="3161"/>
      <c r="F33" s="3161"/>
      <c r="G33" s="3161"/>
    </row>
    <row r="34" spans="1:7" hidden="1">
      <c r="A34" s="1331">
        <v>1</v>
      </c>
      <c r="B34" s="1328" t="s">
        <v>1130</v>
      </c>
      <c r="C34" s="1328"/>
      <c r="D34" s="1328"/>
      <c r="E34" s="3162"/>
      <c r="F34" s="3162"/>
      <c r="G34" s="3162"/>
    </row>
    <row r="35" spans="1:7" hidden="1">
      <c r="A35" s="1331">
        <v>2</v>
      </c>
      <c r="B35" s="1328" t="s">
        <v>1131</v>
      </c>
      <c r="C35" s="1328"/>
      <c r="D35" s="1328"/>
      <c r="E35" s="3162"/>
      <c r="F35" s="3162"/>
      <c r="G35" s="3162"/>
    </row>
    <row r="36" spans="1:7" hidden="1">
      <c r="A36" s="1331">
        <v>3</v>
      </c>
      <c r="B36" s="1328" t="s">
        <v>1132</v>
      </c>
      <c r="C36" s="1328"/>
      <c r="D36" s="1328"/>
      <c r="E36" s="3162"/>
      <c r="F36" s="3162"/>
      <c r="G36" s="3162"/>
    </row>
    <row r="37" spans="1:7" hidden="1">
      <c r="A37" s="1331">
        <v>4</v>
      </c>
      <c r="B37" s="1328" t="s">
        <v>1133</v>
      </c>
      <c r="C37" s="1328"/>
      <c r="D37" s="1328"/>
      <c r="E37" s="3162"/>
      <c r="F37" s="3162"/>
      <c r="G37" s="3162"/>
    </row>
    <row r="38" spans="1:7" hidden="1">
      <c r="A38" s="3158" t="s">
        <v>1134</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61537.21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197" t="s">
        <v>2542</v>
      </c>
      <c r="D4" s="3198"/>
      <c r="E4" s="3199" t="s">
        <v>2543</v>
      </c>
      <c r="F4" s="3200"/>
      <c r="G4" s="3197" t="s">
        <v>2544</v>
      </c>
      <c r="H4" s="3198"/>
      <c r="I4" s="3197" t="s">
        <v>2545</v>
      </c>
      <c r="J4" s="3198"/>
      <c r="K4" s="2602" t="s">
        <v>2546</v>
      </c>
      <c r="L4" s="1133"/>
      <c r="M4" s="1134"/>
      <c r="N4" s="1134"/>
      <c r="O4" s="1134"/>
      <c r="P4" s="3201" t="s">
        <v>2547</v>
      </c>
      <c r="Q4" s="3202"/>
      <c r="R4" s="3207" t="s">
        <v>2543</v>
      </c>
      <c r="S4" s="3208"/>
      <c r="T4" s="3207" t="s">
        <v>2544</v>
      </c>
      <c r="U4" s="3208"/>
      <c r="V4" s="3213" t="s">
        <v>2545</v>
      </c>
      <c r="W4" s="3213"/>
      <c r="X4" s="1816"/>
      <c r="Y4" s="3207" t="s">
        <v>2547</v>
      </c>
      <c r="Z4" s="3208"/>
      <c r="AA4" s="3194" t="s">
        <v>2543</v>
      </c>
      <c r="AB4" s="3194" t="s">
        <v>2544</v>
      </c>
      <c r="AC4" s="3194" t="s">
        <v>2545</v>
      </c>
    </row>
    <row r="5" spans="1:29" ht="15">
      <c r="A5" s="404"/>
      <c r="B5" s="405"/>
      <c r="C5" s="3216" t="s">
        <v>2548</v>
      </c>
      <c r="D5" s="3217"/>
      <c r="E5" s="3223" t="s">
        <v>2549</v>
      </c>
      <c r="F5" s="3224"/>
      <c r="G5" s="3216" t="s">
        <v>2550</v>
      </c>
      <c r="H5" s="3217"/>
      <c r="I5" s="3216" t="s">
        <v>2551</v>
      </c>
      <c r="J5" s="3217"/>
      <c r="K5" s="2603"/>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2552</v>
      </c>
      <c r="D6" s="3215"/>
      <c r="E6" s="3221" t="s">
        <v>2552</v>
      </c>
      <c r="F6" s="3222"/>
      <c r="G6" s="3214" t="s">
        <v>2552</v>
      </c>
      <c r="H6" s="3215"/>
      <c r="I6" s="3214" t="s">
        <v>2552</v>
      </c>
      <c r="J6" s="3215"/>
      <c r="K6" s="2603" t="s">
        <v>2553</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2554</v>
      </c>
      <c r="B7" s="409"/>
      <c r="C7" s="410">
        <f>'数据-取费表'!B2</f>
        <v>43334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18" t="s">
        <v>2555</v>
      </c>
      <c r="Q7" s="3220"/>
      <c r="R7" s="770" t="s">
        <v>23</v>
      </c>
      <c r="S7" s="771">
        <f t="shared" ref="S7:S15" si="0">F7</f>
        <v>0</v>
      </c>
      <c r="T7" s="770" t="s">
        <v>23</v>
      </c>
      <c r="U7" s="771">
        <f t="shared" ref="U7:U15" si="1">H7</f>
        <v>0</v>
      </c>
      <c r="V7" s="770" t="s">
        <v>23</v>
      </c>
      <c r="W7" s="771">
        <f t="shared" ref="W7:W15" si="2">J7</f>
        <v>0</v>
      </c>
      <c r="X7" s="772"/>
      <c r="Y7" s="3218" t="s">
        <v>2555</v>
      </c>
      <c r="Z7" s="3219"/>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18" t="s">
        <v>2558</v>
      </c>
      <c r="Q8" s="3219"/>
      <c r="R8" s="770" t="s">
        <v>23</v>
      </c>
      <c r="S8" s="771">
        <f t="shared" si="0"/>
        <v>0</v>
      </c>
      <c r="T8" s="770" t="s">
        <v>23</v>
      </c>
      <c r="U8" s="771">
        <f t="shared" si="1"/>
        <v>0</v>
      </c>
      <c r="V8" s="770" t="s">
        <v>23</v>
      </c>
      <c r="W8" s="771">
        <f t="shared" si="2"/>
        <v>0</v>
      </c>
      <c r="X8" s="772"/>
      <c r="Y8" s="3218" t="s">
        <v>2558</v>
      </c>
      <c r="Z8" s="3219"/>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3"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2565</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2566</v>
      </c>
      <c r="Q15" s="1813" t="str">
        <f t="shared" si="6"/>
        <v>居住社区成熟度</v>
      </c>
      <c r="R15" s="774" t="s">
        <v>21</v>
      </c>
      <c r="S15" s="775">
        <f t="shared" si="0"/>
        <v>100</v>
      </c>
      <c r="T15" s="774" t="s">
        <v>21</v>
      </c>
      <c r="U15" s="775">
        <f t="shared" si="1"/>
        <v>100</v>
      </c>
      <c r="V15" s="774" t="s">
        <v>21</v>
      </c>
      <c r="W15" s="775">
        <f t="shared" si="2"/>
        <v>100</v>
      </c>
      <c r="X15" s="1816"/>
      <c r="Y15" s="3184"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2"/>
      <c r="Q16" s="1813"/>
      <c r="R16" s="774"/>
      <c r="S16" s="775"/>
      <c r="T16" s="774"/>
      <c r="U16" s="775"/>
      <c r="V16" s="774"/>
      <c r="W16" s="775"/>
      <c r="X16" s="1816"/>
      <c r="Y16" s="3185"/>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3" t="str">
        <f>B17</f>
        <v>交通便捷度</v>
      </c>
      <c r="R17" s="774" t="s">
        <v>21</v>
      </c>
      <c r="S17" s="775">
        <f>F17</f>
        <v>100</v>
      </c>
      <c r="T17" s="774" t="s">
        <v>21</v>
      </c>
      <c r="U17" s="775">
        <f>H17</f>
        <v>100</v>
      </c>
      <c r="V17" s="774" t="s">
        <v>21</v>
      </c>
      <c r="W17" s="775">
        <f>J17</f>
        <v>100</v>
      </c>
      <c r="X17" s="1816"/>
      <c r="Y17" s="318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2"/>
      <c r="Q18" s="1813"/>
      <c r="R18" s="774"/>
      <c r="S18" s="775"/>
      <c r="T18" s="774"/>
      <c r="U18" s="775"/>
      <c r="V18" s="774"/>
      <c r="W18" s="775"/>
      <c r="X18" s="1816"/>
      <c r="Y18" s="3185"/>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3" t="str">
        <f>B19</f>
        <v>公共配套设施</v>
      </c>
      <c r="R19" s="774" t="s">
        <v>21</v>
      </c>
      <c r="S19" s="775">
        <f>F19</f>
        <v>100</v>
      </c>
      <c r="T19" s="774" t="s">
        <v>21</v>
      </c>
      <c r="U19" s="775">
        <f>H19</f>
        <v>100</v>
      </c>
      <c r="V19" s="774" t="s">
        <v>21</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2"/>
      <c r="Q20" s="1813"/>
      <c r="R20" s="774"/>
      <c r="S20" s="775"/>
      <c r="T20" s="774"/>
      <c r="U20" s="775"/>
      <c r="V20" s="774"/>
      <c r="W20" s="775"/>
      <c r="X20" s="1816"/>
      <c r="Y20" s="3185"/>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2"/>
      <c r="Q22" s="1813"/>
      <c r="R22" s="774"/>
      <c r="S22" s="775"/>
      <c r="T22" s="774"/>
      <c r="U22" s="775"/>
      <c r="V22" s="774"/>
      <c r="W22" s="775"/>
      <c r="X22" s="1816"/>
      <c r="Y22" s="3185"/>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3" t="str">
        <f>B23</f>
        <v>自然及人文环境</v>
      </c>
      <c r="R23" s="774" t="s">
        <v>21</v>
      </c>
      <c r="S23" s="775">
        <f>F23</f>
        <v>100</v>
      </c>
      <c r="T23" s="774" t="s">
        <v>21</v>
      </c>
      <c r="U23" s="775">
        <f>H23</f>
        <v>100</v>
      </c>
      <c r="V23" s="774" t="s">
        <v>21</v>
      </c>
      <c r="W23" s="775">
        <f>J23</f>
        <v>100</v>
      </c>
      <c r="X23" s="1816"/>
      <c r="Y23" s="318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2"/>
      <c r="Q24" s="1813"/>
      <c r="R24" s="774"/>
      <c r="S24" s="775"/>
      <c r="T24" s="774"/>
      <c r="U24" s="775"/>
      <c r="V24" s="774"/>
      <c r="W24" s="775"/>
      <c r="X24" s="1816"/>
      <c r="Y24" s="3185"/>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5"/>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2"/>
      <c r="Q26" s="1813" t="str">
        <f t="shared" si="11"/>
        <v>朝向</v>
      </c>
      <c r="R26" s="774" t="s">
        <v>21</v>
      </c>
      <c r="S26" s="775">
        <f t="shared" si="12"/>
        <v>100</v>
      </c>
      <c r="T26" s="774" t="s">
        <v>21</v>
      </c>
      <c r="U26" s="775">
        <f t="shared" si="13"/>
        <v>100</v>
      </c>
      <c r="V26" s="774" t="s">
        <v>21</v>
      </c>
      <c r="W26" s="775">
        <f t="shared" si="14"/>
        <v>100</v>
      </c>
      <c r="X26" s="1816"/>
      <c r="Y26" s="318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2"/>
      <c r="Q27" s="1798">
        <f t="shared" si="11"/>
        <v>111</v>
      </c>
      <c r="R27" s="770" t="s">
        <v>21</v>
      </c>
      <c r="S27" s="771">
        <f t="shared" si="12"/>
        <v>100</v>
      </c>
      <c r="T27" s="770" t="s">
        <v>21</v>
      </c>
      <c r="U27" s="771">
        <f t="shared" si="13"/>
        <v>100</v>
      </c>
      <c r="V27" s="770" t="s">
        <v>21</v>
      </c>
      <c r="W27" s="771">
        <f t="shared" si="14"/>
        <v>100</v>
      </c>
      <c r="X27" s="772"/>
      <c r="Y27" s="318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2"/>
      <c r="Q28" s="1813">
        <f t="shared" si="11"/>
        <v>111</v>
      </c>
      <c r="R28" s="774" t="s">
        <v>21</v>
      </c>
      <c r="S28" s="775">
        <f t="shared" si="12"/>
        <v>100</v>
      </c>
      <c r="T28" s="774" t="s">
        <v>21</v>
      </c>
      <c r="U28" s="775">
        <f t="shared" si="13"/>
        <v>100</v>
      </c>
      <c r="V28" s="774" t="s">
        <v>21</v>
      </c>
      <c r="W28" s="775">
        <f t="shared" si="14"/>
        <v>100</v>
      </c>
      <c r="X28" s="1816"/>
      <c r="Y28" s="318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2"/>
      <c r="Q29" s="1813">
        <f t="shared" si="11"/>
        <v>111</v>
      </c>
      <c r="R29" s="774" t="s">
        <v>21</v>
      </c>
      <c r="S29" s="775">
        <f t="shared" si="12"/>
        <v>100</v>
      </c>
      <c r="T29" s="774" t="s">
        <v>21</v>
      </c>
      <c r="U29" s="775">
        <f t="shared" si="13"/>
        <v>100</v>
      </c>
      <c r="V29" s="774" t="s">
        <v>21</v>
      </c>
      <c r="W29" s="775">
        <f t="shared" si="14"/>
        <v>100</v>
      </c>
      <c r="X29" s="1816"/>
      <c r="Y29" s="318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2"/>
      <c r="Q30" s="1813">
        <f t="shared" si="11"/>
        <v>111</v>
      </c>
      <c r="R30" s="774" t="s">
        <v>21</v>
      </c>
      <c r="S30" s="775">
        <f t="shared" si="12"/>
        <v>100</v>
      </c>
      <c r="T30" s="774" t="s">
        <v>21</v>
      </c>
      <c r="U30" s="775">
        <f t="shared" si="13"/>
        <v>100</v>
      </c>
      <c r="V30" s="774" t="s">
        <v>21</v>
      </c>
      <c r="W30" s="775">
        <f t="shared" si="14"/>
        <v>100</v>
      </c>
      <c r="X30" s="1816"/>
      <c r="Y30" s="318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2"/>
      <c r="Q31" s="1813">
        <f t="shared" si="11"/>
        <v>111</v>
      </c>
      <c r="R31" s="774" t="s">
        <v>21</v>
      </c>
      <c r="S31" s="775">
        <f t="shared" si="12"/>
        <v>100</v>
      </c>
      <c r="T31" s="774" t="s">
        <v>21</v>
      </c>
      <c r="U31" s="775">
        <f t="shared" si="13"/>
        <v>100</v>
      </c>
      <c r="V31" s="774" t="s">
        <v>21</v>
      </c>
      <c r="W31" s="775">
        <f t="shared" si="14"/>
        <v>100</v>
      </c>
      <c r="X31" s="1816"/>
      <c r="Y31" s="3185"/>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86" t="s">
        <v>2571</v>
      </c>
      <c r="Q32" s="1813" t="str">
        <f t="shared" si="11"/>
        <v>建筑类型</v>
      </c>
      <c r="R32" s="774" t="s">
        <v>21</v>
      </c>
      <c r="S32" s="775">
        <f t="shared" si="12"/>
        <v>100</v>
      </c>
      <c r="T32" s="774" t="s">
        <v>21</v>
      </c>
      <c r="U32" s="775">
        <f t="shared" si="13"/>
        <v>100</v>
      </c>
      <c r="V32" s="774" t="s">
        <v>21</v>
      </c>
      <c r="W32" s="775">
        <f t="shared" si="14"/>
        <v>100</v>
      </c>
      <c r="X32" s="1816"/>
      <c r="Y32" s="3189"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87"/>
      <c r="Q34" s="1813" t="str">
        <f t="shared" si="11"/>
        <v>建筑结构</v>
      </c>
      <c r="R34" s="774" t="s">
        <v>21</v>
      </c>
      <c r="S34" s="775">
        <f t="shared" si="12"/>
        <v>100</v>
      </c>
      <c r="T34" s="774" t="s">
        <v>21</v>
      </c>
      <c r="U34" s="775">
        <f t="shared" si="13"/>
        <v>100</v>
      </c>
      <c r="V34" s="774" t="s">
        <v>21</v>
      </c>
      <c r="W34" s="775">
        <f t="shared" si="14"/>
        <v>100</v>
      </c>
      <c r="X34" s="1816"/>
      <c r="Y34" s="3189"/>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87"/>
      <c r="Q35" s="1813" t="str">
        <f t="shared" si="11"/>
        <v>建筑品质</v>
      </c>
      <c r="R35" s="774" t="s">
        <v>21</v>
      </c>
      <c r="S35" s="775">
        <f t="shared" si="12"/>
        <v>100</v>
      </c>
      <c r="T35" s="774" t="s">
        <v>21</v>
      </c>
      <c r="U35" s="775">
        <f t="shared" si="13"/>
        <v>100</v>
      </c>
      <c r="V35" s="774" t="s">
        <v>21</v>
      </c>
      <c r="W35" s="775">
        <f t="shared" si="14"/>
        <v>100</v>
      </c>
      <c r="X35" s="1816"/>
      <c r="Y35" s="3189"/>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87"/>
      <c r="Q36" s="1813" t="str">
        <f t="shared" si="11"/>
        <v>公共部分装修</v>
      </c>
      <c r="R36" s="774" t="s">
        <v>21</v>
      </c>
      <c r="S36" s="775">
        <f t="shared" si="12"/>
        <v>100</v>
      </c>
      <c r="T36" s="774" t="s">
        <v>21</v>
      </c>
      <c r="U36" s="775">
        <f t="shared" si="13"/>
        <v>100</v>
      </c>
      <c r="V36" s="774" t="s">
        <v>21</v>
      </c>
      <c r="W36" s="775">
        <f t="shared" si="14"/>
        <v>100</v>
      </c>
      <c r="X36" s="1816"/>
      <c r="Y36" s="3189"/>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7"/>
      <c r="Q37" s="1798"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87" t="s">
        <v>2571</v>
      </c>
      <c r="Q38" s="1813" t="str">
        <f t="shared" si="11"/>
        <v>物业管理</v>
      </c>
      <c r="R38" s="774" t="s">
        <v>21</v>
      </c>
      <c r="S38" s="775">
        <f t="shared" si="12"/>
        <v>100</v>
      </c>
      <c r="T38" s="774" t="s">
        <v>21</v>
      </c>
      <c r="U38" s="775">
        <f t="shared" si="13"/>
        <v>100</v>
      </c>
      <c r="V38" s="774" t="s">
        <v>21</v>
      </c>
      <c r="W38" s="775">
        <f t="shared" si="14"/>
        <v>100</v>
      </c>
      <c r="X38" s="1816"/>
      <c r="Y38" s="3189"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87"/>
      <c r="Q39" s="1813" t="str">
        <f t="shared" si="11"/>
        <v>市政基础设施</v>
      </c>
      <c r="R39" s="774" t="s">
        <v>21</v>
      </c>
      <c r="S39" s="775">
        <f t="shared" si="12"/>
        <v>100</v>
      </c>
      <c r="T39" s="774" t="s">
        <v>21</v>
      </c>
      <c r="U39" s="775">
        <f t="shared" si="13"/>
        <v>100</v>
      </c>
      <c r="V39" s="774" t="s">
        <v>21</v>
      </c>
      <c r="W39" s="775">
        <f t="shared" si="14"/>
        <v>100</v>
      </c>
      <c r="X39" s="1816"/>
      <c r="Y39" s="3189"/>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87"/>
      <c r="Q40" s="1813" t="str">
        <f t="shared" si="11"/>
        <v>房型</v>
      </c>
      <c r="R40" s="774" t="s">
        <v>21</v>
      </c>
      <c r="S40" s="775">
        <f t="shared" si="12"/>
        <v>100</v>
      </c>
      <c r="T40" s="774" t="s">
        <v>21</v>
      </c>
      <c r="U40" s="775">
        <f t="shared" si="13"/>
        <v>100</v>
      </c>
      <c r="V40" s="774" t="s">
        <v>21</v>
      </c>
      <c r="W40" s="775">
        <f t="shared" si="14"/>
        <v>100</v>
      </c>
      <c r="X40" s="1816"/>
      <c r="Y40" s="3189"/>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87"/>
      <c r="Q42" s="1813" t="str">
        <f t="shared" si="11"/>
        <v>内部装修</v>
      </c>
      <c r="R42" s="774" t="s">
        <v>21</v>
      </c>
      <c r="S42" s="775">
        <f t="shared" si="12"/>
        <v>100</v>
      </c>
      <c r="T42" s="774" t="s">
        <v>21</v>
      </c>
      <c r="U42" s="775">
        <f t="shared" si="13"/>
        <v>100</v>
      </c>
      <c r="V42" s="774" t="s">
        <v>21</v>
      </c>
      <c r="W42" s="775">
        <f t="shared" si="14"/>
        <v>100</v>
      </c>
      <c r="X42" s="1816"/>
      <c r="Y42" s="3189"/>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87"/>
      <c r="Q43" s="1813" t="str">
        <f t="shared" si="11"/>
        <v>内部装修维护情况</v>
      </c>
      <c r="R43" s="774" t="s">
        <v>21</v>
      </c>
      <c r="S43" s="775">
        <f t="shared" si="12"/>
        <v>100</v>
      </c>
      <c r="T43" s="774" t="s">
        <v>21</v>
      </c>
      <c r="U43" s="775">
        <f t="shared" si="13"/>
        <v>100</v>
      </c>
      <c r="V43" s="774" t="s">
        <v>21</v>
      </c>
      <c r="W43" s="775">
        <f t="shared" si="14"/>
        <v>100</v>
      </c>
      <c r="X43" s="1816"/>
      <c r="Y43" s="318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87"/>
      <c r="Q44" s="1798">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87"/>
      <c r="Q45" s="1813">
        <f t="shared" si="11"/>
        <v>111</v>
      </c>
      <c r="R45" s="774" t="s">
        <v>21</v>
      </c>
      <c r="S45" s="775">
        <f t="shared" si="12"/>
        <v>100</v>
      </c>
      <c r="T45" s="774" t="s">
        <v>21</v>
      </c>
      <c r="U45" s="775">
        <f t="shared" si="13"/>
        <v>100</v>
      </c>
      <c r="V45" s="774" t="s">
        <v>21</v>
      </c>
      <c r="W45" s="775">
        <f t="shared" si="14"/>
        <v>100</v>
      </c>
      <c r="X45" s="1816"/>
      <c r="Y45" s="3189"/>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88"/>
      <c r="Q46" s="1813">
        <f t="shared" si="11"/>
        <v>111</v>
      </c>
      <c r="R46" s="774" t="s">
        <v>20</v>
      </c>
      <c r="S46" s="775">
        <f t="shared" si="12"/>
        <v>100</v>
      </c>
      <c r="T46" s="774" t="s">
        <v>20</v>
      </c>
      <c r="U46" s="775">
        <f t="shared" si="13"/>
        <v>100</v>
      </c>
      <c r="V46" s="774" t="s">
        <v>20</v>
      </c>
      <c r="W46" s="775">
        <f t="shared" si="14"/>
        <v>100</v>
      </c>
      <c r="X46" s="1816"/>
      <c r="Y46" s="3190"/>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61537.21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213" t="s">
        <v>2654</v>
      </c>
      <c r="AC4" s="3194" t="s">
        <v>2655</v>
      </c>
    </row>
    <row r="5" spans="1:29"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213"/>
      <c r="AC5" s="3195"/>
    </row>
    <row r="6" spans="1:29" ht="15.75" thickBot="1">
      <c r="A6" s="406"/>
      <c r="B6" s="407"/>
      <c r="C6" s="3214" t="s">
        <v>2552</v>
      </c>
      <c r="D6" s="3215"/>
      <c r="E6" s="3221" t="s">
        <v>2552</v>
      </c>
      <c r="F6" s="3222"/>
      <c r="G6" s="3214" t="s">
        <v>2552</v>
      </c>
      <c r="H6" s="3215"/>
      <c r="I6" s="3214" t="s">
        <v>2552</v>
      </c>
      <c r="J6" s="3215"/>
      <c r="K6" s="610" t="s">
        <v>2553</v>
      </c>
      <c r="L6" s="1133"/>
      <c r="M6" s="1134"/>
      <c r="N6" s="1134"/>
      <c r="O6" s="1134"/>
      <c r="P6" s="3205"/>
      <c r="Q6" s="3206"/>
      <c r="R6" s="3209"/>
      <c r="S6" s="3210"/>
      <c r="T6" s="3211"/>
      <c r="U6" s="3212"/>
      <c r="V6" s="3213"/>
      <c r="W6" s="3213"/>
      <c r="X6" s="1816"/>
      <c r="Y6" s="3211"/>
      <c r="Z6" s="3212"/>
      <c r="AA6" s="3196"/>
      <c r="AB6" s="3213"/>
      <c r="AC6" s="3196"/>
    </row>
    <row r="7" spans="1:29" s="117" customFormat="1" ht="15.75" thickBot="1">
      <c r="A7" s="408" t="s">
        <v>2554</v>
      </c>
      <c r="B7" s="409"/>
      <c r="C7" s="410">
        <f>'数据-取费表'!B2</f>
        <v>43334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8" t="s">
        <v>2555</v>
      </c>
      <c r="Q7" s="3220"/>
      <c r="R7" s="770" t="s">
        <v>17</v>
      </c>
      <c r="S7" s="771">
        <f t="shared" ref="S7:S15" si="0">F7</f>
        <v>0</v>
      </c>
      <c r="T7" s="770" t="s">
        <v>17</v>
      </c>
      <c r="U7" s="771">
        <f t="shared" ref="U7:U15" si="1">H7</f>
        <v>0</v>
      </c>
      <c r="V7" s="770" t="s">
        <v>17</v>
      </c>
      <c r="W7" s="771">
        <f t="shared" ref="W7:W15" si="2">J7</f>
        <v>0</v>
      </c>
      <c r="X7" s="772"/>
      <c r="Y7" s="3218" t="s">
        <v>2555</v>
      </c>
      <c r="Z7" s="3219"/>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2566</v>
      </c>
      <c r="Q15" s="1813" t="str">
        <f t="shared" si="6"/>
        <v>商业繁华度</v>
      </c>
      <c r="R15" s="774" t="s">
        <v>17</v>
      </c>
      <c r="S15" s="775">
        <f t="shared" si="0"/>
        <v>100</v>
      </c>
      <c r="T15" s="774" t="s">
        <v>17</v>
      </c>
      <c r="U15" s="775">
        <f t="shared" si="1"/>
        <v>100</v>
      </c>
      <c r="V15" s="774" t="s">
        <v>17</v>
      </c>
      <c r="W15" s="775">
        <f t="shared" si="2"/>
        <v>100</v>
      </c>
      <c r="X15" s="1816"/>
      <c r="Y15" s="3184"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2"/>
      <c r="Q16" s="1813"/>
      <c r="R16" s="774"/>
      <c r="S16" s="775"/>
      <c r="T16" s="774"/>
      <c r="U16" s="775"/>
      <c r="V16" s="774"/>
      <c r="W16" s="775"/>
      <c r="X16" s="1816"/>
      <c r="Y16" s="3185"/>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92"/>
      <c r="Q18" s="1813"/>
      <c r="R18" s="774"/>
      <c r="S18" s="775"/>
      <c r="T18" s="774"/>
      <c r="U18" s="775"/>
      <c r="V18" s="774"/>
      <c r="W18" s="775"/>
      <c r="X18" s="1816"/>
      <c r="Y18" s="3185"/>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92"/>
      <c r="Q20" s="1813"/>
      <c r="R20" s="774"/>
      <c r="S20" s="775"/>
      <c r="T20" s="774"/>
      <c r="U20" s="775"/>
      <c r="V20" s="774"/>
      <c r="W20" s="775"/>
      <c r="X20" s="1816"/>
      <c r="Y20" s="3185"/>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92"/>
      <c r="Q22" s="1813"/>
      <c r="R22" s="774"/>
      <c r="S22" s="775"/>
      <c r="T22" s="774"/>
      <c r="U22" s="775"/>
      <c r="V22" s="774"/>
      <c r="W22" s="775"/>
      <c r="X22" s="1816"/>
      <c r="Y22" s="3185"/>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3" t="str">
        <f>B23</f>
        <v>自然及人文环境</v>
      </c>
      <c r="R23" s="774" t="s">
        <v>17</v>
      </c>
      <c r="S23" s="775">
        <f>F23</f>
        <v>100</v>
      </c>
      <c r="T23" s="774" t="s">
        <v>17</v>
      </c>
      <c r="U23" s="775">
        <f>H23</f>
        <v>100</v>
      </c>
      <c r="V23" s="774" t="s">
        <v>17</v>
      </c>
      <c r="W23" s="775">
        <f>J23</f>
        <v>100</v>
      </c>
      <c r="X23" s="1816"/>
      <c r="Y23" s="3185"/>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92"/>
      <c r="Q24" s="1813"/>
      <c r="R24" s="774"/>
      <c r="S24" s="775"/>
      <c r="T24" s="774"/>
      <c r="U24" s="775"/>
      <c r="V24" s="774"/>
      <c r="W24" s="775"/>
      <c r="X24" s="1816"/>
      <c r="Y24" s="3185"/>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3" t="str">
        <f t="shared" ref="Q25:Q46" si="11">B25</f>
        <v>临街状况</v>
      </c>
      <c r="R25" s="774" t="s">
        <v>17</v>
      </c>
      <c r="S25" s="775">
        <f>F25</f>
        <v>100</v>
      </c>
      <c r="T25" s="774" t="s">
        <v>17</v>
      </c>
      <c r="U25" s="775">
        <f>H25</f>
        <v>100</v>
      </c>
      <c r="V25" s="774" t="s">
        <v>17</v>
      </c>
      <c r="W25" s="775">
        <f>J25</f>
        <v>100</v>
      </c>
      <c r="X25" s="1816"/>
      <c r="Y25" s="3185"/>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3" t="str">
        <f t="shared" si="11"/>
        <v>平面位置/可视性</v>
      </c>
      <c r="R26" s="774" t="s">
        <v>17</v>
      </c>
      <c r="S26" s="775">
        <f>F26</f>
        <v>100</v>
      </c>
      <c r="T26" s="774" t="s">
        <v>17</v>
      </c>
      <c r="U26" s="775">
        <f>H26</f>
        <v>100</v>
      </c>
      <c r="V26" s="774" t="s">
        <v>17</v>
      </c>
      <c r="W26" s="775">
        <f>J26</f>
        <v>100</v>
      </c>
      <c r="X26" s="1816"/>
      <c r="Y26" s="3185"/>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2"/>
      <c r="Q27" s="1798" t="str">
        <f t="shared" si="11"/>
        <v>人流量</v>
      </c>
      <c r="R27" s="770" t="s">
        <v>17</v>
      </c>
      <c r="S27" s="771">
        <f>F27</f>
        <v>100</v>
      </c>
      <c r="T27" s="770" t="s">
        <v>17</v>
      </c>
      <c r="U27" s="771">
        <f>H27</f>
        <v>100</v>
      </c>
      <c r="V27" s="770" t="s">
        <v>17</v>
      </c>
      <c r="W27" s="771">
        <f>J27</f>
        <v>100</v>
      </c>
      <c r="X27" s="772"/>
      <c r="Y27" s="3185"/>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3">
        <f t="shared" si="11"/>
        <v>111</v>
      </c>
      <c r="R29" s="774" t="s">
        <v>17</v>
      </c>
      <c r="S29" s="775">
        <f t="shared" si="12"/>
        <v>100</v>
      </c>
      <c r="T29" s="774" t="s">
        <v>17</v>
      </c>
      <c r="U29" s="775">
        <f t="shared" si="13"/>
        <v>100</v>
      </c>
      <c r="V29" s="774" t="s">
        <v>17</v>
      </c>
      <c r="W29" s="775">
        <f t="shared" si="14"/>
        <v>100</v>
      </c>
      <c r="X29" s="1816"/>
      <c r="Y29" s="318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8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85"/>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86" t="s">
        <v>2571</v>
      </c>
      <c r="Q32" s="1813" t="str">
        <f t="shared" si="11"/>
        <v>商业类型</v>
      </c>
      <c r="R32" s="774" t="s">
        <v>17</v>
      </c>
      <c r="S32" s="775">
        <f t="shared" si="12"/>
        <v>100</v>
      </c>
      <c r="T32" s="774" t="s">
        <v>17</v>
      </c>
      <c r="U32" s="775">
        <f t="shared" si="13"/>
        <v>100</v>
      </c>
      <c r="V32" s="774" t="s">
        <v>17</v>
      </c>
      <c r="W32" s="775">
        <f t="shared" si="14"/>
        <v>100</v>
      </c>
      <c r="X32" s="1816"/>
      <c r="Y32" s="3189"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87"/>
      <c r="Q34" s="1813" t="str">
        <f t="shared" si="11"/>
        <v>建筑结构</v>
      </c>
      <c r="R34" s="774" t="s">
        <v>17</v>
      </c>
      <c r="S34" s="775">
        <f t="shared" si="12"/>
        <v>100</v>
      </c>
      <c r="T34" s="774" t="s">
        <v>17</v>
      </c>
      <c r="U34" s="775">
        <f t="shared" si="13"/>
        <v>100</v>
      </c>
      <c r="V34" s="774" t="s">
        <v>17</v>
      </c>
      <c r="W34" s="775">
        <f t="shared" si="14"/>
        <v>100</v>
      </c>
      <c r="X34" s="1816"/>
      <c r="Y34" s="3189"/>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87"/>
      <c r="Q35" s="1813" t="str">
        <f t="shared" si="11"/>
        <v>公共部分装修</v>
      </c>
      <c r="R35" s="774" t="s">
        <v>17</v>
      </c>
      <c r="S35" s="775">
        <f t="shared" si="12"/>
        <v>100</v>
      </c>
      <c r="T35" s="774" t="s">
        <v>17</v>
      </c>
      <c r="U35" s="775">
        <f t="shared" si="13"/>
        <v>100</v>
      </c>
      <c r="V35" s="774" t="s">
        <v>17</v>
      </c>
      <c r="W35" s="775">
        <f t="shared" si="14"/>
        <v>100</v>
      </c>
      <c r="X35" s="1816"/>
      <c r="Y35" s="3189"/>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7"/>
      <c r="Q36" s="1813" t="str">
        <f t="shared" si="11"/>
        <v>成新度</v>
      </c>
      <c r="R36" s="774" t="s">
        <v>17</v>
      </c>
      <c r="S36" s="775" t="e">
        <f t="shared" si="12"/>
        <v>#N/A</v>
      </c>
      <c r="T36" s="774" t="s">
        <v>17</v>
      </c>
      <c r="U36" s="775" t="e">
        <f t="shared" si="13"/>
        <v>#N/A</v>
      </c>
      <c r="V36" s="774" t="s">
        <v>17</v>
      </c>
      <c r="W36" s="775" t="e">
        <f t="shared" si="14"/>
        <v>#N/A</v>
      </c>
      <c r="X36" s="1816"/>
      <c r="Y36" s="3189"/>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87"/>
      <c r="Q37" s="1798"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87" t="s">
        <v>2571</v>
      </c>
      <c r="Q38" s="1813" t="str">
        <f t="shared" si="11"/>
        <v>业态</v>
      </c>
      <c r="R38" s="774" t="s">
        <v>17</v>
      </c>
      <c r="S38" s="775">
        <f t="shared" si="12"/>
        <v>100</v>
      </c>
      <c r="T38" s="774" t="s">
        <v>17</v>
      </c>
      <c r="U38" s="775">
        <f t="shared" si="13"/>
        <v>100</v>
      </c>
      <c r="V38" s="774" t="s">
        <v>17</v>
      </c>
      <c r="W38" s="775">
        <f t="shared" si="14"/>
        <v>100</v>
      </c>
      <c r="X38" s="1816"/>
      <c r="Y38" s="3189"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87"/>
      <c r="Q39" s="1813" t="str">
        <f t="shared" si="11"/>
        <v>层高</v>
      </c>
      <c r="R39" s="774" t="s">
        <v>17</v>
      </c>
      <c r="S39" s="775">
        <f t="shared" si="12"/>
        <v>100</v>
      </c>
      <c r="T39" s="774" t="s">
        <v>17</v>
      </c>
      <c r="U39" s="775">
        <f t="shared" si="13"/>
        <v>100</v>
      </c>
      <c r="V39" s="774" t="s">
        <v>17</v>
      </c>
      <c r="W39" s="775">
        <f t="shared" si="14"/>
        <v>100</v>
      </c>
      <c r="X39" s="1816"/>
      <c r="Y39" s="3189"/>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7"/>
      <c r="Q40" s="1813" t="str">
        <f t="shared" si="11"/>
        <v>单套建筑面积</v>
      </c>
      <c r="R40" s="774" t="s">
        <v>17</v>
      </c>
      <c r="S40" s="775">
        <f t="shared" si="12"/>
        <v>100</v>
      </c>
      <c r="T40" s="774" t="s">
        <v>17</v>
      </c>
      <c r="U40" s="775">
        <f t="shared" si="13"/>
        <v>100</v>
      </c>
      <c r="V40" s="774" t="s">
        <v>17</v>
      </c>
      <c r="W40" s="775">
        <f t="shared" si="14"/>
        <v>100</v>
      </c>
      <c r="X40" s="1816"/>
      <c r="Y40" s="3189"/>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87"/>
      <c r="Q42" s="1813" t="str">
        <f t="shared" si="11"/>
        <v>内部装修</v>
      </c>
      <c r="R42" s="774" t="s">
        <v>17</v>
      </c>
      <c r="S42" s="775">
        <f t="shared" si="12"/>
        <v>100</v>
      </c>
      <c r="T42" s="774" t="s">
        <v>17</v>
      </c>
      <c r="U42" s="775">
        <f t="shared" si="13"/>
        <v>100</v>
      </c>
      <c r="V42" s="774" t="s">
        <v>17</v>
      </c>
      <c r="W42" s="775">
        <f t="shared" si="14"/>
        <v>100</v>
      </c>
      <c r="X42" s="1816"/>
      <c r="Y42" s="3189"/>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87"/>
      <c r="Q43" s="1813" t="str">
        <f t="shared" si="11"/>
        <v>内部装修维护情况</v>
      </c>
      <c r="R43" s="774" t="s">
        <v>17</v>
      </c>
      <c r="S43" s="775">
        <f t="shared" si="12"/>
        <v>100</v>
      </c>
      <c r="T43" s="774" t="s">
        <v>17</v>
      </c>
      <c r="U43" s="775">
        <f t="shared" si="13"/>
        <v>100</v>
      </c>
      <c r="V43" s="774" t="s">
        <v>17</v>
      </c>
      <c r="W43" s="775">
        <f t="shared" si="14"/>
        <v>100</v>
      </c>
      <c r="X43" s="1816"/>
      <c r="Y43" s="318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7"/>
      <c r="Q44" s="1798">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7"/>
      <c r="Q45" s="1813">
        <f t="shared" si="11"/>
        <v>111</v>
      </c>
      <c r="R45" s="774" t="s">
        <v>17</v>
      </c>
      <c r="S45" s="775">
        <f t="shared" si="12"/>
        <v>100</v>
      </c>
      <c r="T45" s="774" t="s">
        <v>17</v>
      </c>
      <c r="U45" s="775">
        <f t="shared" si="13"/>
        <v>100</v>
      </c>
      <c r="V45" s="774" t="s">
        <v>17</v>
      </c>
      <c r="W45" s="775">
        <f t="shared" si="14"/>
        <v>100</v>
      </c>
      <c r="X45" s="1816"/>
      <c r="Y45" s="3189"/>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39" sqref="C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3108</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-280</v>
      </c>
      <c r="C2" s="1848" t="s">
        <v>1516</v>
      </c>
      <c r="D2" s="1848"/>
      <c r="E2" s="1849"/>
      <c r="F2" s="1850"/>
      <c r="G2" s="1851"/>
      <c r="H2" s="1843"/>
      <c r="I2" s="1843"/>
      <c r="J2" s="1843"/>
      <c r="K2" s="1844"/>
      <c r="L2" s="1843"/>
      <c r="M2" s="1843"/>
    </row>
    <row r="3" spans="1:37" ht="18" customHeight="1" thickBot="1">
      <c r="A3" s="1852" t="s">
        <v>1517</v>
      </c>
      <c r="B3" s="1853">
        <f ca="1">IF(ISERROR(B2*10000/F43),0,ROUND(B2*10000/F43,0))</f>
        <v>-902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26</v>
      </c>
      <c r="D5" s="1825" t="s">
        <v>1402</v>
      </c>
      <c r="E5" s="1296"/>
      <c r="F5" s="1297"/>
      <c r="G5" s="1854"/>
      <c r="H5" s="344">
        <v>1</v>
      </c>
      <c r="I5" s="345" t="s">
        <v>1401</v>
      </c>
      <c r="J5" s="1295">
        <f ca="1">J6+J10+J12</f>
        <v>0</v>
      </c>
      <c r="K5" s="1825" t="s">
        <v>1402</v>
      </c>
      <c r="L5" s="1296"/>
      <c r="M5" s="1297"/>
    </row>
    <row r="6" spans="1:37" ht="18" customHeight="1">
      <c r="A6" s="1294" t="s">
        <v>1035</v>
      </c>
      <c r="B6" s="3154" t="s">
        <v>1403</v>
      </c>
      <c r="C6" s="1299">
        <f ca="1">ROUND(F6*F8*F7*(1-F9)/10000,0)</f>
        <v>26</v>
      </c>
      <c r="D6" s="164" t="s">
        <v>3038</v>
      </c>
      <c r="E6" s="347" t="s">
        <v>1405</v>
      </c>
      <c r="F6" s="348">
        <f ca="1">INDIRECT("'数据-取费表'!u"&amp;$G$1)</f>
        <v>500</v>
      </c>
      <c r="G6" s="1854"/>
      <c r="H6" s="1294" t="s">
        <v>1035</v>
      </c>
      <c r="I6" s="3154" t="s">
        <v>1403</v>
      </c>
      <c r="J6" s="346">
        <f ca="1">ROUND(M6*M8*M7*(1-M9)/10000,0)</f>
        <v>0</v>
      </c>
      <c r="K6" s="164" t="s">
        <v>3037</v>
      </c>
      <c r="L6" s="347" t="s">
        <v>1405</v>
      </c>
      <c r="M6" s="348">
        <f ca="1">INDIRECT("'数据-取费表'!z"&amp;$G$1)</f>
        <v>0</v>
      </c>
    </row>
    <row r="7" spans="1:37" ht="18" customHeight="1">
      <c r="A7" s="1298"/>
      <c r="B7" s="3155"/>
      <c r="C7" s="1300"/>
      <c r="D7" s="352"/>
      <c r="E7" s="2956" t="s">
        <v>1406</v>
      </c>
      <c r="F7" s="348">
        <f ca="1">IF(INDIRECT("'数据-取费表'!ah"&amp;$G$1)="",INDIRECT("'数据-取费表'!k"&amp;$G$1),INDIRECT("'数据-取费表'!ah"&amp;$G$1))</f>
        <v>72</v>
      </c>
      <c r="G7" s="1854"/>
      <c r="H7" s="349"/>
      <c r="I7" s="3155"/>
      <c r="J7" s="351"/>
      <c r="K7" s="352"/>
      <c r="L7" s="347" t="s">
        <v>1406</v>
      </c>
      <c r="M7" s="348">
        <f ca="1">F7</f>
        <v>72</v>
      </c>
    </row>
    <row r="8" spans="1:37" ht="18" customHeight="1">
      <c r="A8" s="349"/>
      <c r="B8" s="3155"/>
      <c r="C8" s="351"/>
      <c r="D8" s="352"/>
      <c r="E8" s="347" t="s">
        <v>1407</v>
      </c>
      <c r="F8" s="348">
        <f ca="1">INDIRECT("'数据-取费表'!ai"&amp;$G$1)</f>
        <v>12</v>
      </c>
      <c r="G8" s="1854"/>
      <c r="H8" s="349"/>
      <c r="I8" s="3155"/>
      <c r="J8" s="351"/>
      <c r="K8" s="352"/>
      <c r="L8" s="347" t="s">
        <v>1407</v>
      </c>
      <c r="M8" s="348">
        <f ca="1">INDIRECT("'数据-取费表'!ai"&amp;$G$1)</f>
        <v>12</v>
      </c>
    </row>
    <row r="9" spans="1:37" ht="18" customHeight="1">
      <c r="A9" s="349"/>
      <c r="B9" s="3156"/>
      <c r="C9" s="351"/>
      <c r="D9" s="352"/>
      <c r="E9" s="347" t="s">
        <v>1408</v>
      </c>
      <c r="F9" s="357">
        <f ca="1">INDIRECT("'数据-取费表'!w"&amp;$G$1)</f>
        <v>0.4</v>
      </c>
      <c r="G9" s="1854"/>
      <c r="H9" s="349"/>
      <c r="I9" s="31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27" t="s">
        <v>3046</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1510</v>
      </c>
      <c r="D13" s="1334" t="s">
        <v>1415</v>
      </c>
      <c r="E13" s="1334" t="s">
        <v>1416</v>
      </c>
      <c r="F13" s="1335">
        <f ca="1">INDIRECT("'数据-取费表'!y"&amp;$G$1)</f>
        <v>0.9</v>
      </c>
      <c r="G13" s="1854"/>
      <c r="H13" s="1332">
        <v>2</v>
      </c>
      <c r="I13" s="1333" t="s">
        <v>1414</v>
      </c>
      <c r="J13" s="1293">
        <f ca="1">ROUND(J14*J15,0)</f>
        <v>1510</v>
      </c>
      <c r="K13" s="1340" t="s">
        <v>1415</v>
      </c>
      <c r="L13" s="1855"/>
      <c r="M13" s="1856"/>
    </row>
    <row r="14" spans="1:37" ht="18" customHeight="1">
      <c r="A14" s="1204" t="s">
        <v>1034</v>
      </c>
      <c r="B14" s="347" t="s">
        <v>1417</v>
      </c>
      <c r="C14" s="363">
        <f ca="1">INDIRECT("'数据-取费表'!m"&amp;$G$1)+INDIRECT("'数据-取费表'!t"&amp;$G$1)</f>
        <v>1241</v>
      </c>
      <c r="D14" s="2959" t="s">
        <v>1418</v>
      </c>
      <c r="E14" s="2958"/>
      <c r="F14" s="364"/>
      <c r="G14" s="1854"/>
      <c r="H14" s="1204" t="s">
        <v>1035</v>
      </c>
      <c r="I14" s="347" t="s">
        <v>1419</v>
      </c>
      <c r="J14" s="24">
        <f ca="1">C29</f>
        <v>1678</v>
      </c>
      <c r="K14" s="2955"/>
      <c r="L14" s="982"/>
      <c r="M14" s="983"/>
    </row>
    <row r="15" spans="1:37" s="1861" customFormat="1" ht="18" customHeight="1" thickBot="1">
      <c r="A15" s="1204" t="s">
        <v>1036</v>
      </c>
      <c r="B15" s="347" t="s">
        <v>1420</v>
      </c>
      <c r="C15" s="24">
        <f ca="1">ROUND(C14*F15,0)</f>
        <v>50</v>
      </c>
      <c r="D15" s="365" t="s">
        <v>1421</v>
      </c>
      <c r="E15" s="365" t="s">
        <v>1422</v>
      </c>
      <c r="F15" s="366">
        <f>'数据-取费表'!B33</f>
        <v>0.04</v>
      </c>
      <c r="G15" s="1857"/>
      <c r="H15" s="1342" t="s">
        <v>1039</v>
      </c>
      <c r="I15" s="1343" t="s">
        <v>1416</v>
      </c>
      <c r="J15" s="1352">
        <f ca="1">INDIRECT("'数据-取费表'!ad"&amp;$G$1)</f>
        <v>0.9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51</v>
      </c>
      <c r="K16" s="1340" t="s">
        <v>1425</v>
      </c>
      <c r="L16" s="2961"/>
      <c r="M16" s="1297"/>
    </row>
    <row r="17" spans="1:37" s="1861" customFormat="1" ht="18" customHeight="1">
      <c r="A17" s="1204" t="s">
        <v>1390</v>
      </c>
      <c r="B17" s="347" t="s">
        <v>1426</v>
      </c>
      <c r="C17" s="24">
        <f ca="1">ROUND(F17*(F43+INDIRECT("'数据-取费表'!S"&amp;$G$1))/10000,0)</f>
        <v>62</v>
      </c>
      <c r="D17" s="347" t="s">
        <v>1427</v>
      </c>
      <c r="E17" s="347" t="s">
        <v>1428</v>
      </c>
      <c r="F17" s="26">
        <f>'数据-取费表'!B35</f>
        <v>200</v>
      </c>
      <c r="G17" s="1857"/>
      <c r="H17" s="1204" t="s">
        <v>1035</v>
      </c>
      <c r="I17" s="347" t="s">
        <v>1429</v>
      </c>
      <c r="J17" s="24">
        <f ca="1">ROUND(IF(项目基本情况!B11="自然人",J5*M17,J18+J19+J20),1)</f>
        <v>14.5</v>
      </c>
      <c r="K17" s="2959" t="s">
        <v>1430</v>
      </c>
      <c r="L17" s="296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19</v>
      </c>
      <c r="D18" s="347" t="s">
        <v>1421</v>
      </c>
      <c r="E18" s="347" t="s">
        <v>1422</v>
      </c>
      <c r="F18" s="367">
        <f>'数据-取费表'!B36</f>
        <v>1.4999999999999999E-2</v>
      </c>
      <c r="G18" s="1857"/>
      <c r="H18" s="1204" t="s">
        <v>1034</v>
      </c>
      <c r="I18" s="347" t="s">
        <v>1433</v>
      </c>
      <c r="J18" s="24">
        <f ca="1">ROUND(J5*M18/(1+'数据-取费表'!C42),2)</f>
        <v>0</v>
      </c>
      <c r="K18" s="2960"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1372</v>
      </c>
      <c r="D19" s="140" t="s">
        <v>1436</v>
      </c>
      <c r="E19" s="2954"/>
      <c r="F19" s="26"/>
      <c r="G19" s="1854"/>
      <c r="H19" s="1204" t="s">
        <v>1036</v>
      </c>
      <c r="I19" s="347" t="s">
        <v>1437</v>
      </c>
      <c r="J19" s="24">
        <f ca="1">IF(K19="按租金收入计税",ROUND(J5*M19,2),ROUND(C29*M19*0.7,2))</f>
        <v>14.1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v>
      </c>
      <c r="D20" s="369" t="s">
        <v>1440</v>
      </c>
      <c r="E20" s="347" t="s">
        <v>1422</v>
      </c>
      <c r="F20" s="367">
        <f>'数据-取费表'!B37</f>
        <v>0.02</v>
      </c>
      <c r="G20" s="1857"/>
      <c r="H20" s="1204" t="s">
        <v>1389</v>
      </c>
      <c r="I20" s="164" t="s">
        <v>1441</v>
      </c>
      <c r="J20" s="25">
        <f ca="1">ROUND(M20*M21/10000,2)</f>
        <v>0.36</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1196.78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4"/>
      <c r="F22" s="26"/>
      <c r="G22" s="1854"/>
      <c r="H22" s="1204" t="s">
        <v>1039</v>
      </c>
      <c r="I22" s="347" t="s">
        <v>1449</v>
      </c>
      <c r="J22" s="24">
        <f ca="1">ROUND(J14*M22,1)</f>
        <v>33.6</v>
      </c>
      <c r="K22" s="2960"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3</v>
      </c>
      <c r="K23" s="296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4"/>
      <c r="F25" s="26"/>
      <c r="G25" s="1854"/>
      <c r="H25" s="1332" t="s">
        <v>1031</v>
      </c>
      <c r="I25" s="1347" t="s">
        <v>1463</v>
      </c>
      <c r="J25" s="355">
        <f ca="1">J5-J16</f>
        <v>-51</v>
      </c>
      <c r="K25" s="1348" t="s">
        <v>1464</v>
      </c>
      <c r="L25" s="1349"/>
      <c r="M25" s="1350"/>
    </row>
    <row r="26" spans="1:37">
      <c r="A26" s="1204" t="s">
        <v>1034</v>
      </c>
      <c r="B26" s="347" t="s">
        <v>1465</v>
      </c>
      <c r="C26" s="24">
        <f ca="1">ROUND((C19+C20)*F26,0)</f>
        <v>70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1.5E-3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1678</v>
      </c>
      <c r="D29" s="1345"/>
      <c r="E29" s="1343"/>
      <c r="F29" s="1346"/>
      <c r="G29" s="1857"/>
      <c r="H29" s="380" t="s">
        <v>1033</v>
      </c>
      <c r="I29" s="381" t="s">
        <v>1479</v>
      </c>
      <c r="J29" s="382">
        <f ca="1">ROUND(J26/(1+F40)^F41,0)</f>
        <v>0</v>
      </c>
      <c r="K29" s="383" t="s">
        <v>1480</v>
      </c>
      <c r="L29" s="384"/>
      <c r="M29" s="385">
        <f ca="1">INDIRECT("'数据-取费表'!k"&amp;$G$1)</f>
        <v>3103.3500000000004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42</v>
      </c>
      <c r="D30" s="1340" t="s">
        <v>1425</v>
      </c>
      <c r="E30" s="2961"/>
      <c r="F30" s="1297"/>
      <c r="G30" s="1854"/>
      <c r="H30" s="745"/>
      <c r="I30" s="746"/>
      <c r="J30" s="747"/>
      <c r="K30" s="748"/>
      <c r="L30" s="749"/>
      <c r="M30" s="750"/>
    </row>
    <row r="31" spans="1:37" ht="18" customHeight="1">
      <c r="A31" s="1204" t="s">
        <v>1035</v>
      </c>
      <c r="B31" s="347" t="s">
        <v>1429</v>
      </c>
      <c r="C31" s="24">
        <f ca="1">ROUND(IF(项目基本情况!B11="自然人",C5*F31,C32+C33+C34),1)</f>
        <v>4.8</v>
      </c>
      <c r="D31" s="2959" t="s">
        <v>1430</v>
      </c>
      <c r="E31" s="296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1.36</v>
      </c>
      <c r="D32" s="2960"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3.12</v>
      </c>
      <c r="D33" s="1831" t="s">
        <v>3068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0.36</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1196.78</v>
      </c>
      <c r="G35" s="1854"/>
      <c r="H35" s="745"/>
      <c r="I35" s="1863"/>
      <c r="J35" s="1864"/>
      <c r="K35" s="1865"/>
      <c r="L35" s="1862"/>
      <c r="M35" s="1862"/>
    </row>
    <row r="36" spans="1:18" ht="18" customHeight="1">
      <c r="A36" s="1355" t="s">
        <v>1039</v>
      </c>
      <c r="B36" s="347" t="s">
        <v>1449</v>
      </c>
      <c r="C36" s="24">
        <f ca="1">ROUND(C29*F36,1)</f>
        <v>33.6</v>
      </c>
      <c r="D36" s="2960"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v>
      </c>
      <c r="D37" s="296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0.8</v>
      </c>
      <c r="D38" s="1345" t="s">
        <v>1459</v>
      </c>
      <c r="E38" s="1343" t="s">
        <v>1422</v>
      </c>
      <c r="F38" s="1339">
        <f ca="1">INDIRECT("'数据-取费表'!Am"&amp;$G$1)</f>
        <v>0.03</v>
      </c>
      <c r="G38" s="1854"/>
      <c r="H38" s="1862"/>
      <c r="I38" s="1863"/>
      <c r="J38" s="1864"/>
      <c r="K38" s="1868"/>
      <c r="L38" s="1862"/>
      <c r="M38" s="1862"/>
    </row>
    <row r="39" spans="1:18" ht="24.6" customHeight="1" thickTop="1">
      <c r="A39" s="1332" t="s">
        <v>1031</v>
      </c>
      <c r="B39" s="1347" t="s">
        <v>1463</v>
      </c>
      <c r="C39" s="355">
        <f ca="1">C5-C30</f>
        <v>-16</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-280</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-902</v>
      </c>
      <c r="D43" s="383" t="s">
        <v>1488</v>
      </c>
      <c r="E43" s="384" t="s">
        <v>1489</v>
      </c>
      <c r="F43" s="385">
        <f ca="1">INDIRECT("'数据-取费表'!k"&amp;$G$1)</f>
        <v>3103.3500000000004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-259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3066</v>
      </c>
      <c r="K47" s="1885" t="s">
        <v>1527</v>
      </c>
      <c r="L47" s="1886">
        <f ca="1">INDIRECT("'数据-取费表'!d"&amp;$G$1)</f>
        <v>50</v>
      </c>
      <c r="M47" s="1841" t="str">
        <f>IF(ISNUMBER(FIND("住宅",C1)),"住宅","非住宅")</f>
        <v>非住宅</v>
      </c>
      <c r="O47" s="1887" t="s">
        <v>1040</v>
      </c>
      <c r="P47" s="1888" t="s">
        <v>1528</v>
      </c>
      <c r="Q47" s="1889">
        <f ca="1">C40+J29</f>
        <v>-280</v>
      </c>
      <c r="R47" s="1889" t="s">
        <v>1529</v>
      </c>
    </row>
    <row r="48" spans="1:18" s="1845" customFormat="1" ht="28.5" thickBot="1">
      <c r="A48" s="1363" t="s">
        <v>1135</v>
      </c>
      <c r="B48" s="345" t="s">
        <v>1401</v>
      </c>
      <c r="C48" s="2953">
        <f ca="1">C49+C53+C55</f>
        <v>0</v>
      </c>
      <c r="D48" s="1365"/>
      <c r="E48" s="1366"/>
      <c r="F48" s="1184"/>
      <c r="G48" s="792"/>
      <c r="H48" s="793"/>
      <c r="I48" s="1890" t="s">
        <v>1530</v>
      </c>
      <c r="J48" s="1891" t="s">
        <v>3067</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2012</v>
      </c>
      <c r="K49" s="1892" t="s">
        <v>1535</v>
      </c>
      <c r="L49" s="1896"/>
      <c r="O49" s="1897" t="s">
        <v>1042</v>
      </c>
      <c r="P49" s="1888" t="s">
        <v>1536</v>
      </c>
      <c r="Q49" s="1889">
        <f ca="1">C29</f>
        <v>1678</v>
      </c>
      <c r="R49" s="1889" t="s">
        <v>1529</v>
      </c>
    </row>
    <row r="50" spans="1:18" s="1845" customFormat="1" ht="13.5" thickBot="1">
      <c r="A50" s="1198"/>
      <c r="B50" s="1201"/>
      <c r="C50" s="1371"/>
      <c r="D50" s="1175"/>
      <c r="E50" s="1280" t="s">
        <v>1406</v>
      </c>
      <c r="F50" s="1281">
        <f ca="1">F7</f>
        <v>72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54</v>
      </c>
      <c r="K51" s="1903" t="s">
        <v>1541</v>
      </c>
      <c r="L51" s="1904">
        <f ca="1">ROUND(-PV(INDIRECT("'数据-取费表'!h"&amp;$G$1),L48,(C39-C13*C76),0),0)</f>
        <v>-2350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ROUND(IF(F53="押一",C49/12*F11,IF(F53="押二",C49/12*2*F11,IF(F53="押三",C49/12*3*F11,C54*F11))),0)</f>
        <v>0</v>
      </c>
      <c r="D53" s="1827" t="s">
        <v>3046</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35.56</v>
      </c>
      <c r="K53" s="3152" t="s">
        <v>1548</v>
      </c>
      <c r="L53" s="3153"/>
      <c r="O53" s="1887" t="s">
        <v>1046</v>
      </c>
      <c r="P53" s="1888" t="s">
        <v>1549</v>
      </c>
      <c r="Q53" s="1889">
        <f ca="1">Q47+Q48</f>
        <v>-280</v>
      </c>
      <c r="R53" s="1889" t="s">
        <v>1047</v>
      </c>
    </row>
    <row r="54" spans="1:18" s="1845" customFormat="1" ht="13.5" thickBot="1">
      <c r="A54" s="1409"/>
      <c r="B54" s="1828" t="s">
        <v>1388</v>
      </c>
      <c r="C54" s="1181"/>
      <c r="D54" s="1827"/>
      <c r="E54" s="295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1510</v>
      </c>
      <c r="D56" s="1917"/>
      <c r="E56" s="1918"/>
      <c r="F56" s="1910"/>
      <c r="I56" s="1919" t="s">
        <v>1554</v>
      </c>
      <c r="J56" s="1920" t="s">
        <v>3060</v>
      </c>
      <c r="K56" s="1890" t="s">
        <v>1555</v>
      </c>
      <c r="L56" s="1893" t="str">
        <f ca="1">IF(L48&lt;J51,"——",L48-J53)</f>
        <v>——</v>
      </c>
      <c r="O56" s="1887" t="s">
        <v>1040</v>
      </c>
      <c r="P56" s="1888" t="s">
        <v>1528</v>
      </c>
      <c r="Q56" s="1889">
        <f ca="1">C40+J29</f>
        <v>-280</v>
      </c>
      <c r="R56" s="1889" t="s">
        <v>1529</v>
      </c>
    </row>
    <row r="57" spans="1:18" s="1845" customFormat="1" ht="24.75" thickBot="1">
      <c r="A57" s="1921"/>
      <c r="B57" s="1172" t="s">
        <v>1478</v>
      </c>
      <c r="C57" s="282">
        <f ca="1">C29</f>
        <v>1678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0</v>
      </c>
      <c r="D61" s="1831" t="s">
        <v>3068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0.36</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-280</v>
      </c>
      <c r="R62" s="1889" t="s">
        <v>1047</v>
      </c>
    </row>
    <row r="63" spans="1:18" s="1845" customFormat="1" ht="13.5" thickBot="1">
      <c r="A63" s="372"/>
      <c r="B63" s="1178"/>
      <c r="C63" s="29"/>
      <c r="D63" s="1188"/>
      <c r="E63" s="1172" t="s">
        <v>1447</v>
      </c>
      <c r="F63" s="348">
        <f t="shared" ca="1" si="0"/>
        <v>1196.78</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33.6</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v>
      </c>
      <c r="D65" s="1186" t="s">
        <v>1454</v>
      </c>
      <c r="E65" s="1172" t="s">
        <v>1422</v>
      </c>
      <c r="F65" s="376">
        <f t="shared" ca="1" si="0"/>
        <v>2E-3</v>
      </c>
      <c r="I65" s="1932" t="s">
        <v>1579</v>
      </c>
      <c r="J65" s="1933">
        <v>40</v>
      </c>
      <c r="K65" s="1933">
        <v>30</v>
      </c>
      <c r="L65" s="1933">
        <v>50</v>
      </c>
      <c r="M65" s="1935">
        <v>0.02</v>
      </c>
      <c r="O65" s="1887" t="s">
        <v>1040</v>
      </c>
      <c r="P65" s="1888" t="s">
        <v>1528</v>
      </c>
      <c r="Q65" s="1889">
        <f ca="1">C40+J29</f>
        <v>-280</v>
      </c>
      <c r="R65" s="1889" t="s">
        <v>1529</v>
      </c>
    </row>
    <row r="66" spans="1:18" s="1845" customFormat="1" ht="16.5" thickBot="1">
      <c r="A66" s="1204" t="s">
        <v>1504</v>
      </c>
      <c r="B66" s="1172" t="s">
        <v>1439</v>
      </c>
      <c r="C66" s="24">
        <f ca="1">ROUND(C48*F66,1)</f>
        <v>0</v>
      </c>
      <c r="D66" s="1186" t="s">
        <v>1459</v>
      </c>
      <c r="E66" s="1172" t="s">
        <v>1422</v>
      </c>
      <c r="F66" s="357">
        <f t="shared" ca="1" si="0"/>
        <v>0.03</v>
      </c>
      <c r="O66" s="1887" t="s">
        <v>1041</v>
      </c>
      <c r="P66" s="1888" t="s">
        <v>1558</v>
      </c>
      <c r="Q66" s="1889">
        <f ca="1">L60</f>
        <v>0</v>
      </c>
      <c r="R66" s="1889" t="s">
        <v>1581</v>
      </c>
    </row>
    <row r="67" spans="1:18" s="1845" customFormat="1" ht="16.5" thickBot="1">
      <c r="A67" s="1179" t="s">
        <v>1031</v>
      </c>
      <c r="B67" s="1189" t="s">
        <v>1463</v>
      </c>
      <c r="C67" s="361">
        <f ca="1">C48-C58</f>
        <v>-37</v>
      </c>
      <c r="D67" s="1185" t="s">
        <v>1464</v>
      </c>
      <c r="E67" s="1190"/>
      <c r="F67" s="1191"/>
      <c r="O67" s="1897" t="s">
        <v>1042</v>
      </c>
      <c r="P67" s="1888" t="s">
        <v>1562</v>
      </c>
      <c r="Q67" s="1936">
        <f ca="1">L51</f>
        <v>-2350</v>
      </c>
      <c r="R67" s="1889" t="s">
        <v>1582</v>
      </c>
    </row>
    <row r="68" spans="1:18" s="1845" customFormat="1" ht="16.5" thickBot="1">
      <c r="A68" s="1169" t="s">
        <v>1032</v>
      </c>
      <c r="B68" s="1170" t="s">
        <v>1485</v>
      </c>
      <c r="C68" s="346">
        <f ca="1">ROUND(C67*(1-((1+F70)/(1+F68))^F69)/(F68-F70),0)</f>
        <v>-539</v>
      </c>
      <c r="D68" s="1187" t="s">
        <v>1469</v>
      </c>
      <c r="E68" s="1172" t="s">
        <v>1470</v>
      </c>
      <c r="F68" s="357">
        <f ca="1">F40</f>
        <v>0.06</v>
      </c>
      <c r="O68" s="1897" t="s">
        <v>1043</v>
      </c>
      <c r="P68" s="1937" t="s">
        <v>1583</v>
      </c>
      <c r="Q68" s="1889">
        <f ca="1">ROUND(Q69-Q70*Q71,0)</f>
        <v>-152</v>
      </c>
      <c r="R68" s="1889" t="s">
        <v>1051</v>
      </c>
    </row>
    <row r="69" spans="1:18" s="1845" customFormat="1" ht="13.5" thickBot="1">
      <c r="A69" s="1173"/>
      <c r="B69" s="1174"/>
      <c r="C69" s="351"/>
      <c r="D69" s="1192" t="s">
        <v>1473</v>
      </c>
      <c r="E69" s="1172" t="s">
        <v>1474</v>
      </c>
      <c r="F69" s="379">
        <f ca="1">F41</f>
        <v>35.56</v>
      </c>
      <c r="O69" s="1897" t="s">
        <v>1048</v>
      </c>
      <c r="P69" s="1937" t="s">
        <v>1584</v>
      </c>
      <c r="Q69" s="1889">
        <f ca="1">C39</f>
        <v>-16</v>
      </c>
      <c r="R69" s="1889" t="s">
        <v>1529</v>
      </c>
    </row>
    <row r="70" spans="1:18" s="1845" customFormat="1" ht="13.5" thickBot="1">
      <c r="A70" s="1176"/>
      <c r="B70" s="1177"/>
      <c r="C70" s="355"/>
      <c r="D70" s="1188"/>
      <c r="E70" s="1172" t="s">
        <v>1477</v>
      </c>
      <c r="F70" s="1278"/>
      <c r="O70" s="1897" t="s">
        <v>1049</v>
      </c>
      <c r="P70" s="1937" t="s">
        <v>1585</v>
      </c>
      <c r="Q70" s="1889">
        <f ca="1">C13</f>
        <v>1510</v>
      </c>
      <c r="R70" s="1889" t="s">
        <v>1529</v>
      </c>
    </row>
    <row r="71" spans="1:18" s="1845" customFormat="1" ht="13.5" thickBot="1">
      <c r="A71" s="1193" t="s">
        <v>1033</v>
      </c>
      <c r="B71" s="1194" t="s">
        <v>1487</v>
      </c>
      <c r="C71" s="382">
        <f ca="1">ROUND(C68*10000/F71,0)</f>
        <v>-1737</v>
      </c>
      <c r="D71" s="1195" t="s">
        <v>1488</v>
      </c>
      <c r="E71" s="1196" t="s">
        <v>1489</v>
      </c>
      <c r="F71" s="385">
        <f ca="1">F43</f>
        <v>3103.3500000000004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136</v>
      </c>
      <c r="D75" s="1845"/>
      <c r="E75" s="1845"/>
      <c r="F75" s="1845"/>
      <c r="K75" s="1871"/>
      <c r="L75" s="1845"/>
      <c r="O75" s="1887" t="s">
        <v>1046</v>
      </c>
      <c r="P75" s="1888" t="s">
        <v>1549</v>
      </c>
      <c r="Q75" s="1889">
        <f ca="1">Q65+Q66</f>
        <v>-280</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9.5</v>
      </c>
    </row>
    <row r="80" spans="1:18">
      <c r="B80" s="386" t="s">
        <v>1511</v>
      </c>
      <c r="C80" s="318">
        <f ca="1">ROUND(C75/C39,3)</f>
        <v>-8.5</v>
      </c>
    </row>
    <row r="81" spans="2:3">
      <c r="B81" s="314" t="s">
        <v>1512</v>
      </c>
      <c r="C81" s="282"/>
    </row>
    <row r="82" spans="2:3">
      <c r="B82" s="317" t="s">
        <v>1513</v>
      </c>
      <c r="C82" s="319">
        <f ca="1">1-C83</f>
        <v>6.3929999999999998</v>
      </c>
    </row>
    <row r="83" spans="2:3">
      <c r="B83" s="317" t="s">
        <v>1514</v>
      </c>
      <c r="C83" s="318">
        <f ca="1">ROUND(C13/C40,3)</f>
        <v>-5.3929999999999998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C2" sqref="C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t="s">
        <v>3065</v>
      </c>
      <c r="E1" s="1633"/>
      <c r="F1" s="2590" t="s">
        <v>3069</v>
      </c>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f>IF(C2="——",ROUND(C50*D3/10000,0),ROUND(C50*D3/10000,0)-D2)</f>
        <v>0</v>
      </c>
      <c r="C2" s="2592" t="s">
        <v>70</v>
      </c>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26413</v>
      </c>
      <c r="C3" s="400" t="s">
        <v>2650</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31" t="s">
        <v>2657</v>
      </c>
      <c r="Q4" s="3232"/>
      <c r="R4" s="3235" t="s">
        <v>2653</v>
      </c>
      <c r="S4" s="3236"/>
      <c r="T4" s="3235" t="s">
        <v>2654</v>
      </c>
      <c r="U4" s="3236"/>
      <c r="V4" s="3237" t="s">
        <v>2655</v>
      </c>
      <c r="W4" s="3237"/>
      <c r="X4" s="2676"/>
      <c r="Y4" s="3235" t="s">
        <v>2657</v>
      </c>
      <c r="Z4" s="3236"/>
      <c r="AA4" s="3240" t="s">
        <v>2653</v>
      </c>
      <c r="AB4" s="3240" t="s">
        <v>2654</v>
      </c>
      <c r="AC4" s="3228" t="s">
        <v>2655</v>
      </c>
    </row>
    <row r="5" spans="1:29" ht="15">
      <c r="A5" s="404"/>
      <c r="B5" s="405"/>
      <c r="C5" s="3238" t="s">
        <v>3073</v>
      </c>
      <c r="D5" s="3217"/>
      <c r="E5" s="3241" t="s">
        <v>3070</v>
      </c>
      <c r="F5" s="3224"/>
      <c r="G5" s="3238" t="s">
        <v>3071</v>
      </c>
      <c r="H5" s="3217"/>
      <c r="I5" s="3238" t="s">
        <v>3072</v>
      </c>
      <c r="J5" s="3217"/>
      <c r="K5" s="610"/>
      <c r="L5" s="1133"/>
      <c r="M5" s="1134"/>
      <c r="N5" s="1134"/>
      <c r="O5" s="1134"/>
      <c r="P5" s="3233"/>
      <c r="Q5" s="3204"/>
      <c r="R5" s="3209"/>
      <c r="S5" s="3210"/>
      <c r="T5" s="3209"/>
      <c r="U5" s="3210"/>
      <c r="V5" s="3213"/>
      <c r="W5" s="3213"/>
      <c r="X5" s="1816"/>
      <c r="Y5" s="3209"/>
      <c r="Z5" s="3210"/>
      <c r="AA5" s="3195"/>
      <c r="AB5" s="3195"/>
      <c r="AC5" s="3229"/>
    </row>
    <row r="6" spans="1:29" ht="15.75" thickBot="1">
      <c r="A6" s="406"/>
      <c r="B6" s="407"/>
      <c r="C6" s="3214" t="s">
        <v>2552</v>
      </c>
      <c r="D6" s="3215"/>
      <c r="E6" s="3221" t="s">
        <v>2552</v>
      </c>
      <c r="F6" s="3222"/>
      <c r="G6" s="3214" t="s">
        <v>2552</v>
      </c>
      <c r="H6" s="3215"/>
      <c r="I6" s="3214" t="s">
        <v>2552</v>
      </c>
      <c r="J6" s="3215"/>
      <c r="K6" s="610" t="s">
        <v>2553</v>
      </c>
      <c r="L6" s="1133"/>
      <c r="M6" s="1134"/>
      <c r="N6" s="1134"/>
      <c r="O6" s="1134"/>
      <c r="P6" s="3234"/>
      <c r="Q6" s="3206"/>
      <c r="R6" s="3209"/>
      <c r="S6" s="3210"/>
      <c r="T6" s="3211"/>
      <c r="U6" s="3212"/>
      <c r="V6" s="3213"/>
      <c r="W6" s="3213"/>
      <c r="X6" s="1816"/>
      <c r="Y6" s="3211"/>
      <c r="Z6" s="3212"/>
      <c r="AA6" s="3196"/>
      <c r="AB6" s="3196"/>
      <c r="AC6" s="3230"/>
    </row>
    <row r="7" spans="1:29" s="117" customFormat="1" ht="15.75" thickBot="1">
      <c r="A7" s="408" t="s">
        <v>2554</v>
      </c>
      <c r="B7" s="409"/>
      <c r="C7" s="410">
        <f>'数据-取费表'!B2</f>
        <v>43334</v>
      </c>
      <c r="D7" s="411">
        <v>100</v>
      </c>
      <c r="E7" s="412">
        <f>C7</f>
        <v>43334</v>
      </c>
      <c r="F7" s="413">
        <f>SUMIF(59:59,YEAR(E7)&amp;"-"&amp;MONTH(E7),60:60)</f>
        <v>100</v>
      </c>
      <c r="G7" s="412">
        <f>C7</f>
        <v>43334</v>
      </c>
      <c r="H7" s="411">
        <f>SUMIF(59:59,YEAR(G7)&amp;"-"&amp;MONTH(G7),60:60)</f>
        <v>100</v>
      </c>
      <c r="I7" s="412">
        <f>C7</f>
        <v>43334</v>
      </c>
      <c r="J7" s="411">
        <f>SUMIF(59:59,YEAR(I7)&amp;"-"&amp;MONTH(I7),60:60)</f>
        <v>100</v>
      </c>
      <c r="K7" s="611"/>
      <c r="L7" s="1135"/>
      <c r="M7" s="1136"/>
      <c r="N7" s="1136"/>
      <c r="O7" s="1136"/>
      <c r="P7" s="3239" t="s">
        <v>2555</v>
      </c>
      <c r="Q7" s="3220"/>
      <c r="R7" s="770" t="s">
        <v>17</v>
      </c>
      <c r="S7" s="771">
        <f t="shared" ref="S7:S15" si="0">F7</f>
        <v>100</v>
      </c>
      <c r="T7" s="770" t="s">
        <v>17</v>
      </c>
      <c r="U7" s="771">
        <f t="shared" ref="U7:U15" si="1">H7</f>
        <v>100</v>
      </c>
      <c r="V7" s="770" t="s">
        <v>17</v>
      </c>
      <c r="W7" s="771">
        <f t="shared" ref="W7:W15" si="2">J7</f>
        <v>100</v>
      </c>
      <c r="X7" s="772"/>
      <c r="Y7" s="3218" t="s">
        <v>2555</v>
      </c>
      <c r="Z7" s="3219"/>
      <c r="AA7" s="773">
        <f>D7/F7</f>
        <v>1</v>
      </c>
      <c r="AB7" s="773">
        <f>D7/H7</f>
        <v>1</v>
      </c>
      <c r="AC7" s="2677">
        <f>D7/J7</f>
        <v>1</v>
      </c>
    </row>
    <row r="8" spans="1:29" s="117" customFormat="1" ht="15.75" thickBot="1">
      <c r="A8" s="408" t="s">
        <v>2556</v>
      </c>
      <c r="B8" s="409"/>
      <c r="C8" s="414" t="s">
        <v>2658</v>
      </c>
      <c r="D8" s="411">
        <v>100</v>
      </c>
      <c r="E8" s="414" t="s">
        <v>3074</v>
      </c>
      <c r="F8" s="413">
        <f>SUMIF(62:62,E8,63:63)-SUMIF(62:62,C8,63:63)+100</f>
        <v>100</v>
      </c>
      <c r="G8" s="414" t="s">
        <v>3074</v>
      </c>
      <c r="H8" s="411">
        <f>SUMIF(62:62,G8,63:63)-SUMIF(62:62,C8,63:63)+100</f>
        <v>100</v>
      </c>
      <c r="I8" s="414" t="s">
        <v>3074</v>
      </c>
      <c r="J8" s="411">
        <f>SUMIF(62:62,I8,63:63)-SUMIF(62:62,C8,63:63)+100</f>
        <v>100</v>
      </c>
      <c r="K8" s="611"/>
      <c r="L8" s="1135"/>
      <c r="M8" s="1136"/>
      <c r="N8" s="1136"/>
      <c r="O8" s="1136"/>
      <c r="P8" s="3239" t="s">
        <v>2558</v>
      </c>
      <c r="Q8" s="3219"/>
      <c r="R8" s="770" t="s">
        <v>17</v>
      </c>
      <c r="S8" s="771">
        <f t="shared" si="0"/>
        <v>100</v>
      </c>
      <c r="T8" s="770" t="s">
        <v>17</v>
      </c>
      <c r="U8" s="771">
        <f t="shared" si="1"/>
        <v>100</v>
      </c>
      <c r="V8" s="770" t="s">
        <v>17</v>
      </c>
      <c r="W8" s="771">
        <f t="shared" si="2"/>
        <v>100</v>
      </c>
      <c r="X8" s="772"/>
      <c r="Y8" s="3218" t="s">
        <v>2558</v>
      </c>
      <c r="Z8" s="3219"/>
      <c r="AA8" s="773">
        <f t="shared" ref="AA8:AA47" si="3">D8/F8</f>
        <v>1</v>
      </c>
      <c r="AB8" s="773">
        <f t="shared" ref="AB8:AB47" si="4">D8/H8</f>
        <v>1</v>
      </c>
      <c r="AC8" s="2677">
        <f t="shared" ref="AC8:AC47" si="5">D8/J8</f>
        <v>1</v>
      </c>
    </row>
    <row r="9" spans="1:29" s="117" customFormat="1">
      <c r="A9" s="415" t="s">
        <v>2559</v>
      </c>
      <c r="B9" s="71" t="s">
        <v>2560</v>
      </c>
      <c r="C9" s="2949"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3"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2677">
        <f t="shared" si="5"/>
        <v>1</v>
      </c>
    </row>
    <row r="10" spans="1:29" s="427" customFormat="1" ht="27">
      <c r="A10" s="421"/>
      <c r="B10" s="422" t="s">
        <v>2563</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7">
        <f t="shared" si="5"/>
        <v>1</v>
      </c>
    </row>
    <row r="11" spans="1:29" ht="15">
      <c r="A11" s="428"/>
      <c r="B11" s="422" t="s">
        <v>2564</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93"/>
      <c r="Q11" s="1798"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91" t="s">
        <v>2566</v>
      </c>
      <c r="Q15" s="1813" t="str">
        <f t="shared" si="6"/>
        <v>办公集聚程度</v>
      </c>
      <c r="R15" s="774" t="s">
        <v>17</v>
      </c>
      <c r="S15" s="775">
        <f t="shared" si="0"/>
        <v>100</v>
      </c>
      <c r="T15" s="774" t="s">
        <v>17</v>
      </c>
      <c r="U15" s="775">
        <f t="shared" si="1"/>
        <v>100</v>
      </c>
      <c r="V15" s="774" t="s">
        <v>17</v>
      </c>
      <c r="W15" s="775">
        <f t="shared" si="2"/>
        <v>100</v>
      </c>
      <c r="X15" s="1816"/>
      <c r="Y15" s="3184"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92"/>
      <c r="Q16" s="1813"/>
      <c r="R16" s="774"/>
      <c r="S16" s="775"/>
      <c r="T16" s="774"/>
      <c r="U16" s="775"/>
      <c r="V16" s="774"/>
      <c r="W16" s="775"/>
      <c r="X16" s="1816"/>
      <c r="Y16" s="3185"/>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92"/>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92"/>
      <c r="Q18" s="1813"/>
      <c r="R18" s="774"/>
      <c r="S18" s="775"/>
      <c r="T18" s="774"/>
      <c r="U18" s="775"/>
      <c r="V18" s="774"/>
      <c r="W18" s="775"/>
      <c r="X18" s="1816"/>
      <c r="Y18" s="3185"/>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92"/>
      <c r="Q20" s="1813"/>
      <c r="R20" s="774"/>
      <c r="S20" s="775"/>
      <c r="T20" s="774"/>
      <c r="U20" s="775"/>
      <c r="V20" s="774"/>
      <c r="W20" s="775"/>
      <c r="X20" s="1816"/>
      <c r="Y20" s="3185"/>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92"/>
      <c r="Q22" s="1813"/>
      <c r="R22" s="774"/>
      <c r="S22" s="775"/>
      <c r="T22" s="774"/>
      <c r="U22" s="775"/>
      <c r="V22" s="774"/>
      <c r="W22" s="775"/>
      <c r="X22" s="1816"/>
      <c r="Y22" s="3185"/>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92"/>
      <c r="Q23" s="1813" t="str">
        <f>B23</f>
        <v>环境质量</v>
      </c>
      <c r="R23" s="774" t="s">
        <v>17</v>
      </c>
      <c r="S23" s="775">
        <f>F23</f>
        <v>100</v>
      </c>
      <c r="T23" s="774" t="s">
        <v>17</v>
      </c>
      <c r="U23" s="775">
        <f>H23</f>
        <v>100</v>
      </c>
      <c r="V23" s="774" t="s">
        <v>17</v>
      </c>
      <c r="W23" s="775">
        <f>J23</f>
        <v>100</v>
      </c>
      <c r="X23" s="1816"/>
      <c r="Y23" s="3185"/>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92"/>
      <c r="Q24" s="1813"/>
      <c r="R24" s="774"/>
      <c r="S24" s="775"/>
      <c r="T24" s="774"/>
      <c r="U24" s="775"/>
      <c r="V24" s="774"/>
      <c r="W24" s="775"/>
      <c r="X24" s="1816"/>
      <c r="Y24" s="3185"/>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v>2</v>
      </c>
      <c r="L25" s="1143"/>
      <c r="M25" s="1134"/>
      <c r="N25" s="1134"/>
      <c r="O25" s="1134"/>
      <c r="P25" s="3192"/>
      <c r="Q25" s="1813" t="str">
        <f>B25</f>
        <v>毗邻道路的类型与等级</v>
      </c>
      <c r="R25" s="774" t="s">
        <v>17</v>
      </c>
      <c r="S25" s="775">
        <f>F25</f>
        <v>100</v>
      </c>
      <c r="T25" s="774" t="s">
        <v>17</v>
      </c>
      <c r="U25" s="775">
        <f>H25</f>
        <v>100</v>
      </c>
      <c r="V25" s="774" t="s">
        <v>17</v>
      </c>
      <c r="W25" s="775">
        <f>J25</f>
        <v>100</v>
      </c>
      <c r="X25" s="1816"/>
      <c r="Y25" s="318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2"/>
      <c r="Q26" s="1813"/>
      <c r="R26" s="774"/>
      <c r="S26" s="775"/>
      <c r="T26" s="774"/>
      <c r="U26" s="775"/>
      <c r="V26" s="774"/>
      <c r="W26" s="775"/>
      <c r="X26" s="1816"/>
      <c r="Y26" s="3185"/>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v>2</v>
      </c>
      <c r="L27" s="1143"/>
      <c r="M27" s="1134"/>
      <c r="N27" s="1134"/>
      <c r="O27" s="1134"/>
      <c r="P27" s="3192"/>
      <c r="Q27" s="1813" t="str">
        <f t="shared" ref="Q27:Q47" si="11">B27</f>
        <v>楼层</v>
      </c>
      <c r="R27" s="774" t="s">
        <v>17</v>
      </c>
      <c r="S27" s="775">
        <f>F27</f>
        <v>100</v>
      </c>
      <c r="T27" s="774" t="s">
        <v>17</v>
      </c>
      <c r="U27" s="775">
        <f>H27</f>
        <v>100</v>
      </c>
      <c r="V27" s="774" t="s">
        <v>17</v>
      </c>
      <c r="W27" s="775">
        <f>J27</f>
        <v>100</v>
      </c>
      <c r="X27" s="1816"/>
      <c r="Y27" s="3185"/>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v>1</v>
      </c>
      <c r="L28" s="1135"/>
      <c r="M28" s="1136"/>
      <c r="N28" s="1136"/>
      <c r="O28" s="1136"/>
      <c r="P28" s="3192"/>
      <c r="Q28" s="1798" t="str">
        <f t="shared" si="11"/>
        <v>朝向</v>
      </c>
      <c r="R28" s="770" t="s">
        <v>17</v>
      </c>
      <c r="S28" s="771">
        <f>F28</f>
        <v>100</v>
      </c>
      <c r="T28" s="770" t="s">
        <v>17</v>
      </c>
      <c r="U28" s="771">
        <f>H28</f>
        <v>100</v>
      </c>
      <c r="V28" s="770" t="s">
        <v>17</v>
      </c>
      <c r="W28" s="771">
        <f>J28</f>
        <v>100</v>
      </c>
      <c r="X28" s="772"/>
      <c r="Y28" s="3185"/>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2"/>
      <c r="Q29" s="1813">
        <f t="shared" si="11"/>
        <v>111</v>
      </c>
      <c r="R29" s="774" t="s">
        <v>17</v>
      </c>
      <c r="S29" s="775">
        <f t="shared" ref="S29:S47" si="12">F29</f>
        <v>100</v>
      </c>
      <c r="T29" s="774" t="s">
        <v>17</v>
      </c>
      <c r="U29" s="775">
        <f t="shared" ref="U29:U47" si="13">H29</f>
        <v>100</v>
      </c>
      <c r="V29" s="774" t="s">
        <v>17</v>
      </c>
      <c r="W29" s="775">
        <f t="shared" ref="W29:W47" si="14">J29</f>
        <v>100</v>
      </c>
      <c r="X29" s="1816"/>
      <c r="Y29" s="3185"/>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85"/>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8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2"/>
      <c r="Q32" s="1813">
        <f t="shared" si="11"/>
        <v>111</v>
      </c>
      <c r="R32" s="774" t="s">
        <v>17</v>
      </c>
      <c r="S32" s="775">
        <f t="shared" si="12"/>
        <v>100</v>
      </c>
      <c r="T32" s="774" t="s">
        <v>17</v>
      </c>
      <c r="U32" s="775">
        <f t="shared" si="13"/>
        <v>100</v>
      </c>
      <c r="V32" s="774" t="s">
        <v>17</v>
      </c>
      <c r="W32" s="775">
        <f t="shared" si="14"/>
        <v>100</v>
      </c>
      <c r="X32" s="1816"/>
      <c r="Y32" s="3185"/>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86" t="s">
        <v>2571</v>
      </c>
      <c r="Q33" s="1813" t="str">
        <f t="shared" si="11"/>
        <v>建筑类型</v>
      </c>
      <c r="R33" s="774" t="s">
        <v>17</v>
      </c>
      <c r="S33" s="775">
        <f t="shared" si="12"/>
        <v>100</v>
      </c>
      <c r="T33" s="774" t="s">
        <v>17</v>
      </c>
      <c r="U33" s="775">
        <f t="shared" si="13"/>
        <v>100</v>
      </c>
      <c r="V33" s="774" t="s">
        <v>17</v>
      </c>
      <c r="W33" s="775">
        <f t="shared" si="14"/>
        <v>100</v>
      </c>
      <c r="X33" s="1816"/>
      <c r="Y33" s="3189" t="s">
        <v>2571</v>
      </c>
      <c r="Z33" s="1817" t="str">
        <f t="shared" si="15"/>
        <v>建筑类型</v>
      </c>
      <c r="AA33" s="1814">
        <f t="shared" si="3"/>
        <v>1</v>
      </c>
      <c r="AB33" s="1814">
        <f t="shared" si="4"/>
        <v>1</v>
      </c>
      <c r="AC33" s="2680">
        <f t="shared" si="5"/>
        <v>1</v>
      </c>
    </row>
    <row r="34" spans="1:29" s="471" customFormat="1" ht="15">
      <c r="A34" s="468"/>
      <c r="B34" s="422" t="s">
        <v>2572</v>
      </c>
      <c r="C34" s="469">
        <v>34712.6</v>
      </c>
      <c r="D34" s="136">
        <v>100</v>
      </c>
      <c r="E34" s="430">
        <v>118993</v>
      </c>
      <c r="F34" s="425">
        <f>LOOKUP(E34,104:104,105:105)-LOOKUP(C34,104:104,105:105)+100</f>
        <v>96</v>
      </c>
      <c r="G34" s="429">
        <v>86605</v>
      </c>
      <c r="H34" s="136">
        <f>LOOKUP(G34,104:104,105:105)-LOOKUP(C34,104:104,105:105)+100</f>
        <v>98</v>
      </c>
      <c r="I34" s="429">
        <f>C34</f>
        <v>34712.6</v>
      </c>
      <c r="J34" s="136">
        <f>LOOKUP(I34,104:104,105:105)-LOOKUP(C34,104:104,105:105)+100</f>
        <v>100</v>
      </c>
      <c r="K34" s="613"/>
      <c r="L34" s="1141"/>
      <c r="M34" s="1144"/>
      <c r="N34" s="1144"/>
      <c r="O34" s="1144"/>
      <c r="P34" s="3187"/>
      <c r="Q34" s="776" t="str">
        <f t="shared" si="11"/>
        <v>项目建筑规模</v>
      </c>
      <c r="R34" s="777" t="s">
        <v>17</v>
      </c>
      <c r="S34" s="778">
        <f t="shared" si="12"/>
        <v>96</v>
      </c>
      <c r="T34" s="777" t="s">
        <v>17</v>
      </c>
      <c r="U34" s="778">
        <f t="shared" si="13"/>
        <v>98</v>
      </c>
      <c r="V34" s="777" t="s">
        <v>17</v>
      </c>
      <c r="W34" s="778">
        <f t="shared" si="14"/>
        <v>100</v>
      </c>
      <c r="X34" s="779"/>
      <c r="Y34" s="3189"/>
      <c r="Z34" s="780" t="str">
        <f t="shared" si="15"/>
        <v>项目建筑规模</v>
      </c>
      <c r="AA34" s="1814">
        <f t="shared" si="3"/>
        <v>1.0416666666666667</v>
      </c>
      <c r="AB34" s="1814">
        <f t="shared" si="4"/>
        <v>1.0204081632653061</v>
      </c>
      <c r="AC34" s="2680">
        <f t="shared" si="5"/>
        <v>1</v>
      </c>
    </row>
    <row r="35" spans="1:29" ht="15">
      <c r="A35" s="472"/>
      <c r="B35" s="422" t="s">
        <v>2573</v>
      </c>
      <c r="C35" s="460" t="s">
        <v>3066</v>
      </c>
      <c r="D35" s="435">
        <v>100</v>
      </c>
      <c r="E35" s="460" t="s">
        <v>3066</v>
      </c>
      <c r="F35" s="461">
        <f>SUMIF(106:106,E35,107:107)-SUMIF(106:106,C35,107:107)+100</f>
        <v>100</v>
      </c>
      <c r="G35" s="460" t="s">
        <v>3066</v>
      </c>
      <c r="H35" s="435">
        <f>SUMIF(106:106,G35,107:107)-SUMIF(106:106,C35,107:107)+100</f>
        <v>100</v>
      </c>
      <c r="I35" s="460" t="s">
        <v>3066</v>
      </c>
      <c r="J35" s="435">
        <f>SUMIF(106:106,I35,107:107)-SUMIF(106:106,C35,107:107)+100</f>
        <v>100</v>
      </c>
      <c r="K35" s="612">
        <v>2</v>
      </c>
      <c r="L35" s="1143"/>
      <c r="M35" s="1134"/>
      <c r="N35" s="1134"/>
      <c r="O35" s="1134"/>
      <c r="P35" s="3187"/>
      <c r="Q35" s="1813" t="str">
        <f t="shared" si="11"/>
        <v>建筑结构</v>
      </c>
      <c r="R35" s="774" t="s">
        <v>17</v>
      </c>
      <c r="S35" s="775">
        <f t="shared" si="12"/>
        <v>100</v>
      </c>
      <c r="T35" s="774" t="s">
        <v>17</v>
      </c>
      <c r="U35" s="775">
        <f t="shared" si="13"/>
        <v>100</v>
      </c>
      <c r="V35" s="774" t="s">
        <v>17</v>
      </c>
      <c r="W35" s="775">
        <f t="shared" si="14"/>
        <v>100</v>
      </c>
      <c r="X35" s="1816"/>
      <c r="Y35" s="3189"/>
      <c r="Z35" s="1817" t="str">
        <f t="shared" si="15"/>
        <v>建筑结构</v>
      </c>
      <c r="AA35" s="1814">
        <f t="shared" si="3"/>
        <v>1</v>
      </c>
      <c r="AB35" s="1814">
        <f t="shared" si="4"/>
        <v>1</v>
      </c>
      <c r="AC35" s="2680">
        <f t="shared" si="5"/>
        <v>1</v>
      </c>
    </row>
    <row r="36" spans="1:29" ht="15">
      <c r="A36" s="472"/>
      <c r="B36" s="422" t="s">
        <v>2667</v>
      </c>
      <c r="C36" s="460" t="s">
        <v>3079</v>
      </c>
      <c r="D36" s="435">
        <v>100</v>
      </c>
      <c r="E36" s="460" t="s">
        <v>3079</v>
      </c>
      <c r="F36" s="461">
        <f>SUMIF(108:108,E36,109:109)-SUMIF(108:108,C36,109:109)+100</f>
        <v>100</v>
      </c>
      <c r="G36" s="460" t="s">
        <v>3079</v>
      </c>
      <c r="H36" s="435">
        <f>SUMIF(108:108,G36,109:109)-SUMIF(108:108,C36,109:109)+100</f>
        <v>100</v>
      </c>
      <c r="I36" s="460" t="s">
        <v>3079</v>
      </c>
      <c r="J36" s="435">
        <f>SUMIF(108:108,I36,109:109)-SUMIF(108:108,C36,109:109)+100</f>
        <v>100</v>
      </c>
      <c r="K36" s="612">
        <v>1</v>
      </c>
      <c r="L36" s="1143"/>
      <c r="M36" s="1134"/>
      <c r="N36" s="1134"/>
      <c r="O36" s="1134"/>
      <c r="P36" s="3187"/>
      <c r="Q36" s="1813" t="str">
        <f t="shared" si="11"/>
        <v>公共部分装修</v>
      </c>
      <c r="R36" s="774" t="s">
        <v>17</v>
      </c>
      <c r="S36" s="775">
        <f t="shared" si="12"/>
        <v>100</v>
      </c>
      <c r="T36" s="774" t="s">
        <v>17</v>
      </c>
      <c r="U36" s="775">
        <f t="shared" si="13"/>
        <v>100</v>
      </c>
      <c r="V36" s="774" t="s">
        <v>17</v>
      </c>
      <c r="W36" s="775">
        <f t="shared" si="14"/>
        <v>100</v>
      </c>
      <c r="X36" s="1816"/>
      <c r="Y36" s="3189"/>
      <c r="Z36" s="1817" t="str">
        <f t="shared" si="15"/>
        <v>公共部分装修</v>
      </c>
      <c r="AA36" s="1814">
        <f t="shared" si="3"/>
        <v>1</v>
      </c>
      <c r="AB36" s="1814">
        <f t="shared" si="4"/>
        <v>1</v>
      </c>
      <c r="AC36" s="2680">
        <f t="shared" si="5"/>
        <v>1</v>
      </c>
    </row>
    <row r="37" spans="1:29" ht="15">
      <c r="A37" s="472"/>
      <c r="B37" s="422" t="s">
        <v>2668</v>
      </c>
      <c r="C37" s="474">
        <f>'数据-取费表'!N6</f>
        <v>0.9</v>
      </c>
      <c r="D37" s="435">
        <v>100</v>
      </c>
      <c r="E37" s="474">
        <f>ROUND(1-(2018-2013)/60,2)</f>
        <v>0.92</v>
      </c>
      <c r="F37" s="461">
        <f>LOOKUP(E37,111:111,112:112)-LOOKUP(C37,111:111,112:112)+100</f>
        <v>100</v>
      </c>
      <c r="G37" s="474">
        <f>ROUND(1-(2018-2012)/60,2)</f>
        <v>0.9</v>
      </c>
      <c r="H37" s="461">
        <f>LOOKUP(G37,111:111,112:112)-LOOKUP(C37,111:111,112:112)+100</f>
        <v>100</v>
      </c>
      <c r="I37" s="474">
        <f>C37</f>
        <v>0.9</v>
      </c>
      <c r="J37" s="435">
        <f>LOOKUP(I37,111:111,112:112)-LOOKUP(C37,111:111,112:112)+100</f>
        <v>100</v>
      </c>
      <c r="K37" s="612">
        <v>2</v>
      </c>
      <c r="L37" s="1143"/>
      <c r="M37" s="1134"/>
      <c r="N37" s="1134"/>
      <c r="O37" s="1134"/>
      <c r="P37" s="3187"/>
      <c r="Q37" s="1813" t="str">
        <f t="shared" si="11"/>
        <v>成新度</v>
      </c>
      <c r="R37" s="774" t="s">
        <v>17</v>
      </c>
      <c r="S37" s="775">
        <f t="shared" si="12"/>
        <v>100</v>
      </c>
      <c r="T37" s="774" t="s">
        <v>17</v>
      </c>
      <c r="U37" s="775">
        <f t="shared" si="13"/>
        <v>100</v>
      </c>
      <c r="V37" s="774" t="s">
        <v>17</v>
      </c>
      <c r="W37" s="775">
        <f t="shared" si="14"/>
        <v>100</v>
      </c>
      <c r="X37" s="1816"/>
      <c r="Y37" s="3189"/>
      <c r="Z37" s="1817" t="str">
        <f t="shared" si="15"/>
        <v>成新度</v>
      </c>
      <c r="AA37" s="1814">
        <f t="shared" si="3"/>
        <v>1</v>
      </c>
      <c r="AB37" s="1814">
        <f t="shared" si="4"/>
        <v>1</v>
      </c>
      <c r="AC37" s="2680">
        <f t="shared" si="5"/>
        <v>1</v>
      </c>
    </row>
    <row r="38" spans="1:29" s="117" customFormat="1" ht="15">
      <c r="A38" s="473"/>
      <c r="B38" s="422" t="s">
        <v>2700</v>
      </c>
      <c r="C38" s="460" t="s">
        <v>3083</v>
      </c>
      <c r="D38" s="136">
        <v>100</v>
      </c>
      <c r="E38" s="460" t="s">
        <v>3083</v>
      </c>
      <c r="F38" s="461">
        <f>SUMIF(113:113,E38,114:114)-SUMIF(113:113,C38,114:114)+100</f>
        <v>100</v>
      </c>
      <c r="G38" s="460" t="s">
        <v>3083</v>
      </c>
      <c r="H38" s="435">
        <f>SUMIF(113:113,G38,114:114)-SUMIF(113:113,C38,114:114)+100</f>
        <v>100</v>
      </c>
      <c r="I38" s="460" t="s">
        <v>3083</v>
      </c>
      <c r="J38" s="435">
        <f>SUMIF(113:113,I38,114:114)-SUMIF(113:113,C38,114:114)+100</f>
        <v>100</v>
      </c>
      <c r="K38" s="612">
        <v>2</v>
      </c>
      <c r="L38" s="1135"/>
      <c r="M38" s="1136"/>
      <c r="N38" s="1136"/>
      <c r="O38" s="1136"/>
      <c r="P38" s="3187"/>
      <c r="Q38" s="1798"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7" t="s">
        <v>2571</v>
      </c>
      <c r="Q39" s="1813" t="str">
        <f t="shared" si="11"/>
        <v>物业管理</v>
      </c>
      <c r="R39" s="774" t="s">
        <v>17</v>
      </c>
      <c r="S39" s="775">
        <f t="shared" si="12"/>
        <v>100</v>
      </c>
      <c r="T39" s="774" t="s">
        <v>17</v>
      </c>
      <c r="U39" s="775">
        <f t="shared" si="13"/>
        <v>100</v>
      </c>
      <c r="V39" s="774" t="s">
        <v>17</v>
      </c>
      <c r="W39" s="775">
        <f t="shared" si="14"/>
        <v>100</v>
      </c>
      <c r="X39" s="1816"/>
      <c r="Y39" s="3189"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7"/>
      <c r="Q40" s="1813" t="str">
        <f t="shared" si="11"/>
        <v>市政基础设施</v>
      </c>
      <c r="R40" s="774" t="s">
        <v>17</v>
      </c>
      <c r="S40" s="775">
        <f t="shared" si="12"/>
        <v>100</v>
      </c>
      <c r="T40" s="774" t="s">
        <v>17</v>
      </c>
      <c r="U40" s="775">
        <f t="shared" si="13"/>
        <v>100</v>
      </c>
      <c r="V40" s="774" t="s">
        <v>17</v>
      </c>
      <c r="W40" s="775">
        <f t="shared" si="14"/>
        <v>100</v>
      </c>
      <c r="X40" s="1816"/>
      <c r="Y40" s="3189"/>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7"/>
      <c r="Q41" s="1813" t="str">
        <f t="shared" si="11"/>
        <v>层高</v>
      </c>
      <c r="R41" s="774" t="s">
        <v>17</v>
      </c>
      <c r="S41" s="775">
        <f t="shared" si="12"/>
        <v>100</v>
      </c>
      <c r="T41" s="774" t="s">
        <v>17</v>
      </c>
      <c r="U41" s="775">
        <f t="shared" si="13"/>
        <v>100</v>
      </c>
      <c r="V41" s="774" t="s">
        <v>17</v>
      </c>
      <c r="W41" s="775">
        <f t="shared" si="14"/>
        <v>100</v>
      </c>
      <c r="X41" s="1816"/>
      <c r="Y41" s="3189"/>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7"/>
      <c r="Q43" s="1813" t="str">
        <f t="shared" si="11"/>
        <v>内部装修</v>
      </c>
      <c r="R43" s="774" t="s">
        <v>17</v>
      </c>
      <c r="S43" s="775">
        <f t="shared" si="12"/>
        <v>100</v>
      </c>
      <c r="T43" s="774" t="s">
        <v>17</v>
      </c>
      <c r="U43" s="775">
        <f t="shared" si="13"/>
        <v>100</v>
      </c>
      <c r="V43" s="774" t="s">
        <v>17</v>
      </c>
      <c r="W43" s="775">
        <f t="shared" si="14"/>
        <v>100</v>
      </c>
      <c r="X43" s="1816"/>
      <c r="Y43" s="3189"/>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87"/>
      <c r="Q44" s="1813" t="str">
        <f t="shared" si="11"/>
        <v>内部装修维护情况</v>
      </c>
      <c r="R44" s="774" t="s">
        <v>17</v>
      </c>
      <c r="S44" s="775">
        <f t="shared" si="12"/>
        <v>100</v>
      </c>
      <c r="T44" s="774" t="s">
        <v>17</v>
      </c>
      <c r="U44" s="775">
        <f t="shared" si="13"/>
        <v>100</v>
      </c>
      <c r="V44" s="774" t="s">
        <v>17</v>
      </c>
      <c r="W44" s="775">
        <f t="shared" si="14"/>
        <v>100</v>
      </c>
      <c r="X44" s="1816"/>
      <c r="Y44" s="3189"/>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7"/>
      <c r="Q45" s="1798">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7"/>
      <c r="Q46" s="1813">
        <f t="shared" si="11"/>
        <v>111</v>
      </c>
      <c r="R46" s="774" t="s">
        <v>17</v>
      </c>
      <c r="S46" s="775">
        <f t="shared" si="12"/>
        <v>100</v>
      </c>
      <c r="T46" s="774" t="s">
        <v>17</v>
      </c>
      <c r="U46" s="775">
        <f t="shared" si="13"/>
        <v>100</v>
      </c>
      <c r="V46" s="774" t="s">
        <v>17</v>
      </c>
      <c r="W46" s="775">
        <f t="shared" si="14"/>
        <v>100</v>
      </c>
      <c r="X46" s="1816"/>
      <c r="Y46" s="3189"/>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8"/>
      <c r="Q47" s="1813">
        <f t="shared" si="11"/>
        <v>111</v>
      </c>
      <c r="R47" s="774" t="s">
        <v>17</v>
      </c>
      <c r="S47" s="775">
        <f t="shared" si="12"/>
        <v>100</v>
      </c>
      <c r="T47" s="774" t="s">
        <v>17</v>
      </c>
      <c r="U47" s="775">
        <f t="shared" si="13"/>
        <v>100</v>
      </c>
      <c r="V47" s="774" t="s">
        <v>17</v>
      </c>
      <c r="W47" s="775">
        <f t="shared" si="14"/>
        <v>100</v>
      </c>
      <c r="X47" s="1816"/>
      <c r="Y47" s="3190"/>
      <c r="Z47" s="1817">
        <f t="shared" si="15"/>
        <v>111</v>
      </c>
      <c r="AA47" s="1814">
        <f t="shared" si="3"/>
        <v>1</v>
      </c>
      <c r="AB47" s="1814">
        <f t="shared" si="4"/>
        <v>1</v>
      </c>
      <c r="AC47" s="2680">
        <f t="shared" si="5"/>
        <v>1</v>
      </c>
    </row>
    <row r="48" spans="1:29" ht="15">
      <c r="A48" s="479" t="s">
        <v>2583</v>
      </c>
      <c r="B48" s="480"/>
      <c r="C48" s="1410" t="s">
        <v>1</v>
      </c>
      <c r="D48" s="1411"/>
      <c r="E48" s="1412">
        <v>28000</v>
      </c>
      <c r="F48" s="1413"/>
      <c r="G48" s="1414">
        <v>28000</v>
      </c>
      <c r="H48" s="1415"/>
      <c r="I48" s="1412">
        <v>21500</v>
      </c>
      <c r="J48" s="485"/>
      <c r="K48" s="783"/>
      <c r="L48" s="1146"/>
      <c r="M48" s="1134"/>
      <c r="N48" s="1134"/>
      <c r="O48" s="1134"/>
      <c r="P48" s="3193" t="str">
        <f>A48</f>
        <v>成交单价（元/平方米）</v>
      </c>
      <c r="Q48" s="3182"/>
      <c r="R48" s="3183">
        <f>E48</f>
        <v>28000</v>
      </c>
      <c r="S48" s="3183"/>
      <c r="T48" s="3183">
        <f>G48</f>
        <v>28000</v>
      </c>
      <c r="U48" s="3183"/>
      <c r="V48" s="3183">
        <f>I48</f>
        <v>21500</v>
      </c>
      <c r="W48" s="3183"/>
      <c r="X48" s="446"/>
      <c r="Y48" s="781"/>
      <c r="Z48" s="446"/>
      <c r="AA48" s="446"/>
      <c r="AB48" s="446"/>
      <c r="AC48" s="630"/>
    </row>
    <row r="49" spans="1:29" ht="15.75" thickBot="1">
      <c r="A49" s="486" t="s">
        <v>2675</v>
      </c>
      <c r="B49" s="487"/>
      <c r="C49" s="1416">
        <f>R50</f>
        <v>26413</v>
      </c>
      <c r="D49" s="1417"/>
      <c r="E49" s="1418">
        <f>R49</f>
        <v>29167</v>
      </c>
      <c r="F49" s="1418"/>
      <c r="G49" s="1416">
        <f>T49</f>
        <v>28571</v>
      </c>
      <c r="H49" s="1417"/>
      <c r="I49" s="1418">
        <f>V49</f>
        <v>21500</v>
      </c>
      <c r="J49" s="489"/>
      <c r="K49" s="784"/>
      <c r="L49" s="1146"/>
      <c r="M49" s="1134"/>
      <c r="N49" s="1134"/>
      <c r="O49" s="1134"/>
      <c r="P49" s="3193" t="str">
        <f>A49</f>
        <v>比较价值（元/平方米）</v>
      </c>
      <c r="Q49" s="3182"/>
      <c r="R49" s="3183">
        <f>IF(F1="售价",ROUND(PRODUCT(R48,AA7:AA47),0),ROUND(PRODUCT(R48,AA7:AA47),1))</f>
        <v>29167</v>
      </c>
      <c r="S49" s="3183"/>
      <c r="T49" s="3183">
        <f>IF(F1="售价",ROUND(PRODUCT(T48,AB7:AB47),0),ROUND(PRODUCT(T48,AB7:AB47),1))</f>
        <v>28571</v>
      </c>
      <c r="U49" s="3183"/>
      <c r="V49" s="3183">
        <f>IF(F1="售价",ROUND(PRODUCT(V48,AC7:AC47),0),ROUND(PRODUCT(V48,AC7:AC47),1))</f>
        <v>21500</v>
      </c>
      <c r="W49" s="3183"/>
      <c r="X49" s="446"/>
      <c r="Y49" s="446"/>
      <c r="Z49" s="446"/>
      <c r="AA49" s="446"/>
      <c r="AB49" s="446"/>
      <c r="AC49" s="630"/>
    </row>
    <row r="50" spans="1:29" ht="15.75" thickBot="1">
      <c r="A50" s="492" t="s">
        <v>2676</v>
      </c>
      <c r="B50" s="493"/>
      <c r="C50" s="1420">
        <f>R50</f>
        <v>26413</v>
      </c>
      <c r="D50" s="1420"/>
      <c r="E50" s="1420"/>
      <c r="F50" s="1420"/>
      <c r="G50" s="1420"/>
      <c r="H50" s="1420"/>
      <c r="I50" s="1420"/>
      <c r="J50" s="494"/>
      <c r="K50" s="785"/>
      <c r="L50" s="1146"/>
      <c r="M50" s="1134"/>
      <c r="N50" s="1134"/>
      <c r="O50" s="1134"/>
      <c r="P50" s="3225" t="str">
        <f>A50</f>
        <v>估价对象XX用房的比较价值（楼面单价，元/平方米）</v>
      </c>
      <c r="Q50" s="3226"/>
      <c r="R50" s="3227">
        <f>IF(F1="售价",ROUND(AVERAGE(R49:V49),0),ROUND(AVERAGE(R49:V49),1))</f>
        <v>26413</v>
      </c>
      <c r="S50" s="3227"/>
      <c r="T50" s="3227"/>
      <c r="U50" s="3227"/>
      <c r="V50" s="3227"/>
      <c r="W50" s="3227"/>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f>IF(E48&lt;E49,E49/E48-1,E48/E49-1)</f>
        <v>4.1678571428571454E-2</v>
      </c>
      <c r="F53" s="500" t="str">
        <f>IF(OR(E53&gt;=0.3,E53&lt;=-0.3),"超过30%","")</f>
        <v/>
      </c>
      <c r="G53" s="499">
        <f>IF(G48&lt;G49,G49/G48-1,G48/G49-1)</f>
        <v>2.0392857142857101E-2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2678</v>
      </c>
      <c r="D54" s="501"/>
      <c r="E54" s="499">
        <f>IF(E49&lt;G49,G49/E49-1,E49/G49-1)</f>
        <v>2.086031290469359E-2</v>
      </c>
      <c r="F54" s="500" t="str">
        <f>IF(OR(E54&gt;=0.2,E54&lt;=-0.2),"超过20%","")</f>
        <v/>
      </c>
      <c r="G54" s="499">
        <f>IF(G49&lt;I49,I49/G49-1,G49/I49-1)</f>
        <v>0.32888372093023266</v>
      </c>
      <c r="H54" s="500" t="str">
        <f>IF(OR(G54&gt;=0.2,G54&lt;=-0.2),"超过20%","")</f>
        <v>超过20%</v>
      </c>
      <c r="I54" s="499">
        <f>IF(I49&lt;E49,E49/I49-1,I49/E49-1)</f>
        <v>0.35660465116279072</v>
      </c>
      <c r="J54" s="500" t="str">
        <f>IF(OR(I54&gt;=0.2,I54&lt;=-0.2),"超过20%","")</f>
        <v>超过20%</v>
      </c>
      <c r="K54" s="1108"/>
      <c r="L54" s="1109"/>
      <c r="M54" s="1147"/>
      <c r="N54" s="1147"/>
      <c r="O54" s="1147"/>
    </row>
    <row r="55" spans="1:29" s="502" customFormat="1" ht="13.5" customHeight="1">
      <c r="A55" s="1148"/>
      <c r="B55" s="1148"/>
      <c r="C55" s="497" t="s">
        <v>2679</v>
      </c>
      <c r="D55" s="501"/>
      <c r="E55" s="499">
        <f>IF(E48&lt;G48,G48/E48-1,E48/G48-1)</f>
        <v>0</v>
      </c>
      <c r="F55" s="500" t="str">
        <f>IF(OR(E55&gt;=0.3,E55&lt;=-0.3),"超过30%","")</f>
        <v/>
      </c>
      <c r="G55" s="499">
        <f>IF(G48&lt;I48,I48/G48-1,G48/I48-1)</f>
        <v>0.30232558139534893</v>
      </c>
      <c r="H55" s="500" t="str">
        <f>IF(OR(G55&gt;=0.3,G55&lt;=-0.3),"超过30%","")</f>
        <v>超过30%</v>
      </c>
      <c r="I55" s="499">
        <f>IF(I48&lt;E48,E48/I48-1,I48/E48-1)</f>
        <v>0.30232558139534893</v>
      </c>
      <c r="J55" s="500" t="str">
        <f>IF(OR(I55&gt;=0.3,I55&lt;=-0.3),"超过30%","")</f>
        <v>超过30%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t="str">
        <f>C9</f>
        <v>办公</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0"/>
      <c r="Q67" s="504"/>
    </row>
    <row r="68" spans="1:17" ht="15.75" thickTop="1">
      <c r="A68" s="534"/>
      <c r="B68" s="546" t="s">
        <v>2564</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v>1</v>
      </c>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2952" t="s">
        <v>3093</v>
      </c>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6.5" thickTop="1" thickBot="1">
      <c r="A103" s="534"/>
      <c r="B103" s="538" t="s">
        <v>2619</v>
      </c>
      <c r="C103" s="578" t="e">
        <f>#REF!&amp;"(含)"&amp;"-"&amp;#REF!</f>
        <v>#REF!</v>
      </c>
      <c r="D103" s="578" t="e">
        <f>#REF!&amp;"(含)"&amp;"-"&amp;#REF!</f>
        <v>#REF!</v>
      </c>
      <c r="E103" s="578" t="e">
        <f>#REF!&amp;"(含)"&amp;"-"&amp;#REF!</f>
        <v>#REF!</v>
      </c>
      <c r="F103" s="578" t="e">
        <f>#REF!&amp;"(含)"&amp;"-"&amp;#REF!</f>
        <v>#REF!</v>
      </c>
      <c r="G103" s="578" t="e">
        <f>#REF!&amp;"(含)"&amp;"-"&amp;#REF!</f>
        <v>#REF!</v>
      </c>
      <c r="H103" s="578" t="e">
        <f>#REF!&amp;"(含)"&amp;"-"&amp;#REF!</f>
        <v>#REF!</v>
      </c>
      <c r="I103" s="578" t="e">
        <f>#REF!&amp;"(含)"&amp;"-"&amp;#REF!</f>
        <v>#REF!</v>
      </c>
      <c r="J103" s="578" t="e">
        <f>#REF!&amp;"(含)"&amp;"-"&amp;K104</f>
        <v>#REF!</v>
      </c>
      <c r="K103" s="578" t="str">
        <f t="shared" ref="K103:L103" si="23">K104&amp;"(含)"&amp;"-"&amp;L104</f>
        <v>(含)-</v>
      </c>
      <c r="L103" s="578" t="str">
        <f t="shared" si="23"/>
        <v>(含)-</v>
      </c>
      <c r="M103" s="622" t="str">
        <f>M104&amp;"(含)"&amp;"-"&amp;P104</f>
        <v>(含)-</v>
      </c>
      <c r="N103" s="1154"/>
      <c r="O103" s="1154"/>
      <c r="P103" s="2690"/>
      <c r="Q103" s="504"/>
    </row>
    <row r="104" spans="1:17" s="471" customFormat="1">
      <c r="A104" s="593"/>
      <c r="B104" s="594"/>
      <c r="C104" s="530">
        <v>0</v>
      </c>
      <c r="D104" s="530">
        <v>1000</v>
      </c>
      <c r="E104" s="530">
        <v>3000</v>
      </c>
      <c r="F104" s="530">
        <v>50000</v>
      </c>
      <c r="G104" s="530">
        <v>10000</v>
      </c>
      <c r="H104" s="530">
        <v>30000</v>
      </c>
      <c r="I104" s="530">
        <v>50000</v>
      </c>
      <c r="J104" s="530">
        <v>100000</v>
      </c>
      <c r="K104" s="596"/>
      <c r="L104" s="597"/>
      <c r="M104" s="598"/>
      <c r="N104" s="1157"/>
      <c r="O104" s="1157"/>
      <c r="P104" s="2691"/>
      <c r="Q104" s="559"/>
    </row>
    <row r="105" spans="1:17" s="471" customFormat="1" ht="15.75" thickBot="1">
      <c r="A105" s="553"/>
      <c r="B105" s="543"/>
      <c r="C105" s="560">
        <v>100</v>
      </c>
      <c r="D105" s="536">
        <v>98</v>
      </c>
      <c r="E105" s="536">
        <v>96</v>
      </c>
      <c r="F105" s="560">
        <v>94</v>
      </c>
      <c r="G105" s="536">
        <v>92</v>
      </c>
      <c r="H105" s="536">
        <v>90</v>
      </c>
      <c r="I105" s="560">
        <v>88</v>
      </c>
      <c r="J105" s="536">
        <v>86</v>
      </c>
      <c r="K105" s="536"/>
      <c r="L105" s="536"/>
      <c r="M105" s="537"/>
      <c r="N105" s="1156"/>
      <c r="O105" s="1156"/>
      <c r="P105" s="2691"/>
      <c r="Q105" s="559"/>
    </row>
    <row r="106" spans="1:17" ht="15" thickTop="1">
      <c r="A106" s="599"/>
      <c r="B106" s="538" t="s">
        <v>2620</v>
      </c>
      <c r="C106" s="2950" t="s">
        <v>3077</v>
      </c>
      <c r="D106" s="2950" t="s">
        <v>3078</v>
      </c>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0"/>
      <c r="Q107" s="504"/>
    </row>
    <row r="108" spans="1:17" ht="15" thickTop="1">
      <c r="A108" s="599"/>
      <c r="B108" s="538" t="s">
        <v>2622</v>
      </c>
      <c r="C108" s="2950" t="s">
        <v>3080</v>
      </c>
      <c r="D108" s="2950" t="s">
        <v>3081</v>
      </c>
      <c r="E108" s="2950" t="s">
        <v>3082</v>
      </c>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0"/>
      <c r="Q112" s="504"/>
    </row>
    <row r="113" spans="1:17" s="471" customFormat="1" ht="15" thickTop="1">
      <c r="A113" s="593"/>
      <c r="B113" s="538" t="s">
        <v>2706</v>
      </c>
      <c r="C113" s="2950" t="s">
        <v>3084</v>
      </c>
      <c r="D113" s="2950" t="s">
        <v>3085</v>
      </c>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1"/>
      <c r="Q114" s="559"/>
    </row>
    <row r="115" spans="1:17" ht="15" thickTop="1">
      <c r="A115" s="599"/>
      <c r="B115" s="538" t="s">
        <v>2623</v>
      </c>
      <c r="C115" s="2950" t="s">
        <v>3086</v>
      </c>
      <c r="D115" s="2950" t="s">
        <v>3087</v>
      </c>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2950" t="s">
        <v>3088</v>
      </c>
      <c r="D117" s="2950" t="s">
        <v>3089</v>
      </c>
      <c r="E117" s="2950" t="s">
        <v>3090</v>
      </c>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2951" t="s">
        <v>3091</v>
      </c>
      <c r="D119" s="2951" t="s">
        <v>3092</v>
      </c>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北京朝林置业有限公司：</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估价对象为北京市出让国有建设用地使用权及在建建筑物房地产，为所有。根据《国有土地使用证》[]，估价对象（分摊）出让国有建设用地使用权面积为23731.26平方米，建筑面积为61537.21平方米。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23731.26平方米，规划建筑面积为61537.21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2018年8月22日（评估专业人员实地查勘之日）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22日，估价对象规划用途为办公，土地取得方式为出让，出让国有建设用地使用权剩余土地使用年限为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35.56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61537.21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195" t="s">
        <v>2654</v>
      </c>
      <c r="AC4" s="3194" t="s">
        <v>2655</v>
      </c>
    </row>
    <row r="5" spans="1:29"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2552</v>
      </c>
      <c r="D6" s="3215"/>
      <c r="E6" s="3221" t="s">
        <v>2552</v>
      </c>
      <c r="F6" s="3222"/>
      <c r="G6" s="3214" t="s">
        <v>2552</v>
      </c>
      <c r="H6" s="3215"/>
      <c r="I6" s="3214" t="s">
        <v>2552</v>
      </c>
      <c r="J6" s="3215"/>
      <c r="K6" s="610" t="s">
        <v>2553</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2554</v>
      </c>
      <c r="B7" s="409"/>
      <c r="C7" s="410">
        <f>'数据-取费表'!B2</f>
        <v>43334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8" t="s">
        <v>2555</v>
      </c>
      <c r="Q7" s="3220"/>
      <c r="R7" s="770" t="s">
        <v>17</v>
      </c>
      <c r="S7" s="771">
        <f t="shared" ref="S7:S15" si="0">F7</f>
        <v>0</v>
      </c>
      <c r="T7" s="770" t="s">
        <v>17</v>
      </c>
      <c r="U7" s="771">
        <f t="shared" ref="U7:U15" si="1">H7</f>
        <v>0</v>
      </c>
      <c r="V7" s="770" t="s">
        <v>17</v>
      </c>
      <c r="W7" s="771">
        <f t="shared" ref="W7:W15" si="2">J7</f>
        <v>0</v>
      </c>
      <c r="X7" s="772"/>
      <c r="Y7" s="3218" t="s">
        <v>2555</v>
      </c>
      <c r="Z7" s="3219"/>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4" t="s">
        <v>2566</v>
      </c>
      <c r="Q15" s="1813" t="str">
        <f t="shared" si="6"/>
        <v>产业集聚程度</v>
      </c>
      <c r="R15" s="774" t="s">
        <v>17</v>
      </c>
      <c r="S15" s="775">
        <f t="shared" si="0"/>
        <v>100</v>
      </c>
      <c r="T15" s="774" t="s">
        <v>17</v>
      </c>
      <c r="U15" s="775">
        <f t="shared" si="1"/>
        <v>100</v>
      </c>
      <c r="V15" s="774" t="s">
        <v>17</v>
      </c>
      <c r="W15" s="775">
        <f t="shared" si="2"/>
        <v>100</v>
      </c>
      <c r="X15" s="1816"/>
      <c r="Y15" s="3184"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5"/>
      <c r="Q16" s="1813"/>
      <c r="R16" s="774"/>
      <c r="S16" s="775"/>
      <c r="T16" s="774"/>
      <c r="U16" s="775"/>
      <c r="V16" s="774"/>
      <c r="W16" s="775"/>
      <c r="X16" s="1816"/>
      <c r="Y16" s="3185"/>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5"/>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85"/>
      <c r="Q18" s="1813"/>
      <c r="R18" s="774"/>
      <c r="S18" s="775"/>
      <c r="T18" s="774"/>
      <c r="U18" s="775"/>
      <c r="V18" s="774"/>
      <c r="W18" s="775"/>
      <c r="X18" s="1816"/>
      <c r="Y18" s="3185"/>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5"/>
      <c r="Q19" s="1813" t="str">
        <f>B19</f>
        <v>公共配套设施</v>
      </c>
      <c r="R19" s="774" t="s">
        <v>17</v>
      </c>
      <c r="S19" s="775">
        <f>F19</f>
        <v>100</v>
      </c>
      <c r="T19" s="774" t="s">
        <v>17</v>
      </c>
      <c r="U19" s="775">
        <f>H19</f>
        <v>100</v>
      </c>
      <c r="V19" s="774" t="s">
        <v>17</v>
      </c>
      <c r="W19" s="775">
        <f>J19</f>
        <v>100</v>
      </c>
      <c r="X19" s="1816"/>
      <c r="Y19" s="318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85"/>
      <c r="Q20" s="1813"/>
      <c r="R20" s="774"/>
      <c r="S20" s="775"/>
      <c r="T20" s="774"/>
      <c r="U20" s="775"/>
      <c r="V20" s="774"/>
      <c r="W20" s="775"/>
      <c r="X20" s="1816"/>
      <c r="Y20" s="3185"/>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5"/>
      <c r="Q21" s="1813" t="str">
        <f>B21</f>
        <v>基础设施水平</v>
      </c>
      <c r="R21" s="774" t="s">
        <v>17</v>
      </c>
      <c r="S21" s="775">
        <f>F21</f>
        <v>100</v>
      </c>
      <c r="T21" s="774" t="s">
        <v>17</v>
      </c>
      <c r="U21" s="775">
        <f>H21</f>
        <v>100</v>
      </c>
      <c r="V21" s="774" t="s">
        <v>17</v>
      </c>
      <c r="W21" s="775">
        <f>J21</f>
        <v>100</v>
      </c>
      <c r="X21" s="1816"/>
      <c r="Y21" s="318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85"/>
      <c r="Q22" s="1813"/>
      <c r="R22" s="774"/>
      <c r="S22" s="775"/>
      <c r="T22" s="774"/>
      <c r="U22" s="775"/>
      <c r="V22" s="774"/>
      <c r="W22" s="775"/>
      <c r="X22" s="1816"/>
      <c r="Y22" s="3185"/>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5"/>
      <c r="Q23" s="1813" t="str">
        <f>B23</f>
        <v>环境质量</v>
      </c>
      <c r="R23" s="774" t="s">
        <v>17</v>
      </c>
      <c r="S23" s="775">
        <f>F23</f>
        <v>100</v>
      </c>
      <c r="T23" s="774" t="s">
        <v>17</v>
      </c>
      <c r="U23" s="775">
        <f>H23</f>
        <v>100</v>
      </c>
      <c r="V23" s="774" t="s">
        <v>17</v>
      </c>
      <c r="W23" s="775">
        <f>J23</f>
        <v>100</v>
      </c>
      <c r="X23" s="1816"/>
      <c r="Y23" s="318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85"/>
      <c r="Q24" s="1813"/>
      <c r="R24" s="774"/>
      <c r="S24" s="775"/>
      <c r="T24" s="774"/>
      <c r="U24" s="775"/>
      <c r="V24" s="774"/>
      <c r="W24" s="775"/>
      <c r="X24" s="1816"/>
      <c r="Y24" s="318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5"/>
      <c r="Q25" s="1813">
        <f>B25</f>
        <v>111</v>
      </c>
      <c r="R25" s="774" t="s">
        <v>17</v>
      </c>
      <c r="S25" s="775">
        <f>F25</f>
        <v>100</v>
      </c>
      <c r="T25" s="774" t="s">
        <v>17</v>
      </c>
      <c r="U25" s="775">
        <f>H25</f>
        <v>100</v>
      </c>
      <c r="V25" s="774" t="s">
        <v>17</v>
      </c>
      <c r="W25" s="775">
        <f>J25</f>
        <v>100</v>
      </c>
      <c r="X25" s="1816"/>
      <c r="Y25" s="318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5"/>
      <c r="Q26" s="1813">
        <f t="shared" ref="Q26:Q40" si="11">B26</f>
        <v>111</v>
      </c>
      <c r="R26" s="774" t="s">
        <v>17</v>
      </c>
      <c r="S26" s="775">
        <f>F26</f>
        <v>100</v>
      </c>
      <c r="T26" s="774" t="s">
        <v>17</v>
      </c>
      <c r="U26" s="775">
        <f>H26</f>
        <v>100</v>
      </c>
      <c r="V26" s="774" t="s">
        <v>17</v>
      </c>
      <c r="W26" s="775">
        <f>J26</f>
        <v>100</v>
      </c>
      <c r="X26" s="1816"/>
      <c r="Y26" s="318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5"/>
      <c r="Q27" s="1798">
        <f t="shared" si="11"/>
        <v>111</v>
      </c>
      <c r="R27" s="770" t="s">
        <v>17</v>
      </c>
      <c r="S27" s="771">
        <f>F27</f>
        <v>100</v>
      </c>
      <c r="T27" s="770" t="s">
        <v>17</v>
      </c>
      <c r="U27" s="771">
        <f>H27</f>
        <v>100</v>
      </c>
      <c r="V27" s="770" t="s">
        <v>17</v>
      </c>
      <c r="W27" s="771">
        <f>J27</f>
        <v>100</v>
      </c>
      <c r="X27" s="772"/>
      <c r="Y27" s="318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5"/>
      <c r="Q28" s="1813">
        <f t="shared" si="11"/>
        <v>111</v>
      </c>
      <c r="R28" s="774" t="s">
        <v>17</v>
      </c>
      <c r="S28" s="775">
        <f t="shared" ref="S28:S40" si="12">F28</f>
        <v>100</v>
      </c>
      <c r="T28" s="774" t="s">
        <v>17</v>
      </c>
      <c r="U28" s="775">
        <f t="shared" ref="U28:U40" si="13">H28</f>
        <v>100</v>
      </c>
      <c r="V28" s="774" t="s">
        <v>17</v>
      </c>
      <c r="W28" s="775">
        <f t="shared" ref="W28:W40" si="14">J28</f>
        <v>100</v>
      </c>
      <c r="X28" s="1816"/>
      <c r="Y28" s="3185"/>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2571</v>
      </c>
      <c r="Q29" s="1813" t="str">
        <f t="shared" si="11"/>
        <v>建筑类型</v>
      </c>
      <c r="R29" s="774" t="s">
        <v>17</v>
      </c>
      <c r="S29" s="775">
        <f t="shared" si="12"/>
        <v>100</v>
      </c>
      <c r="T29" s="774" t="s">
        <v>17</v>
      </c>
      <c r="U29" s="775">
        <f t="shared" si="13"/>
        <v>100</v>
      </c>
      <c r="V29" s="774" t="s">
        <v>17</v>
      </c>
      <c r="W29" s="775">
        <f t="shared" si="14"/>
        <v>100</v>
      </c>
      <c r="X29" s="1816"/>
      <c r="Y29" s="3189"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9"/>
      <c r="Q31" s="1813" t="str">
        <f t="shared" si="11"/>
        <v>建筑结构</v>
      </c>
      <c r="R31" s="774" t="s">
        <v>17</v>
      </c>
      <c r="S31" s="775">
        <f t="shared" si="12"/>
        <v>100</v>
      </c>
      <c r="T31" s="774" t="s">
        <v>17</v>
      </c>
      <c r="U31" s="775">
        <f t="shared" si="13"/>
        <v>100</v>
      </c>
      <c r="V31" s="774" t="s">
        <v>17</v>
      </c>
      <c r="W31" s="775">
        <f t="shared" si="14"/>
        <v>100</v>
      </c>
      <c r="X31" s="1816"/>
      <c r="Y31" s="3189"/>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9"/>
      <c r="Q32" s="1813" t="str">
        <f t="shared" si="11"/>
        <v>公共部分装修</v>
      </c>
      <c r="R32" s="774" t="s">
        <v>17</v>
      </c>
      <c r="S32" s="775">
        <f t="shared" si="12"/>
        <v>100</v>
      </c>
      <c r="T32" s="774" t="s">
        <v>17</v>
      </c>
      <c r="U32" s="775">
        <f t="shared" si="13"/>
        <v>100</v>
      </c>
      <c r="V32" s="774" t="s">
        <v>17</v>
      </c>
      <c r="W32" s="775">
        <f t="shared" si="14"/>
        <v>100</v>
      </c>
      <c r="X32" s="1816"/>
      <c r="Y32" s="3189"/>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9"/>
      <c r="Q33" s="1813" t="str">
        <f t="shared" si="11"/>
        <v>成新度</v>
      </c>
      <c r="R33" s="774" t="s">
        <v>17</v>
      </c>
      <c r="S33" s="775" t="e">
        <f t="shared" si="12"/>
        <v>#N/A</v>
      </c>
      <c r="T33" s="774" t="s">
        <v>17</v>
      </c>
      <c r="U33" s="775" t="e">
        <f t="shared" si="13"/>
        <v>#N/A</v>
      </c>
      <c r="V33" s="774" t="s">
        <v>17</v>
      </c>
      <c r="W33" s="775" t="e">
        <f t="shared" si="14"/>
        <v>#N/A</v>
      </c>
      <c r="X33" s="1816"/>
      <c r="Y33" s="3189"/>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9"/>
      <c r="Q34" s="1798"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9" t="s">
        <v>2571</v>
      </c>
      <c r="Q35" s="1813" t="str">
        <f t="shared" si="11"/>
        <v>市政基础设施</v>
      </c>
      <c r="R35" s="774" t="s">
        <v>17</v>
      </c>
      <c r="S35" s="775">
        <f t="shared" si="12"/>
        <v>100</v>
      </c>
      <c r="T35" s="774" t="s">
        <v>17</v>
      </c>
      <c r="U35" s="775">
        <f t="shared" si="13"/>
        <v>100</v>
      </c>
      <c r="V35" s="774" t="s">
        <v>17</v>
      </c>
      <c r="W35" s="775">
        <f t="shared" si="14"/>
        <v>100</v>
      </c>
      <c r="X35" s="1816"/>
      <c r="Y35" s="3189"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9"/>
      <c r="Q36" s="1813" t="str">
        <f t="shared" si="11"/>
        <v>内部装修</v>
      </c>
      <c r="R36" s="774" t="s">
        <v>17</v>
      </c>
      <c r="S36" s="775">
        <f t="shared" si="12"/>
        <v>100</v>
      </c>
      <c r="T36" s="774" t="s">
        <v>17</v>
      </c>
      <c r="U36" s="775">
        <f t="shared" si="13"/>
        <v>100</v>
      </c>
      <c r="V36" s="774" t="s">
        <v>17</v>
      </c>
      <c r="W36" s="775">
        <f t="shared" si="14"/>
        <v>100</v>
      </c>
      <c r="X36" s="1816"/>
      <c r="Y36" s="3189"/>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9"/>
      <c r="Q37" s="1813" t="str">
        <f t="shared" si="11"/>
        <v>内部装修状况</v>
      </c>
      <c r="R37" s="774" t="s">
        <v>17</v>
      </c>
      <c r="S37" s="775">
        <f t="shared" si="12"/>
        <v>100</v>
      </c>
      <c r="T37" s="774" t="s">
        <v>17</v>
      </c>
      <c r="U37" s="775">
        <f t="shared" si="13"/>
        <v>100</v>
      </c>
      <c r="V37" s="774" t="s">
        <v>17</v>
      </c>
      <c r="W37" s="775">
        <f t="shared" si="14"/>
        <v>100</v>
      </c>
      <c r="X37" s="1816"/>
      <c r="Y37" s="318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9"/>
      <c r="Q39" s="1813">
        <f t="shared" si="11"/>
        <v>111</v>
      </c>
      <c r="R39" s="774" t="s">
        <v>17</v>
      </c>
      <c r="S39" s="775">
        <f t="shared" si="12"/>
        <v>100</v>
      </c>
      <c r="T39" s="774" t="s">
        <v>17</v>
      </c>
      <c r="U39" s="775">
        <f t="shared" si="13"/>
        <v>100</v>
      </c>
      <c r="V39" s="774" t="s">
        <v>17</v>
      </c>
      <c r="W39" s="775">
        <f t="shared" si="14"/>
        <v>100</v>
      </c>
      <c r="X39" s="1816"/>
      <c r="Y39" s="3189"/>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0"/>
      <c r="Q40" s="1813">
        <f t="shared" si="11"/>
        <v>111</v>
      </c>
      <c r="R40" s="774" t="s">
        <v>17</v>
      </c>
      <c r="S40" s="775">
        <f t="shared" si="12"/>
        <v>100</v>
      </c>
      <c r="T40" s="774" t="s">
        <v>17</v>
      </c>
      <c r="U40" s="775">
        <f t="shared" si="13"/>
        <v>100</v>
      </c>
      <c r="V40" s="774" t="s">
        <v>17</v>
      </c>
      <c r="W40" s="775">
        <f t="shared" si="14"/>
        <v>100</v>
      </c>
      <c r="X40" s="1816"/>
      <c r="Y40" s="3190"/>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0"/>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195" t="s">
        <v>2654</v>
      </c>
      <c r="AC4" s="3194" t="s">
        <v>2655</v>
      </c>
    </row>
    <row r="5" spans="1:29"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2552</v>
      </c>
      <c r="D6" s="3215"/>
      <c r="E6" s="3221" t="s">
        <v>2552</v>
      </c>
      <c r="F6" s="3222"/>
      <c r="G6" s="3214" t="s">
        <v>2552</v>
      </c>
      <c r="H6" s="3215"/>
      <c r="I6" s="3214" t="s">
        <v>2552</v>
      </c>
      <c r="J6" s="3215"/>
      <c r="K6" s="610" t="s">
        <v>2553</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2554</v>
      </c>
      <c r="B7" s="409"/>
      <c r="C7" s="410">
        <f>'数据-取费表'!B2</f>
        <v>43334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8" t="s">
        <v>2555</v>
      </c>
      <c r="Q7" s="3220"/>
      <c r="R7" s="770" t="s">
        <v>17</v>
      </c>
      <c r="S7" s="771">
        <f t="shared" ref="S7:S14" si="0">F7</f>
        <v>0</v>
      </c>
      <c r="T7" s="770" t="s">
        <v>17</v>
      </c>
      <c r="U7" s="771">
        <f t="shared" ref="U7:U14" si="1">H7</f>
        <v>0</v>
      </c>
      <c r="V7" s="770" t="s">
        <v>17</v>
      </c>
      <c r="W7" s="771">
        <f t="shared" ref="W7:W14" si="2">J7</f>
        <v>0</v>
      </c>
      <c r="X7" s="772"/>
      <c r="Y7" s="3218" t="s">
        <v>2555</v>
      </c>
      <c r="Z7" s="3219"/>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2561</v>
      </c>
      <c r="Q9" s="1798" t="str">
        <f t="shared" ref="Q9:Q14" si="6">B9</f>
        <v>用途</v>
      </c>
      <c r="R9" s="770" t="s">
        <v>17</v>
      </c>
      <c r="S9" s="771">
        <f t="shared" si="0"/>
        <v>100</v>
      </c>
      <c r="T9" s="770" t="s">
        <v>17</v>
      </c>
      <c r="U9" s="771">
        <f t="shared" si="1"/>
        <v>100</v>
      </c>
      <c r="V9" s="770" t="s">
        <v>17</v>
      </c>
      <c r="W9" s="771">
        <f t="shared" si="2"/>
        <v>100</v>
      </c>
      <c r="X9" s="772"/>
      <c r="Y9" s="300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4" t="s">
        <v>2566</v>
      </c>
      <c r="Q14" s="1813" t="str">
        <f t="shared" si="6"/>
        <v>交通便捷度</v>
      </c>
      <c r="R14" s="774" t="s">
        <v>17</v>
      </c>
      <c r="S14" s="775">
        <f t="shared" si="0"/>
        <v>100</v>
      </c>
      <c r="T14" s="774" t="s">
        <v>17</v>
      </c>
      <c r="U14" s="775">
        <f t="shared" si="1"/>
        <v>100</v>
      </c>
      <c r="V14" s="774" t="s">
        <v>17</v>
      </c>
      <c r="W14" s="775">
        <f t="shared" si="2"/>
        <v>100</v>
      </c>
      <c r="X14" s="1816"/>
      <c r="Y14" s="3184"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5"/>
      <c r="Q15" s="1813"/>
      <c r="R15" s="774"/>
      <c r="S15" s="775"/>
      <c r="T15" s="774"/>
      <c r="U15" s="775"/>
      <c r="V15" s="774"/>
      <c r="W15" s="775"/>
      <c r="X15" s="1816"/>
      <c r="Y15" s="3185"/>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5"/>
      <c r="Q16" s="1813" t="str">
        <f>B16</f>
        <v>公共配套设施</v>
      </c>
      <c r="R16" s="774" t="s">
        <v>17</v>
      </c>
      <c r="S16" s="775">
        <f>F16</f>
        <v>100</v>
      </c>
      <c r="T16" s="774" t="s">
        <v>17</v>
      </c>
      <c r="U16" s="775">
        <f>H16</f>
        <v>100</v>
      </c>
      <c r="V16" s="774" t="s">
        <v>17</v>
      </c>
      <c r="W16" s="775">
        <f>J16</f>
        <v>100</v>
      </c>
      <c r="X16" s="1816"/>
      <c r="Y16" s="3185"/>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85"/>
      <c r="Q17" s="1813"/>
      <c r="R17" s="774"/>
      <c r="S17" s="775"/>
      <c r="T17" s="774"/>
      <c r="U17" s="775"/>
      <c r="V17" s="774"/>
      <c r="W17" s="775"/>
      <c r="X17" s="1816"/>
      <c r="Y17" s="3185"/>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5"/>
      <c r="Q18" s="1813" t="str">
        <f>B18</f>
        <v>基础设施水平</v>
      </c>
      <c r="R18" s="774" t="s">
        <v>17</v>
      </c>
      <c r="S18" s="775">
        <f>F18</f>
        <v>100</v>
      </c>
      <c r="T18" s="774" t="s">
        <v>17</v>
      </c>
      <c r="U18" s="775">
        <f>H18</f>
        <v>100</v>
      </c>
      <c r="V18" s="774" t="s">
        <v>17</v>
      </c>
      <c r="W18" s="775">
        <f>J18</f>
        <v>100</v>
      </c>
      <c r="X18" s="1816"/>
      <c r="Y18" s="3185"/>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85"/>
      <c r="Q19" s="1813"/>
      <c r="R19" s="774"/>
      <c r="S19" s="775"/>
      <c r="T19" s="774"/>
      <c r="U19" s="775"/>
      <c r="V19" s="774"/>
      <c r="W19" s="775"/>
      <c r="X19" s="1816"/>
      <c r="Y19" s="3185"/>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5"/>
      <c r="Q20" s="1813" t="str">
        <f>B20</f>
        <v>自然及人文环境</v>
      </c>
      <c r="R20" s="774" t="s">
        <v>17</v>
      </c>
      <c r="S20" s="775">
        <f>F20</f>
        <v>100</v>
      </c>
      <c r="T20" s="774" t="s">
        <v>17</v>
      </c>
      <c r="U20" s="775">
        <f>H20</f>
        <v>100</v>
      </c>
      <c r="V20" s="774" t="s">
        <v>17</v>
      </c>
      <c r="W20" s="775">
        <f>J20</f>
        <v>100</v>
      </c>
      <c r="X20" s="1816"/>
      <c r="Y20" s="318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5"/>
      <c r="Q21" s="1813"/>
      <c r="R21" s="774"/>
      <c r="S21" s="775"/>
      <c r="T21" s="774"/>
      <c r="U21" s="775"/>
      <c r="V21" s="774"/>
      <c r="W21" s="775"/>
      <c r="X21" s="1816"/>
      <c r="Y21" s="3185"/>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5"/>
      <c r="Q22" s="1813" t="str">
        <f>B22</f>
        <v>楼层</v>
      </c>
      <c r="R22" s="774" t="s">
        <v>17</v>
      </c>
      <c r="S22" s="775">
        <f>F22</f>
        <v>100</v>
      </c>
      <c r="T22" s="774" t="s">
        <v>17</v>
      </c>
      <c r="U22" s="775">
        <f>H22</f>
        <v>100</v>
      </c>
      <c r="V22" s="774" t="s">
        <v>17</v>
      </c>
      <c r="W22" s="775">
        <f>J22</f>
        <v>100</v>
      </c>
      <c r="X22" s="1816"/>
      <c r="Y22" s="318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5"/>
      <c r="Q23" s="1813">
        <f>B23</f>
        <v>111</v>
      </c>
      <c r="R23" s="774" t="s">
        <v>17</v>
      </c>
      <c r="S23" s="775">
        <f>F23</f>
        <v>100</v>
      </c>
      <c r="T23" s="774" t="s">
        <v>17</v>
      </c>
      <c r="U23" s="775">
        <f>H23</f>
        <v>100</v>
      </c>
      <c r="V23" s="774" t="s">
        <v>17</v>
      </c>
      <c r="W23" s="775">
        <f>J23</f>
        <v>100</v>
      </c>
      <c r="X23" s="1816"/>
      <c r="Y23" s="318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5"/>
      <c r="Q24" s="1813">
        <f t="shared" ref="Q24:Q36" si="11">B24</f>
        <v>111</v>
      </c>
      <c r="R24" s="774" t="s">
        <v>17</v>
      </c>
      <c r="S24" s="775">
        <f>F24</f>
        <v>100</v>
      </c>
      <c r="T24" s="774" t="s">
        <v>17</v>
      </c>
      <c r="U24" s="775">
        <f>H24</f>
        <v>100</v>
      </c>
      <c r="V24" s="774" t="s">
        <v>17</v>
      </c>
      <c r="W24" s="775">
        <f>J24</f>
        <v>100</v>
      </c>
      <c r="X24" s="1816"/>
      <c r="Y24" s="318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5"/>
      <c r="Q25" s="1798">
        <f t="shared" si="11"/>
        <v>111</v>
      </c>
      <c r="R25" s="770" t="s">
        <v>17</v>
      </c>
      <c r="S25" s="771">
        <f>F25</f>
        <v>100</v>
      </c>
      <c r="T25" s="770" t="s">
        <v>17</v>
      </c>
      <c r="U25" s="771">
        <f>H25</f>
        <v>100</v>
      </c>
      <c r="V25" s="770" t="s">
        <v>17</v>
      </c>
      <c r="W25" s="771">
        <f>J25</f>
        <v>100</v>
      </c>
      <c r="X25" s="772"/>
      <c r="Y25" s="3185"/>
      <c r="Z25" s="55">
        <f>Q25</f>
        <v>111</v>
      </c>
      <c r="AA25" s="1814">
        <f>D25/F25</f>
        <v>1</v>
      </c>
      <c r="AB25" s="1814">
        <f>D25/H25</f>
        <v>1</v>
      </c>
      <c r="AC25" s="1814">
        <f>D25/J25</f>
        <v>1</v>
      </c>
    </row>
    <row r="26" spans="1:29" ht="15">
      <c r="A26" s="652" t="s">
        <v>2569</v>
      </c>
      <c r="B26" s="70" t="s">
        <v>2718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9"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9"/>
      <c r="Q28" s="1813" t="str">
        <f t="shared" si="11"/>
        <v>公共部分装修</v>
      </c>
      <c r="R28" s="774" t="s">
        <v>17</v>
      </c>
      <c r="S28" s="775">
        <f t="shared" si="12"/>
        <v>100</v>
      </c>
      <c r="T28" s="774" t="s">
        <v>17</v>
      </c>
      <c r="U28" s="775">
        <f t="shared" si="13"/>
        <v>100</v>
      </c>
      <c r="V28" s="774" t="s">
        <v>17</v>
      </c>
      <c r="W28" s="775">
        <f t="shared" si="14"/>
        <v>100</v>
      </c>
      <c r="X28" s="1816"/>
      <c r="Y28" s="3189"/>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9"/>
      <c r="Q29" s="1813" t="str">
        <f t="shared" si="11"/>
        <v>成新率</v>
      </c>
      <c r="R29" s="774" t="s">
        <v>17</v>
      </c>
      <c r="S29" s="775" t="e">
        <f t="shared" si="12"/>
        <v>#N/A</v>
      </c>
      <c r="T29" s="774" t="s">
        <v>17</v>
      </c>
      <c r="U29" s="775" t="e">
        <f t="shared" si="13"/>
        <v>#N/A</v>
      </c>
      <c r="V29" s="774" t="s">
        <v>17</v>
      </c>
      <c r="W29" s="775" t="e">
        <f t="shared" si="14"/>
        <v>#N/A</v>
      </c>
      <c r="X29" s="1816"/>
      <c r="Y29" s="3189"/>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9"/>
      <c r="Q30" s="1813" t="str">
        <f t="shared" si="11"/>
        <v>物业等级</v>
      </c>
      <c r="R30" s="774" t="s">
        <v>17</v>
      </c>
      <c r="S30" s="775">
        <f t="shared" si="12"/>
        <v>100</v>
      </c>
      <c r="T30" s="774" t="s">
        <v>17</v>
      </c>
      <c r="U30" s="775">
        <f t="shared" si="13"/>
        <v>100</v>
      </c>
      <c r="V30" s="774" t="s">
        <v>17</v>
      </c>
      <c r="W30" s="775">
        <f t="shared" si="14"/>
        <v>100</v>
      </c>
      <c r="X30" s="1816"/>
      <c r="Y30" s="3189"/>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9"/>
      <c r="Q31" s="1798"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9" t="s">
        <v>2571</v>
      </c>
      <c r="Q32" s="1813" t="str">
        <f t="shared" si="11"/>
        <v>车位类型</v>
      </c>
      <c r="R32" s="774" t="s">
        <v>17</v>
      </c>
      <c r="S32" s="775">
        <f t="shared" si="12"/>
        <v>100</v>
      </c>
      <c r="T32" s="774" t="s">
        <v>17</v>
      </c>
      <c r="U32" s="775">
        <f t="shared" si="13"/>
        <v>100</v>
      </c>
      <c r="V32" s="774" t="s">
        <v>17</v>
      </c>
      <c r="W32" s="775">
        <f t="shared" si="14"/>
        <v>100</v>
      </c>
      <c r="X32" s="1816"/>
      <c r="Y32" s="3189"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9"/>
      <c r="Q33" s="1813" t="str">
        <f t="shared" si="11"/>
        <v>是否直接入户</v>
      </c>
      <c r="R33" s="774" t="s">
        <v>17</v>
      </c>
      <c r="S33" s="775">
        <f t="shared" si="12"/>
        <v>100</v>
      </c>
      <c r="T33" s="774" t="s">
        <v>17</v>
      </c>
      <c r="U33" s="775">
        <f t="shared" si="13"/>
        <v>100</v>
      </c>
      <c r="V33" s="774" t="s">
        <v>17</v>
      </c>
      <c r="W33" s="775">
        <f t="shared" si="14"/>
        <v>100</v>
      </c>
      <c r="X33" s="1816"/>
      <c r="Y33" s="318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9"/>
      <c r="Q36" s="1813">
        <f t="shared" si="11"/>
        <v>111</v>
      </c>
      <c r="R36" s="774" t="s">
        <v>17</v>
      </c>
      <c r="S36" s="775">
        <f t="shared" si="12"/>
        <v>100</v>
      </c>
      <c r="T36" s="774" t="s">
        <v>17</v>
      </c>
      <c r="U36" s="775">
        <f t="shared" si="13"/>
        <v>100</v>
      </c>
      <c r="V36" s="774" t="s">
        <v>17</v>
      </c>
      <c r="W36" s="775">
        <f t="shared" si="14"/>
        <v>100</v>
      </c>
      <c r="X36" s="1816"/>
      <c r="Y36" s="3189"/>
      <c r="Z36" s="1817">
        <f t="shared" si="15"/>
        <v>111</v>
      </c>
      <c r="AA36" s="1814">
        <f t="shared" si="3"/>
        <v>1</v>
      </c>
      <c r="AB36" s="1814">
        <f t="shared" si="4"/>
        <v>1</v>
      </c>
      <c r="AC36" s="1814">
        <f t="shared" si="5"/>
        <v>1</v>
      </c>
    </row>
    <row r="37" spans="1:29" ht="15">
      <c r="A37" s="479" t="s">
        <v>2726</v>
      </c>
      <c r="B37" s="2701" t="s">
        <v>2727</v>
      </c>
      <c r="C37" s="1410" t="s">
        <v>1</v>
      </c>
      <c r="D37" s="1411"/>
      <c r="E37" s="1412"/>
      <c r="F37" s="1413"/>
      <c r="G37" s="1414"/>
      <c r="H37" s="1415"/>
      <c r="I37" s="1412"/>
      <c r="J37" s="1415"/>
      <c r="K37" s="619"/>
      <c r="L37" s="1146"/>
      <c r="M37" s="1147"/>
      <c r="N37" s="1134"/>
      <c r="O37" s="1147"/>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195" t="s">
        <v>2654</v>
      </c>
      <c r="AC4" s="3194" t="s">
        <v>2655</v>
      </c>
    </row>
    <row r="5" spans="1:29"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14" t="s">
        <v>2552</v>
      </c>
      <c r="D6" s="3215"/>
      <c r="E6" s="3221" t="s">
        <v>2552</v>
      </c>
      <c r="F6" s="3222"/>
      <c r="G6" s="3214" t="s">
        <v>2552</v>
      </c>
      <c r="H6" s="3215"/>
      <c r="I6" s="3214" t="s">
        <v>2552</v>
      </c>
      <c r="J6" s="3215"/>
      <c r="K6" s="610" t="s">
        <v>2553</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2554</v>
      </c>
      <c r="B7" s="409"/>
      <c r="C7" s="410">
        <f>'数据-取费表'!B2</f>
        <v>43334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18" t="s">
        <v>2555</v>
      </c>
      <c r="Q7" s="3220"/>
      <c r="R7" s="770" t="s">
        <v>17</v>
      </c>
      <c r="S7" s="771">
        <f t="shared" ref="S7:S14" si="0">F7</f>
        <v>0</v>
      </c>
      <c r="T7" s="770" t="s">
        <v>17</v>
      </c>
      <c r="U7" s="771">
        <f t="shared" ref="U7:U14" si="1">H7</f>
        <v>0</v>
      </c>
      <c r="V7" s="770" t="s">
        <v>17</v>
      </c>
      <c r="W7" s="771">
        <f t="shared" ref="W7:W14" si="2">J7</f>
        <v>0</v>
      </c>
      <c r="X7" s="772"/>
      <c r="Y7" s="3218" t="s">
        <v>2555</v>
      </c>
      <c r="Z7" s="3219"/>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2561</v>
      </c>
      <c r="Q9" s="1798" t="str">
        <f t="shared" ref="Q9:Q14" si="6">B9</f>
        <v>用途</v>
      </c>
      <c r="R9" s="770" t="s">
        <v>17</v>
      </c>
      <c r="S9" s="771">
        <f t="shared" si="0"/>
        <v>100</v>
      </c>
      <c r="T9" s="770" t="s">
        <v>17</v>
      </c>
      <c r="U9" s="771">
        <f t="shared" si="1"/>
        <v>100</v>
      </c>
      <c r="V9" s="770" t="s">
        <v>17</v>
      </c>
      <c r="W9" s="771">
        <f t="shared" si="2"/>
        <v>100</v>
      </c>
      <c r="X9" s="772"/>
      <c r="Y9" s="300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4" t="s">
        <v>2566</v>
      </c>
      <c r="Q14" s="1813" t="str">
        <f t="shared" si="6"/>
        <v>交通便捷度</v>
      </c>
      <c r="R14" s="774" t="s">
        <v>17</v>
      </c>
      <c r="S14" s="775">
        <f t="shared" si="0"/>
        <v>100</v>
      </c>
      <c r="T14" s="774" t="s">
        <v>17</v>
      </c>
      <c r="U14" s="775">
        <f t="shared" si="1"/>
        <v>100</v>
      </c>
      <c r="V14" s="774" t="s">
        <v>17</v>
      </c>
      <c r="W14" s="775">
        <f t="shared" si="2"/>
        <v>100</v>
      </c>
      <c r="X14" s="1816"/>
      <c r="Y14" s="3184"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5"/>
      <c r="Q15" s="1813"/>
      <c r="R15" s="774"/>
      <c r="S15" s="775"/>
      <c r="T15" s="774"/>
      <c r="U15" s="775"/>
      <c r="V15" s="774"/>
      <c r="W15" s="775"/>
      <c r="X15" s="1816"/>
      <c r="Y15" s="3185"/>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5"/>
      <c r="Q16" s="1813" t="str">
        <f>B16</f>
        <v>公共配套设施</v>
      </c>
      <c r="R16" s="774" t="s">
        <v>17</v>
      </c>
      <c r="S16" s="775">
        <f>F16</f>
        <v>100</v>
      </c>
      <c r="T16" s="774" t="s">
        <v>17</v>
      </c>
      <c r="U16" s="775">
        <f>H16</f>
        <v>100</v>
      </c>
      <c r="V16" s="774" t="s">
        <v>17</v>
      </c>
      <c r="W16" s="775">
        <f>J16</f>
        <v>100</v>
      </c>
      <c r="X16" s="1816"/>
      <c r="Y16" s="318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85"/>
      <c r="Q17" s="1813"/>
      <c r="R17" s="774"/>
      <c r="S17" s="775"/>
      <c r="T17" s="774"/>
      <c r="U17" s="775"/>
      <c r="V17" s="774"/>
      <c r="W17" s="775"/>
      <c r="X17" s="1816"/>
      <c r="Y17" s="3185"/>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5"/>
      <c r="Q18" s="1813" t="str">
        <f>B18</f>
        <v>基础设施水平</v>
      </c>
      <c r="R18" s="774" t="s">
        <v>17</v>
      </c>
      <c r="S18" s="775">
        <f>F18</f>
        <v>100</v>
      </c>
      <c r="T18" s="774" t="s">
        <v>17</v>
      </c>
      <c r="U18" s="775">
        <f>H18</f>
        <v>100</v>
      </c>
      <c r="V18" s="774" t="s">
        <v>17</v>
      </c>
      <c r="W18" s="775">
        <f>J18</f>
        <v>100</v>
      </c>
      <c r="X18" s="1816"/>
      <c r="Y18" s="318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85"/>
      <c r="Q19" s="1813"/>
      <c r="R19" s="774"/>
      <c r="S19" s="775"/>
      <c r="T19" s="774"/>
      <c r="U19" s="775"/>
      <c r="V19" s="774"/>
      <c r="W19" s="775"/>
      <c r="X19" s="1816"/>
      <c r="Y19" s="3185"/>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5"/>
      <c r="Q20" s="1813" t="str">
        <f>B20</f>
        <v>自然及人文环境</v>
      </c>
      <c r="R20" s="774" t="s">
        <v>17</v>
      </c>
      <c r="S20" s="775">
        <f>F20</f>
        <v>100</v>
      </c>
      <c r="T20" s="774" t="s">
        <v>17</v>
      </c>
      <c r="U20" s="775">
        <f>H20</f>
        <v>100</v>
      </c>
      <c r="V20" s="774" t="s">
        <v>17</v>
      </c>
      <c r="W20" s="775">
        <f>J20</f>
        <v>100</v>
      </c>
      <c r="X20" s="1816"/>
      <c r="Y20" s="318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5"/>
      <c r="Q21" s="1813"/>
      <c r="R21" s="774"/>
      <c r="S21" s="775"/>
      <c r="T21" s="774"/>
      <c r="U21" s="775"/>
      <c r="V21" s="774"/>
      <c r="W21" s="775"/>
      <c r="X21" s="1816"/>
      <c r="Y21" s="3185"/>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5"/>
      <c r="Q22" s="1813" t="str">
        <f>B22</f>
        <v>楼层</v>
      </c>
      <c r="R22" s="774" t="s">
        <v>17</v>
      </c>
      <c r="S22" s="775">
        <f>F22</f>
        <v>100</v>
      </c>
      <c r="T22" s="774" t="s">
        <v>17</v>
      </c>
      <c r="U22" s="775">
        <f>H22</f>
        <v>100</v>
      </c>
      <c r="V22" s="774" t="s">
        <v>17</v>
      </c>
      <c r="W22" s="775">
        <f>J22</f>
        <v>100</v>
      </c>
      <c r="X22" s="1816"/>
      <c r="Y22" s="318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5"/>
      <c r="Q23" s="1813">
        <f>B23</f>
        <v>111</v>
      </c>
      <c r="R23" s="774" t="s">
        <v>17</v>
      </c>
      <c r="S23" s="775">
        <f>F23</f>
        <v>100</v>
      </c>
      <c r="T23" s="774" t="s">
        <v>17</v>
      </c>
      <c r="U23" s="775">
        <f>H23</f>
        <v>100</v>
      </c>
      <c r="V23" s="774" t="s">
        <v>17</v>
      </c>
      <c r="W23" s="775">
        <f>J23</f>
        <v>100</v>
      </c>
      <c r="X23" s="1816"/>
      <c r="Y23" s="318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5"/>
      <c r="Q24" s="1813">
        <f t="shared" ref="Q24:Q34" si="11">B24</f>
        <v>111</v>
      </c>
      <c r="R24" s="774" t="s">
        <v>17</v>
      </c>
      <c r="S24" s="775">
        <f>F24</f>
        <v>100</v>
      </c>
      <c r="T24" s="774" t="s">
        <v>17</v>
      </c>
      <c r="U24" s="775">
        <f>H24</f>
        <v>100</v>
      </c>
      <c r="V24" s="774" t="s">
        <v>17</v>
      </c>
      <c r="W24" s="775">
        <f>J24</f>
        <v>100</v>
      </c>
      <c r="X24" s="1816"/>
      <c r="Y24" s="3185"/>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5"/>
      <c r="Q25" s="1798">
        <f t="shared" si="11"/>
        <v>111</v>
      </c>
      <c r="R25" s="770" t="s">
        <v>17</v>
      </c>
      <c r="S25" s="771">
        <f>F25</f>
        <v>100</v>
      </c>
      <c r="T25" s="770" t="s">
        <v>17</v>
      </c>
      <c r="U25" s="771">
        <f>H25</f>
        <v>100</v>
      </c>
      <c r="V25" s="770" t="s">
        <v>17</v>
      </c>
      <c r="W25" s="771">
        <f>J25</f>
        <v>100</v>
      </c>
      <c r="X25" s="772"/>
      <c r="Y25" s="3185"/>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9"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9"/>
      <c r="Q28" s="1813" t="str">
        <f t="shared" si="11"/>
        <v>物业等级</v>
      </c>
      <c r="R28" s="774" t="s">
        <v>17</v>
      </c>
      <c r="S28" s="775">
        <f t="shared" si="12"/>
        <v>100</v>
      </c>
      <c r="T28" s="774" t="s">
        <v>17</v>
      </c>
      <c r="U28" s="775">
        <f t="shared" si="13"/>
        <v>100</v>
      </c>
      <c r="V28" s="774" t="s">
        <v>17</v>
      </c>
      <c r="W28" s="775">
        <f t="shared" si="14"/>
        <v>100</v>
      </c>
      <c r="X28" s="1816"/>
      <c r="Y28" s="3189"/>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9"/>
      <c r="Q29" s="1813" t="str">
        <f t="shared" si="11"/>
        <v>有无电梯</v>
      </c>
      <c r="R29" s="774" t="s">
        <v>17</v>
      </c>
      <c r="S29" s="775">
        <f t="shared" si="12"/>
        <v>100</v>
      </c>
      <c r="T29" s="774" t="s">
        <v>17</v>
      </c>
      <c r="U29" s="775">
        <f t="shared" si="13"/>
        <v>100</v>
      </c>
      <c r="V29" s="774" t="s">
        <v>17</v>
      </c>
      <c r="W29" s="775">
        <f t="shared" si="14"/>
        <v>100</v>
      </c>
      <c r="X29" s="1816"/>
      <c r="Y29" s="3189"/>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9"/>
      <c r="Q30" s="1813" t="str">
        <f t="shared" si="11"/>
        <v>建筑面积</v>
      </c>
      <c r="R30" s="774" t="s">
        <v>17</v>
      </c>
      <c r="S30" s="775" t="e">
        <f t="shared" si="12"/>
        <v>#N/A</v>
      </c>
      <c r="T30" s="774" t="s">
        <v>17</v>
      </c>
      <c r="U30" s="775" t="e">
        <f t="shared" si="13"/>
        <v>#N/A</v>
      </c>
      <c r="V30" s="774" t="s">
        <v>17</v>
      </c>
      <c r="W30" s="775" t="e">
        <f t="shared" si="14"/>
        <v>#N/A</v>
      </c>
      <c r="X30" s="1816"/>
      <c r="Y30" s="3189"/>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9"/>
      <c r="Q31" s="1798"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9" t="s">
        <v>2571</v>
      </c>
      <c r="Q32" s="1813">
        <f t="shared" si="11"/>
        <v>111</v>
      </c>
      <c r="R32" s="774" t="s">
        <v>17</v>
      </c>
      <c r="S32" s="775">
        <f t="shared" si="12"/>
        <v>100</v>
      </c>
      <c r="T32" s="774" t="s">
        <v>17</v>
      </c>
      <c r="U32" s="775">
        <f t="shared" si="13"/>
        <v>100</v>
      </c>
      <c r="V32" s="774" t="s">
        <v>17</v>
      </c>
      <c r="W32" s="775">
        <f t="shared" si="14"/>
        <v>100</v>
      </c>
      <c r="X32" s="1816"/>
      <c r="Y32" s="3189"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9"/>
      <c r="Q33" s="1813">
        <f t="shared" si="11"/>
        <v>111</v>
      </c>
      <c r="R33" s="774" t="s">
        <v>17</v>
      </c>
      <c r="S33" s="775">
        <f t="shared" si="12"/>
        <v>100</v>
      </c>
      <c r="T33" s="774" t="s">
        <v>17</v>
      </c>
      <c r="U33" s="775">
        <f t="shared" si="13"/>
        <v>100</v>
      </c>
      <c r="V33" s="774" t="s">
        <v>17</v>
      </c>
      <c r="W33" s="775">
        <f t="shared" si="14"/>
        <v>100</v>
      </c>
      <c r="X33" s="1816"/>
      <c r="Y33" s="3189"/>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9"/>
      <c r="Q34" s="1813">
        <f t="shared" si="11"/>
        <v>111</v>
      </c>
      <c r="R34" s="774" t="s">
        <v>17</v>
      </c>
      <c r="S34" s="775">
        <f t="shared" si="12"/>
        <v>100</v>
      </c>
      <c r="T34" s="774" t="s">
        <v>17</v>
      </c>
      <c r="U34" s="775">
        <f t="shared" si="13"/>
        <v>100</v>
      </c>
      <c r="V34" s="774" t="s">
        <v>17</v>
      </c>
      <c r="W34" s="775">
        <f t="shared" si="14"/>
        <v>100</v>
      </c>
      <c r="X34" s="1816"/>
      <c r="Y34" s="3189"/>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195" t="s">
        <v>2654</v>
      </c>
      <c r="AC4" s="3194" t="s">
        <v>2655</v>
      </c>
    </row>
    <row r="5" spans="1:30"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195"/>
      <c r="AC5" s="3195"/>
    </row>
    <row r="6" spans="1:30" ht="15.75" thickBot="1">
      <c r="A6" s="406"/>
      <c r="B6" s="407"/>
      <c r="C6" s="3214" t="s">
        <v>2552</v>
      </c>
      <c r="D6" s="3215"/>
      <c r="E6" s="3221" t="s">
        <v>2552</v>
      </c>
      <c r="F6" s="3222"/>
      <c r="G6" s="3214" t="s">
        <v>2552</v>
      </c>
      <c r="H6" s="3215"/>
      <c r="I6" s="3214" t="s">
        <v>2552</v>
      </c>
      <c r="J6" s="3215"/>
      <c r="K6" s="610" t="s">
        <v>2553</v>
      </c>
      <c r="L6" s="1133"/>
      <c r="M6" s="1134"/>
      <c r="N6" s="1134"/>
      <c r="O6" s="1134"/>
      <c r="P6" s="3205"/>
      <c r="Q6" s="3206"/>
      <c r="R6" s="3209"/>
      <c r="S6" s="3210"/>
      <c r="T6" s="3211"/>
      <c r="U6" s="3212"/>
      <c r="V6" s="3213"/>
      <c r="W6" s="3213"/>
      <c r="X6" s="1816"/>
      <c r="Y6" s="3211"/>
      <c r="Z6" s="3212"/>
      <c r="AA6" s="3196"/>
      <c r="AB6" s="3196"/>
      <c r="AC6" s="3196"/>
    </row>
    <row r="7" spans="1:30" s="117" customFormat="1" ht="15.75" thickBot="1">
      <c r="A7" s="408" t="s">
        <v>2554</v>
      </c>
      <c r="B7" s="409"/>
      <c r="C7" s="410">
        <f>'数据-取费表'!B2</f>
        <v>43334</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18" t="s">
        <v>2555</v>
      </c>
      <c r="Q7" s="3220"/>
      <c r="R7" s="770" t="s">
        <v>17</v>
      </c>
      <c r="S7" s="771">
        <f t="shared" ref="S7:S15" si="0">F7</f>
        <v>0</v>
      </c>
      <c r="T7" s="770" t="s">
        <v>17</v>
      </c>
      <c r="U7" s="771">
        <f t="shared" ref="U7:U15" si="1">H7</f>
        <v>0</v>
      </c>
      <c r="V7" s="770" t="s">
        <v>17</v>
      </c>
      <c r="W7" s="771">
        <f t="shared" ref="W7:W15" si="2">J7</f>
        <v>0</v>
      </c>
      <c r="X7" s="772"/>
      <c r="Y7" s="3218" t="s">
        <v>2555</v>
      </c>
      <c r="Z7" s="3219"/>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2"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82"/>
      <c r="Q10" s="1798" t="str">
        <f t="shared" si="6"/>
        <v>土地使用年限（年）</v>
      </c>
      <c r="R10" s="770" t="s">
        <v>17</v>
      </c>
      <c r="S10" s="771">
        <f t="shared" si="0"/>
        <v>109</v>
      </c>
      <c r="T10" s="770" t="s">
        <v>17</v>
      </c>
      <c r="U10" s="771">
        <f t="shared" si="1"/>
        <v>109</v>
      </c>
      <c r="V10" s="770" t="s">
        <v>17</v>
      </c>
      <c r="W10" s="771">
        <f t="shared" si="2"/>
        <v>109</v>
      </c>
      <c r="X10" s="772"/>
      <c r="Y10" s="3007"/>
      <c r="Z10" s="55" t="str">
        <f t="shared" si="7"/>
        <v>土地使用年限（年）</v>
      </c>
      <c r="AA10" s="773">
        <f t="shared" si="3"/>
        <v>0.91743119266055051</v>
      </c>
      <c r="AB10" s="773">
        <f t="shared" si="4"/>
        <v>0.91743119266055051</v>
      </c>
      <c r="AC10" s="773">
        <f t="shared" si="5"/>
        <v>0.91743119266055051</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2565</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4" t="s">
        <v>2566</v>
      </c>
      <c r="Q15" s="1813" t="str">
        <f t="shared" si="6"/>
        <v>居住社区成熟度</v>
      </c>
      <c r="R15" s="774" t="s">
        <v>17</v>
      </c>
      <c r="S15" s="775">
        <f t="shared" si="0"/>
        <v>100</v>
      </c>
      <c r="T15" s="774" t="s">
        <v>17</v>
      </c>
      <c r="U15" s="775">
        <f t="shared" si="1"/>
        <v>100</v>
      </c>
      <c r="V15" s="774" t="s">
        <v>17</v>
      </c>
      <c r="W15" s="775">
        <f t="shared" si="2"/>
        <v>100</v>
      </c>
      <c r="X15" s="1816"/>
      <c r="Y15" s="3184"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85"/>
      <c r="Q16" s="1813"/>
      <c r="R16" s="774"/>
      <c r="S16" s="775"/>
      <c r="T16" s="774"/>
      <c r="U16" s="775"/>
      <c r="V16" s="774"/>
      <c r="W16" s="775"/>
      <c r="X16" s="1816"/>
      <c r="Y16" s="3185"/>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5"/>
      <c r="Q17" s="1813" t="str">
        <f>B17</f>
        <v>商业繁华度</v>
      </c>
      <c r="R17" s="774" t="s">
        <v>17</v>
      </c>
      <c r="S17" s="775">
        <f>F17</f>
        <v>100</v>
      </c>
      <c r="T17" s="774" t="s">
        <v>17</v>
      </c>
      <c r="U17" s="775">
        <f>H17</f>
        <v>100</v>
      </c>
      <c r="V17" s="774" t="s">
        <v>17</v>
      </c>
      <c r="W17" s="775">
        <f>J17</f>
        <v>100</v>
      </c>
      <c r="X17" s="1816"/>
      <c r="Y17" s="3185"/>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85"/>
      <c r="Q18" s="1813"/>
      <c r="R18" s="774"/>
      <c r="S18" s="775"/>
      <c r="T18" s="774"/>
      <c r="U18" s="775"/>
      <c r="V18" s="774"/>
      <c r="W18" s="775"/>
      <c r="X18" s="1816"/>
      <c r="Y18" s="3185"/>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5"/>
      <c r="Q19" s="1813" t="str">
        <f>B19</f>
        <v>办公集聚程度</v>
      </c>
      <c r="R19" s="774" t="s">
        <v>17</v>
      </c>
      <c r="S19" s="775">
        <f>F19</f>
        <v>100</v>
      </c>
      <c r="T19" s="774" t="s">
        <v>17</v>
      </c>
      <c r="U19" s="775">
        <f>H19</f>
        <v>100</v>
      </c>
      <c r="V19" s="774" t="s">
        <v>17</v>
      </c>
      <c r="W19" s="775">
        <f>J19</f>
        <v>100</v>
      </c>
      <c r="X19" s="1816"/>
      <c r="Y19" s="3185"/>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85"/>
      <c r="Q20" s="1813"/>
      <c r="R20" s="774"/>
      <c r="S20" s="775"/>
      <c r="T20" s="774"/>
      <c r="U20" s="775"/>
      <c r="V20" s="774"/>
      <c r="W20" s="775"/>
      <c r="X20" s="1816"/>
      <c r="Y20" s="3185"/>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5"/>
      <c r="Q21" s="1813" t="str">
        <f>B21</f>
        <v>交通便捷度</v>
      </c>
      <c r="R21" s="774" t="s">
        <v>17</v>
      </c>
      <c r="S21" s="775">
        <f>F21</f>
        <v>100</v>
      </c>
      <c r="T21" s="774" t="s">
        <v>17</v>
      </c>
      <c r="U21" s="775">
        <f>H21</f>
        <v>100</v>
      </c>
      <c r="V21" s="774" t="s">
        <v>17</v>
      </c>
      <c r="W21" s="775">
        <f>J21</f>
        <v>100</v>
      </c>
      <c r="X21" s="1816"/>
      <c r="Y21" s="3185"/>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85"/>
      <c r="Q22" s="1813"/>
      <c r="R22" s="774"/>
      <c r="S22" s="775"/>
      <c r="T22" s="774"/>
      <c r="U22" s="775"/>
      <c r="V22" s="774"/>
      <c r="W22" s="775"/>
      <c r="X22" s="1816"/>
      <c r="Y22" s="3185"/>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5"/>
      <c r="Q23" s="1813" t="str">
        <f t="shared" ref="Q23:Q37" si="8">B23</f>
        <v>区域土地利用方向</v>
      </c>
      <c r="R23" s="774" t="s">
        <v>17</v>
      </c>
      <c r="S23" s="775">
        <f>F23</f>
        <v>100</v>
      </c>
      <c r="T23" s="774" t="s">
        <v>17</v>
      </c>
      <c r="U23" s="775">
        <f>H23</f>
        <v>100</v>
      </c>
      <c r="V23" s="774" t="s">
        <v>17</v>
      </c>
      <c r="W23" s="775">
        <f>J23</f>
        <v>100</v>
      </c>
      <c r="X23" s="1816"/>
      <c r="Y23" s="3185"/>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85"/>
      <c r="Q24" s="1813"/>
      <c r="R24" s="774"/>
      <c r="S24" s="775"/>
      <c r="T24" s="774"/>
      <c r="U24" s="775"/>
      <c r="V24" s="774"/>
      <c r="W24" s="775"/>
      <c r="X24" s="1816"/>
      <c r="Y24" s="3185"/>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5"/>
      <c r="Q25" s="1813" t="str">
        <f t="shared" si="8"/>
        <v>自然及人文环境状况</v>
      </c>
      <c r="R25" s="774" t="s">
        <v>17</v>
      </c>
      <c r="S25" s="775">
        <f>F25</f>
        <v>100</v>
      </c>
      <c r="T25" s="774" t="s">
        <v>17</v>
      </c>
      <c r="U25" s="775">
        <f>H25</f>
        <v>100</v>
      </c>
      <c r="V25" s="774" t="s">
        <v>17</v>
      </c>
      <c r="W25" s="775">
        <f>J25</f>
        <v>100</v>
      </c>
      <c r="X25" s="1816"/>
      <c r="Y25" s="3185"/>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85"/>
      <c r="Q26" s="1813"/>
      <c r="R26" s="774"/>
      <c r="S26" s="775"/>
      <c r="T26" s="774"/>
      <c r="U26" s="775"/>
      <c r="V26" s="774"/>
      <c r="W26" s="775"/>
      <c r="X26" s="1816"/>
      <c r="Y26" s="3185"/>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5"/>
      <c r="Q27" s="1798" t="str">
        <f t="shared" si="8"/>
        <v>公共配套设施</v>
      </c>
      <c r="R27" s="770" t="s">
        <v>17</v>
      </c>
      <c r="S27" s="771">
        <f>F27</f>
        <v>100</v>
      </c>
      <c r="T27" s="770" t="s">
        <v>17</v>
      </c>
      <c r="U27" s="771">
        <f>H27</f>
        <v>100</v>
      </c>
      <c r="V27" s="770" t="s">
        <v>17</v>
      </c>
      <c r="W27" s="771">
        <f>J27</f>
        <v>100</v>
      </c>
      <c r="X27" s="772"/>
      <c r="Y27" s="3185"/>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85"/>
      <c r="Q28" s="1798"/>
      <c r="R28" s="770"/>
      <c r="S28" s="771"/>
      <c r="T28" s="770"/>
      <c r="U28" s="771"/>
      <c r="V28" s="770"/>
      <c r="W28" s="771"/>
      <c r="X28" s="772"/>
      <c r="Y28" s="3185"/>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5"/>
      <c r="Q29" s="1798"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85"/>
      <c r="Q30" s="1798"/>
      <c r="R30" s="770"/>
      <c r="S30" s="771"/>
      <c r="T30" s="770"/>
      <c r="U30" s="771"/>
      <c r="V30" s="770"/>
      <c r="W30" s="771"/>
      <c r="X30" s="772"/>
      <c r="Y30" s="3185"/>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5"/>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5"/>
      <c r="Q32" s="1813" t="str">
        <f t="shared" si="8"/>
        <v>毗邻道路的类型与等级</v>
      </c>
      <c r="R32" s="774" t="s">
        <v>17</v>
      </c>
      <c r="S32" s="775">
        <f t="shared" si="10"/>
        <v>100</v>
      </c>
      <c r="T32" s="774" t="s">
        <v>17</v>
      </c>
      <c r="U32" s="775">
        <f t="shared" si="11"/>
        <v>100</v>
      </c>
      <c r="V32" s="774" t="s">
        <v>17</v>
      </c>
      <c r="W32" s="775">
        <f t="shared" si="12"/>
        <v>100</v>
      </c>
      <c r="X32" s="1816"/>
      <c r="Y32" s="318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85"/>
      <c r="Q33" s="1813"/>
      <c r="R33" s="774"/>
      <c r="S33" s="775"/>
      <c r="T33" s="774"/>
      <c r="U33" s="775"/>
      <c r="V33" s="774"/>
      <c r="W33" s="775"/>
      <c r="X33" s="1816"/>
      <c r="Y33" s="3185"/>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5"/>
      <c r="Q34" s="1813" t="str">
        <f t="shared" si="8"/>
        <v>土地级别</v>
      </c>
      <c r="R34" s="774" t="s">
        <v>17</v>
      </c>
      <c r="S34" s="775">
        <f t="shared" si="10"/>
        <v>100</v>
      </c>
      <c r="T34" s="774" t="s">
        <v>17</v>
      </c>
      <c r="U34" s="775">
        <f t="shared" si="11"/>
        <v>100</v>
      </c>
      <c r="V34" s="774" t="s">
        <v>17</v>
      </c>
      <c r="W34" s="775">
        <f t="shared" si="12"/>
        <v>100</v>
      </c>
      <c r="X34" s="1816"/>
      <c r="Y34" s="318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5"/>
      <c r="Q35" s="1813">
        <f t="shared" si="8"/>
        <v>111</v>
      </c>
      <c r="R35" s="774" t="s">
        <v>17</v>
      </c>
      <c r="S35" s="775">
        <f t="shared" si="10"/>
        <v>100</v>
      </c>
      <c r="T35" s="774" t="s">
        <v>17</v>
      </c>
      <c r="U35" s="775">
        <f t="shared" si="11"/>
        <v>100</v>
      </c>
      <c r="V35" s="774" t="s">
        <v>17</v>
      </c>
      <c r="W35" s="775">
        <f t="shared" si="12"/>
        <v>100</v>
      </c>
      <c r="X35" s="1816"/>
      <c r="Y35" s="318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2571</v>
      </c>
      <c r="Q36" s="1813">
        <f t="shared" si="8"/>
        <v>111</v>
      </c>
      <c r="R36" s="774" t="s">
        <v>17</v>
      </c>
      <c r="S36" s="775">
        <f t="shared" si="10"/>
        <v>100</v>
      </c>
      <c r="T36" s="774" t="s">
        <v>17</v>
      </c>
      <c r="U36" s="775">
        <f t="shared" si="11"/>
        <v>100</v>
      </c>
      <c r="V36" s="774" t="s">
        <v>17</v>
      </c>
      <c r="W36" s="775">
        <f t="shared" si="12"/>
        <v>100</v>
      </c>
      <c r="X36" s="1816"/>
      <c r="Y36" s="3189"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9"/>
      <c r="Q37" s="1813">
        <f t="shared" si="8"/>
        <v>111</v>
      </c>
      <c r="R37" s="777" t="s">
        <v>17</v>
      </c>
      <c r="S37" s="778">
        <f t="shared" si="10"/>
        <v>100</v>
      </c>
      <c r="T37" s="777" t="s">
        <v>17</v>
      </c>
      <c r="U37" s="778">
        <f t="shared" si="11"/>
        <v>100</v>
      </c>
      <c r="V37" s="777" t="s">
        <v>17</v>
      </c>
      <c r="W37" s="778">
        <f t="shared" si="12"/>
        <v>100</v>
      </c>
      <c r="X37" s="779"/>
      <c r="Y37" s="3189"/>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9"/>
      <c r="Q38" s="1813" t="str">
        <f>B38</f>
        <v>宗地面积</v>
      </c>
      <c r="R38" s="774" t="s">
        <v>17</v>
      </c>
      <c r="S38" s="775" t="e">
        <f t="shared" si="10"/>
        <v>#N/A</v>
      </c>
      <c r="T38" s="774" t="s">
        <v>17</v>
      </c>
      <c r="U38" s="775" t="e">
        <f t="shared" si="11"/>
        <v>#N/A</v>
      </c>
      <c r="V38" s="774" t="s">
        <v>17</v>
      </c>
      <c r="W38" s="775" t="e">
        <f t="shared" si="12"/>
        <v>#N/A</v>
      </c>
      <c r="X38" s="1816"/>
      <c r="Y38" s="3189"/>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89"/>
      <c r="Q39" s="1813" t="str">
        <f t="shared" ref="Q39:Q45" si="14">B39</f>
        <v>宗地形状</v>
      </c>
      <c r="R39" s="774" t="s">
        <v>17</v>
      </c>
      <c r="S39" s="775">
        <f t="shared" si="10"/>
        <v>100</v>
      </c>
      <c r="T39" s="774" t="s">
        <v>17</v>
      </c>
      <c r="U39" s="775">
        <f t="shared" si="11"/>
        <v>100</v>
      </c>
      <c r="V39" s="774" t="s">
        <v>17</v>
      </c>
      <c r="W39" s="775">
        <f t="shared" si="12"/>
        <v>100</v>
      </c>
      <c r="X39" s="1816"/>
      <c r="Y39" s="3189"/>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89"/>
      <c r="Q40" s="1813" t="str">
        <f t="shared" si="14"/>
        <v>临街宽度及深度</v>
      </c>
      <c r="R40" s="774" t="s">
        <v>17</v>
      </c>
      <c r="S40" s="775">
        <f t="shared" si="10"/>
        <v>100</v>
      </c>
      <c r="T40" s="774" t="s">
        <v>17</v>
      </c>
      <c r="U40" s="775">
        <f t="shared" si="11"/>
        <v>100</v>
      </c>
      <c r="V40" s="774" t="s">
        <v>17</v>
      </c>
      <c r="W40" s="775">
        <f t="shared" si="12"/>
        <v>100</v>
      </c>
      <c r="X40" s="1816"/>
      <c r="Y40" s="3189"/>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89"/>
      <c r="Q41" s="1813"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89" t="s">
        <v>2571</v>
      </c>
      <c r="Q42" s="1813" t="str">
        <f t="shared" si="14"/>
        <v>工程地质条件</v>
      </c>
      <c r="R42" s="774" t="s">
        <v>17</v>
      </c>
      <c r="S42" s="775">
        <f t="shared" si="10"/>
        <v>100</v>
      </c>
      <c r="T42" s="774" t="s">
        <v>17</v>
      </c>
      <c r="U42" s="775">
        <f t="shared" si="11"/>
        <v>100</v>
      </c>
      <c r="V42" s="774" t="s">
        <v>17</v>
      </c>
      <c r="W42" s="775">
        <f t="shared" si="12"/>
        <v>100</v>
      </c>
      <c r="X42" s="1816"/>
      <c r="Y42" s="3189"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9"/>
      <c r="Q43" s="1813">
        <f t="shared" si="14"/>
        <v>111</v>
      </c>
      <c r="R43" s="774" t="s">
        <v>17</v>
      </c>
      <c r="S43" s="775">
        <f t="shared" si="10"/>
        <v>100</v>
      </c>
      <c r="T43" s="774" t="s">
        <v>17</v>
      </c>
      <c r="U43" s="775">
        <f t="shared" si="11"/>
        <v>100</v>
      </c>
      <c r="V43" s="774" t="s">
        <v>17</v>
      </c>
      <c r="W43" s="775">
        <f t="shared" si="12"/>
        <v>100</v>
      </c>
      <c r="X43" s="1816"/>
      <c r="Y43" s="318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9"/>
      <c r="Q44" s="1813">
        <f t="shared" si="14"/>
        <v>111</v>
      </c>
      <c r="R44" s="774" t="s">
        <v>17</v>
      </c>
      <c r="S44" s="775">
        <f t="shared" si="10"/>
        <v>100</v>
      </c>
      <c r="T44" s="774" t="s">
        <v>17</v>
      </c>
      <c r="U44" s="775">
        <f t="shared" si="11"/>
        <v>100</v>
      </c>
      <c r="V44" s="774" t="s">
        <v>17</v>
      </c>
      <c r="W44" s="775">
        <f t="shared" si="12"/>
        <v>100</v>
      </c>
      <c r="X44" s="1816"/>
      <c r="Y44" s="3189"/>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9"/>
      <c r="Q45" s="1813">
        <f t="shared" si="14"/>
        <v>111</v>
      </c>
      <c r="R45" s="777" t="s">
        <v>17</v>
      </c>
      <c r="S45" s="778">
        <f t="shared" si="10"/>
        <v>100</v>
      </c>
      <c r="T45" s="777" t="s">
        <v>17</v>
      </c>
      <c r="U45" s="778">
        <f t="shared" si="11"/>
        <v>100</v>
      </c>
      <c r="V45" s="777" t="s">
        <v>17</v>
      </c>
      <c r="W45" s="778">
        <f t="shared" si="12"/>
        <v>100</v>
      </c>
      <c r="X45" s="779"/>
      <c r="Y45" s="3189"/>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82" t="str">
        <f>A47</f>
        <v>比较价值（元/平方米）</v>
      </c>
      <c r="Q47" s="3182"/>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79" t="str">
        <f>A48</f>
        <v>估价对象XX用房的比较价值（楼面单价，元/平方米）</v>
      </c>
      <c r="Q48" s="3180"/>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197" t="s">
        <v>2770</v>
      </c>
      <c r="H55" s="3245"/>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55436.959999999999</v>
      </c>
      <c r="F56" s="1106" t="e">
        <f t="shared" ref="F56:F65" si="15">ROUND(B56*E56/10000,0)</f>
        <v>#DIV/0!</v>
      </c>
      <c r="G56" s="3193"/>
      <c r="H56" s="3182"/>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4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0.25</v>
      </c>
      <c r="D61" s="1167">
        <v>0.25</v>
      </c>
      <c r="E61" s="261">
        <f>'数据-汇总表'!E11</f>
        <v>2996.9</v>
      </c>
      <c r="F61" s="1106" t="e">
        <f t="shared" si="15"/>
        <v>#DIV/0!</v>
      </c>
      <c r="G61" s="2715" t="s">
        <v>2780</v>
      </c>
      <c r="H61" s="1107" t="str">
        <f>项目基本情况!C37</f>
        <v>六级</v>
      </c>
      <c r="I61" s="1111">
        <f>SUMIF(修正!A45:A56,H61,修正!F45:F56)</f>
        <v>0.25</v>
      </c>
      <c r="J61" s="1115"/>
      <c r="K61" s="1147"/>
      <c r="L61" s="944"/>
      <c r="M61" s="944"/>
      <c r="N61" s="944"/>
      <c r="O61" s="944"/>
    </row>
    <row r="62" spans="1:15" s="692" customFormat="1">
      <c r="A62" s="693" t="s">
        <v>2781</v>
      </c>
      <c r="B62" s="262" t="e">
        <f t="shared" si="17"/>
        <v>#DIV/0!</v>
      </c>
      <c r="C62" s="200">
        <f t="shared" si="16"/>
        <v>0.25</v>
      </c>
      <c r="D62" s="1167">
        <v>0.25</v>
      </c>
      <c r="E62" s="261">
        <f>'数据-汇总表'!E12</f>
        <v>0</v>
      </c>
      <c r="F62" s="1106" t="e">
        <f t="shared" si="15"/>
        <v>#DIV/0!</v>
      </c>
      <c r="G62" s="1112" t="s">
        <v>2782</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2783</v>
      </c>
      <c r="B63" s="262" t="e">
        <f t="shared" si="17"/>
        <v>#DIV/0!</v>
      </c>
      <c r="C63" s="200">
        <f t="shared" si="16"/>
        <v>0</v>
      </c>
      <c r="D63" s="1167">
        <v>0.25</v>
      </c>
      <c r="E63" s="261">
        <f>'数据-汇总表'!E13</f>
        <v>3103.3500000000004</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5"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0.2</v>
      </c>
      <c r="D65" s="1167">
        <v>0.25</v>
      </c>
      <c r="E65" s="261">
        <f>'数据-汇总表'!E15</f>
        <v>0</v>
      </c>
      <c r="F65" s="1106" t="e">
        <f t="shared" si="15"/>
        <v>#DIV/0!</v>
      </c>
      <c r="G65" s="2716" t="s">
        <v>2780</v>
      </c>
      <c r="H65" s="1117" t="str">
        <f>项目基本情况!C37</f>
        <v>六级</v>
      </c>
      <c r="I65" s="1113">
        <f>SUMIF(修正!A45:A56,H65,修正!H45:H56)</f>
        <v>0.2</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61537.21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97" t="s">
        <v>2652</v>
      </c>
      <c r="D4" s="3198"/>
      <c r="E4" s="3199" t="s">
        <v>2653</v>
      </c>
      <c r="F4" s="3200"/>
      <c r="G4" s="3197" t="s">
        <v>2654</v>
      </c>
      <c r="H4" s="3198"/>
      <c r="I4" s="3197" t="s">
        <v>2655</v>
      </c>
      <c r="J4" s="3198"/>
      <c r="K4" s="610" t="s">
        <v>2656</v>
      </c>
      <c r="L4" s="1133"/>
      <c r="M4" s="1134"/>
      <c r="N4" s="1134"/>
      <c r="O4" s="1134"/>
      <c r="P4" s="3201" t="s">
        <v>2657</v>
      </c>
      <c r="Q4" s="3202"/>
      <c r="R4" s="3207" t="s">
        <v>2653</v>
      </c>
      <c r="S4" s="3208"/>
      <c r="T4" s="3207" t="s">
        <v>2654</v>
      </c>
      <c r="U4" s="3208"/>
      <c r="V4" s="3213" t="s">
        <v>2655</v>
      </c>
      <c r="W4" s="3213"/>
      <c r="X4" s="1816"/>
      <c r="Y4" s="3207" t="s">
        <v>2657</v>
      </c>
      <c r="Z4" s="3208"/>
      <c r="AA4" s="3194" t="s">
        <v>2653</v>
      </c>
      <c r="AB4" s="3195" t="s">
        <v>2654</v>
      </c>
      <c r="AC4" s="3194" t="s">
        <v>2655</v>
      </c>
    </row>
    <row r="5" spans="1:29" ht="15">
      <c r="A5" s="404"/>
      <c r="B5" s="405"/>
      <c r="C5" s="3216" t="s">
        <v>2548</v>
      </c>
      <c r="D5" s="3217"/>
      <c r="E5" s="3223" t="s">
        <v>2549</v>
      </c>
      <c r="F5" s="3224"/>
      <c r="G5" s="3216" t="s">
        <v>2550</v>
      </c>
      <c r="H5" s="3217"/>
      <c r="I5" s="3216" t="s">
        <v>2551</v>
      </c>
      <c r="J5" s="3217"/>
      <c r="K5" s="610"/>
      <c r="L5" s="1133"/>
      <c r="M5" s="1134"/>
      <c r="N5" s="1134"/>
      <c r="O5" s="1134"/>
      <c r="P5" s="3203"/>
      <c r="Q5" s="3204"/>
      <c r="R5" s="3209"/>
      <c r="S5" s="3210"/>
      <c r="T5" s="3209"/>
      <c r="U5" s="3210"/>
      <c r="V5" s="3213"/>
      <c r="W5" s="3213"/>
      <c r="X5" s="1816"/>
      <c r="Y5" s="3209"/>
      <c r="Z5" s="3210"/>
      <c r="AA5" s="3195"/>
      <c r="AB5" s="3195"/>
      <c r="AC5" s="3195"/>
    </row>
    <row r="6" spans="1:29" ht="15.75" thickBot="1">
      <c r="A6" s="406"/>
      <c r="B6" s="407"/>
      <c r="C6" s="3247" t="s">
        <v>2803</v>
      </c>
      <c r="D6" s="3248"/>
      <c r="E6" s="3249" t="s">
        <v>2803</v>
      </c>
      <c r="F6" s="3250"/>
      <c r="G6" s="3247" t="s">
        <v>2803</v>
      </c>
      <c r="H6" s="3248"/>
      <c r="I6" s="3247" t="s">
        <v>2803</v>
      </c>
      <c r="J6" s="3248"/>
      <c r="K6" s="610" t="s">
        <v>2553</v>
      </c>
      <c r="L6" s="1133"/>
      <c r="M6" s="1134"/>
      <c r="N6" s="1134"/>
      <c r="O6" s="1134"/>
      <c r="P6" s="3205"/>
      <c r="Q6" s="3206"/>
      <c r="R6" s="3209"/>
      <c r="S6" s="3210"/>
      <c r="T6" s="3211"/>
      <c r="U6" s="3212"/>
      <c r="V6" s="3213"/>
      <c r="W6" s="3213"/>
      <c r="X6" s="1816"/>
      <c r="Y6" s="3211"/>
      <c r="Z6" s="3212"/>
      <c r="AA6" s="3196"/>
      <c r="AB6" s="3196"/>
      <c r="AC6" s="3196"/>
    </row>
    <row r="7" spans="1:29" s="117" customFormat="1" ht="15.75" thickBot="1">
      <c r="A7" s="408" t="s">
        <v>2554</v>
      </c>
      <c r="B7" s="409"/>
      <c r="C7" s="410">
        <f>'数据-取费表'!B2</f>
        <v>43334</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18" t="s">
        <v>2555</v>
      </c>
      <c r="Q7" s="3220"/>
      <c r="R7" s="770" t="s">
        <v>17</v>
      </c>
      <c r="S7" s="771">
        <f t="shared" ref="S7:S15" si="0">F7</f>
        <v>0</v>
      </c>
      <c r="T7" s="770" t="s">
        <v>17</v>
      </c>
      <c r="U7" s="771">
        <f t="shared" ref="U7:U15" si="1">H7</f>
        <v>0</v>
      </c>
      <c r="V7" s="770" t="s">
        <v>17</v>
      </c>
      <c r="W7" s="771">
        <f t="shared" ref="W7:W15" si="2">J7</f>
        <v>0</v>
      </c>
      <c r="X7" s="772"/>
      <c r="Y7" s="3218" t="s">
        <v>2555</v>
      </c>
      <c r="Z7" s="3219"/>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8" t="s">
        <v>2558</v>
      </c>
      <c r="Q8" s="3219"/>
      <c r="R8" s="770" t="s">
        <v>17</v>
      </c>
      <c r="S8" s="771">
        <f t="shared" si="0"/>
        <v>0</v>
      </c>
      <c r="T8" s="770" t="s">
        <v>17</v>
      </c>
      <c r="U8" s="771">
        <f t="shared" si="1"/>
        <v>0</v>
      </c>
      <c r="V8" s="770" t="s">
        <v>17</v>
      </c>
      <c r="W8" s="771">
        <f t="shared" si="2"/>
        <v>0</v>
      </c>
      <c r="X8" s="772"/>
      <c r="Y8" s="3218" t="s">
        <v>2558</v>
      </c>
      <c r="Z8" s="3219"/>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2" t="s">
        <v>2561</v>
      </c>
      <c r="Q9" s="1798" t="str">
        <f t="shared" ref="Q9:Q15" si="6">B9</f>
        <v>用途</v>
      </c>
      <c r="R9" s="770" t="s">
        <v>17</v>
      </c>
      <c r="S9" s="771">
        <f t="shared" si="0"/>
        <v>100</v>
      </c>
      <c r="T9" s="770" t="s">
        <v>17</v>
      </c>
      <c r="U9" s="771">
        <f t="shared" si="1"/>
        <v>100</v>
      </c>
      <c r="V9" s="770" t="s">
        <v>17</v>
      </c>
      <c r="W9" s="771">
        <f t="shared" si="2"/>
        <v>100</v>
      </c>
      <c r="X9" s="772"/>
      <c r="Y9" s="300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82"/>
      <c r="Q10" s="1798" t="str">
        <f t="shared" si="6"/>
        <v>土地使用年限（年）</v>
      </c>
      <c r="R10" s="770" t="s">
        <v>17</v>
      </c>
      <c r="S10" s="771">
        <f t="shared" si="0"/>
        <v>109</v>
      </c>
      <c r="T10" s="770" t="s">
        <v>17</v>
      </c>
      <c r="U10" s="771">
        <f t="shared" si="1"/>
        <v>109</v>
      </c>
      <c r="V10" s="770" t="s">
        <v>17</v>
      </c>
      <c r="W10" s="771">
        <f t="shared" si="2"/>
        <v>109</v>
      </c>
      <c r="X10" s="772"/>
      <c r="Y10" s="3007"/>
      <c r="Z10" s="55" t="str">
        <f t="shared" si="7"/>
        <v>土地使用年限（年）</v>
      </c>
      <c r="AA10" s="773">
        <f t="shared" si="3"/>
        <v>0.91743119266055051</v>
      </c>
      <c r="AB10" s="773">
        <f t="shared" si="4"/>
        <v>0.91743119266055051</v>
      </c>
      <c r="AC10" s="773">
        <f t="shared" si="5"/>
        <v>0.91743119266055051</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4" t="s">
        <v>2566</v>
      </c>
      <c r="Q15" s="1813" t="str">
        <f t="shared" si="6"/>
        <v>产业集聚程度</v>
      </c>
      <c r="R15" s="774" t="s">
        <v>17</v>
      </c>
      <c r="S15" s="775">
        <f t="shared" si="0"/>
        <v>100</v>
      </c>
      <c r="T15" s="774" t="s">
        <v>17</v>
      </c>
      <c r="U15" s="775">
        <f t="shared" si="1"/>
        <v>100</v>
      </c>
      <c r="V15" s="774" t="s">
        <v>17</v>
      </c>
      <c r="W15" s="775">
        <f t="shared" si="2"/>
        <v>100</v>
      </c>
      <c r="X15" s="1816"/>
      <c r="Y15" s="3184"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85"/>
      <c r="Q16" s="1813"/>
      <c r="R16" s="774"/>
      <c r="S16" s="775"/>
      <c r="T16" s="774"/>
      <c r="U16" s="775"/>
      <c r="V16" s="774"/>
      <c r="W16" s="775"/>
      <c r="X16" s="1816"/>
      <c r="Y16" s="3185"/>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5"/>
      <c r="Q17" s="1813" t="str">
        <f>B17</f>
        <v>交通便捷度</v>
      </c>
      <c r="R17" s="774" t="s">
        <v>17</v>
      </c>
      <c r="S17" s="775">
        <f>F17</f>
        <v>100</v>
      </c>
      <c r="T17" s="774" t="s">
        <v>17</v>
      </c>
      <c r="U17" s="775">
        <f>H17</f>
        <v>100</v>
      </c>
      <c r="V17" s="774" t="s">
        <v>17</v>
      </c>
      <c r="W17" s="775">
        <f>J17</f>
        <v>100</v>
      </c>
      <c r="X17" s="1816"/>
      <c r="Y17" s="318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85"/>
      <c r="Q18" s="1813"/>
      <c r="R18" s="774"/>
      <c r="S18" s="775"/>
      <c r="T18" s="774"/>
      <c r="U18" s="775"/>
      <c r="V18" s="774"/>
      <c r="W18" s="775"/>
      <c r="X18" s="1816"/>
      <c r="Y18" s="3185"/>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5"/>
      <c r="Q19" s="1813" t="str">
        <f t="shared" ref="Q19:Q33" si="8">B19</f>
        <v>区域土地利用方向</v>
      </c>
      <c r="R19" s="774" t="s">
        <v>17</v>
      </c>
      <c r="S19" s="775">
        <f>F19</f>
        <v>100</v>
      </c>
      <c r="T19" s="774" t="s">
        <v>17</v>
      </c>
      <c r="U19" s="775">
        <f>H19</f>
        <v>100</v>
      </c>
      <c r="V19" s="774" t="s">
        <v>17</v>
      </c>
      <c r="W19" s="775">
        <f>J19</f>
        <v>100</v>
      </c>
      <c r="X19" s="1816"/>
      <c r="Y19" s="318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85"/>
      <c r="Q20" s="1813"/>
      <c r="R20" s="774"/>
      <c r="S20" s="775"/>
      <c r="T20" s="774"/>
      <c r="U20" s="775"/>
      <c r="V20" s="774"/>
      <c r="W20" s="775"/>
      <c r="X20" s="1816"/>
      <c r="Y20" s="3185"/>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5"/>
      <c r="Q21" s="1813" t="str">
        <f t="shared" si="8"/>
        <v>环境状况</v>
      </c>
      <c r="R21" s="774" t="s">
        <v>17</v>
      </c>
      <c r="S21" s="775">
        <f>F21</f>
        <v>100</v>
      </c>
      <c r="T21" s="774" t="s">
        <v>17</v>
      </c>
      <c r="U21" s="775">
        <f>H21</f>
        <v>100</v>
      </c>
      <c r="V21" s="774" t="s">
        <v>17</v>
      </c>
      <c r="W21" s="775">
        <f>J21</f>
        <v>100</v>
      </c>
      <c r="X21" s="1816"/>
      <c r="Y21" s="318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85"/>
      <c r="Q22" s="1813"/>
      <c r="R22" s="774"/>
      <c r="S22" s="775"/>
      <c r="T22" s="774"/>
      <c r="U22" s="775"/>
      <c r="V22" s="774"/>
      <c r="W22" s="775"/>
      <c r="X22" s="1816"/>
      <c r="Y22" s="3185"/>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5"/>
      <c r="Q23" s="1798" t="str">
        <f t="shared" si="8"/>
        <v>公共配套设施</v>
      </c>
      <c r="R23" s="770" t="s">
        <v>17</v>
      </c>
      <c r="S23" s="771">
        <f>F23</f>
        <v>100</v>
      </c>
      <c r="T23" s="770" t="s">
        <v>17</v>
      </c>
      <c r="U23" s="771">
        <f>H23</f>
        <v>100</v>
      </c>
      <c r="V23" s="770" t="s">
        <v>17</v>
      </c>
      <c r="W23" s="771">
        <f>J23</f>
        <v>100</v>
      </c>
      <c r="X23" s="772"/>
      <c r="Y23" s="3185"/>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85"/>
      <c r="Q24" s="1798"/>
      <c r="R24" s="770"/>
      <c r="S24" s="771"/>
      <c r="T24" s="770"/>
      <c r="U24" s="771"/>
      <c r="V24" s="770"/>
      <c r="W24" s="771"/>
      <c r="X24" s="772"/>
      <c r="Y24" s="3185"/>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5"/>
      <c r="Q25" s="1798"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85"/>
      <c r="Q26" s="1798"/>
      <c r="R26" s="770"/>
      <c r="S26" s="771"/>
      <c r="T26" s="770"/>
      <c r="U26" s="771"/>
      <c r="V26" s="770"/>
      <c r="W26" s="771"/>
      <c r="X26" s="772"/>
      <c r="Y26" s="318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5"/>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5"/>
      <c r="Q28" s="1813" t="str">
        <f t="shared" si="8"/>
        <v>毗邻道路的类型与等级</v>
      </c>
      <c r="R28" s="774" t="s">
        <v>17</v>
      </c>
      <c r="S28" s="775">
        <f t="shared" si="10"/>
        <v>100</v>
      </c>
      <c r="T28" s="774" t="s">
        <v>17</v>
      </c>
      <c r="U28" s="775">
        <f t="shared" si="11"/>
        <v>100</v>
      </c>
      <c r="V28" s="774" t="s">
        <v>17</v>
      </c>
      <c r="W28" s="775">
        <f t="shared" si="12"/>
        <v>100</v>
      </c>
      <c r="X28" s="1816"/>
      <c r="Y28" s="318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85"/>
      <c r="Q29" s="1813"/>
      <c r="R29" s="774"/>
      <c r="S29" s="775"/>
      <c r="T29" s="774"/>
      <c r="U29" s="775"/>
      <c r="V29" s="774"/>
      <c r="W29" s="775"/>
      <c r="X29" s="1816"/>
      <c r="Y29" s="3185"/>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5"/>
      <c r="Q30" s="1813" t="str">
        <f t="shared" si="8"/>
        <v>土地级别</v>
      </c>
      <c r="R30" s="774" t="s">
        <v>17</v>
      </c>
      <c r="S30" s="775">
        <f t="shared" si="10"/>
        <v>100</v>
      </c>
      <c r="T30" s="774" t="s">
        <v>17</v>
      </c>
      <c r="U30" s="775">
        <f t="shared" si="11"/>
        <v>100</v>
      </c>
      <c r="V30" s="774" t="s">
        <v>17</v>
      </c>
      <c r="W30" s="775">
        <f t="shared" si="12"/>
        <v>100</v>
      </c>
      <c r="X30" s="1816"/>
      <c r="Y30" s="3185"/>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5"/>
      <c r="Q31" s="1813">
        <f t="shared" si="8"/>
        <v>111</v>
      </c>
      <c r="R31" s="774" t="s">
        <v>17</v>
      </c>
      <c r="S31" s="775">
        <f t="shared" si="10"/>
        <v>100</v>
      </c>
      <c r="T31" s="774" t="s">
        <v>17</v>
      </c>
      <c r="U31" s="775">
        <f t="shared" si="11"/>
        <v>100</v>
      </c>
      <c r="V31" s="774" t="s">
        <v>17</v>
      </c>
      <c r="W31" s="775">
        <f t="shared" si="12"/>
        <v>100</v>
      </c>
      <c r="X31" s="1816"/>
      <c r="Y31" s="3185"/>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2571</v>
      </c>
      <c r="Q32" s="1813">
        <f t="shared" si="8"/>
        <v>111</v>
      </c>
      <c r="R32" s="774" t="s">
        <v>17</v>
      </c>
      <c r="S32" s="775">
        <f t="shared" si="10"/>
        <v>100</v>
      </c>
      <c r="T32" s="774" t="s">
        <v>17</v>
      </c>
      <c r="U32" s="775">
        <f t="shared" si="11"/>
        <v>100</v>
      </c>
      <c r="V32" s="774" t="s">
        <v>17</v>
      </c>
      <c r="W32" s="775">
        <f t="shared" si="12"/>
        <v>100</v>
      </c>
      <c r="X32" s="1816"/>
      <c r="Y32" s="3189"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9"/>
      <c r="Q33" s="1813">
        <f t="shared" si="8"/>
        <v>111</v>
      </c>
      <c r="R33" s="777" t="s">
        <v>17</v>
      </c>
      <c r="S33" s="778">
        <f t="shared" si="10"/>
        <v>100</v>
      </c>
      <c r="T33" s="777" t="s">
        <v>17</v>
      </c>
      <c r="U33" s="778">
        <f t="shared" si="11"/>
        <v>100</v>
      </c>
      <c r="V33" s="777" t="s">
        <v>17</v>
      </c>
      <c r="W33" s="778">
        <f t="shared" si="12"/>
        <v>100</v>
      </c>
      <c r="X33" s="779"/>
      <c r="Y33" s="3189"/>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9"/>
      <c r="Q34" s="1813" t="str">
        <f>B34</f>
        <v>宗地面积</v>
      </c>
      <c r="R34" s="774" t="s">
        <v>17</v>
      </c>
      <c r="S34" s="775" t="e">
        <f t="shared" si="10"/>
        <v>#N/A</v>
      </c>
      <c r="T34" s="774" t="s">
        <v>17</v>
      </c>
      <c r="U34" s="775" t="e">
        <f t="shared" si="11"/>
        <v>#N/A</v>
      </c>
      <c r="V34" s="774" t="s">
        <v>17</v>
      </c>
      <c r="W34" s="775" t="e">
        <f t="shared" si="12"/>
        <v>#N/A</v>
      </c>
      <c r="X34" s="1816"/>
      <c r="Y34" s="3189"/>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9"/>
      <c r="Q35" s="1813" t="str">
        <f t="shared" ref="Q35:Q40" si="14">B35</f>
        <v>宗地形状</v>
      </c>
      <c r="R35" s="774" t="s">
        <v>17</v>
      </c>
      <c r="S35" s="775">
        <f t="shared" si="10"/>
        <v>100</v>
      </c>
      <c r="T35" s="774" t="s">
        <v>17</v>
      </c>
      <c r="U35" s="775">
        <f t="shared" si="11"/>
        <v>100</v>
      </c>
      <c r="V35" s="774" t="s">
        <v>17</v>
      </c>
      <c r="W35" s="775">
        <f t="shared" si="12"/>
        <v>100</v>
      </c>
      <c r="X35" s="1816"/>
      <c r="Y35" s="3189"/>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9"/>
      <c r="Q36" s="1813"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9" t="s">
        <v>2571</v>
      </c>
      <c r="Q37" s="1813" t="str">
        <f t="shared" si="14"/>
        <v>工程地质条件</v>
      </c>
      <c r="R37" s="774" t="s">
        <v>17</v>
      </c>
      <c r="S37" s="775">
        <f t="shared" si="10"/>
        <v>100</v>
      </c>
      <c r="T37" s="774" t="s">
        <v>17</v>
      </c>
      <c r="U37" s="775">
        <f t="shared" si="11"/>
        <v>100</v>
      </c>
      <c r="V37" s="774" t="s">
        <v>17</v>
      </c>
      <c r="W37" s="775">
        <f t="shared" si="12"/>
        <v>100</v>
      </c>
      <c r="X37" s="1816"/>
      <c r="Y37" s="3189"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9"/>
      <c r="Q38" s="1813">
        <f t="shared" si="14"/>
        <v>111</v>
      </c>
      <c r="R38" s="774" t="s">
        <v>17</v>
      </c>
      <c r="S38" s="775">
        <f t="shared" si="10"/>
        <v>100</v>
      </c>
      <c r="T38" s="774" t="s">
        <v>17</v>
      </c>
      <c r="U38" s="775">
        <f t="shared" si="11"/>
        <v>100</v>
      </c>
      <c r="V38" s="774" t="s">
        <v>17</v>
      </c>
      <c r="W38" s="775">
        <f t="shared" si="12"/>
        <v>100</v>
      </c>
      <c r="X38" s="1816"/>
      <c r="Y38" s="318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9"/>
      <c r="Q39" s="1813">
        <f t="shared" si="14"/>
        <v>111</v>
      </c>
      <c r="R39" s="774" t="s">
        <v>17</v>
      </c>
      <c r="S39" s="775">
        <f t="shared" si="10"/>
        <v>100</v>
      </c>
      <c r="T39" s="774" t="s">
        <v>17</v>
      </c>
      <c r="U39" s="775">
        <f t="shared" si="11"/>
        <v>100</v>
      </c>
      <c r="V39" s="774" t="s">
        <v>17</v>
      </c>
      <c r="W39" s="775">
        <f t="shared" si="12"/>
        <v>100</v>
      </c>
      <c r="X39" s="1816"/>
      <c r="Y39" s="3189"/>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9"/>
      <c r="Q40" s="1813">
        <f t="shared" si="14"/>
        <v>111</v>
      </c>
      <c r="R40" s="777" t="s">
        <v>17</v>
      </c>
      <c r="S40" s="778">
        <f t="shared" si="10"/>
        <v>100</v>
      </c>
      <c r="T40" s="777" t="s">
        <v>17</v>
      </c>
      <c r="U40" s="778">
        <f t="shared" si="11"/>
        <v>100</v>
      </c>
      <c r="V40" s="777" t="s">
        <v>17</v>
      </c>
      <c r="W40" s="778">
        <f t="shared" si="12"/>
        <v>100</v>
      </c>
      <c r="X40" s="779"/>
      <c r="Y40" s="3189"/>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79" t="str">
        <f>A43</f>
        <v>估价对象XX用房的比较价值（楼面单价，元/平方米）</v>
      </c>
      <c r="Q43" s="3180"/>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197" t="s">
        <v>2770</v>
      </c>
      <c r="H50" s="3245"/>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55436.959999999999</v>
      </c>
      <c r="F51" s="691" t="e">
        <f t="shared" ref="F51:F60" si="15">ROUND(B51*E51/10000,0)</f>
        <v>#DIV/0!</v>
      </c>
      <c r="G51" s="3193"/>
      <c r="H51" s="3182"/>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4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0.25</v>
      </c>
      <c r="D56" s="1167">
        <v>0.25</v>
      </c>
      <c r="E56" s="261">
        <f>'数据-汇总表'!E11</f>
        <v>2996.9</v>
      </c>
      <c r="F56" s="691" t="e">
        <f t="shared" si="15"/>
        <v>#DIV/0!</v>
      </c>
      <c r="G56" s="2715" t="s">
        <v>2780</v>
      </c>
      <c r="H56" s="1107" t="str">
        <f>项目基本情况!C37</f>
        <v>六级</v>
      </c>
      <c r="I56" s="945">
        <f>SUMIF(修正!A45:A56,H56,修正!F45:F56)</f>
        <v>0.25</v>
      </c>
      <c r="J56" s="946"/>
      <c r="K56" s="1147"/>
      <c r="L56" s="944"/>
      <c r="M56" s="944"/>
      <c r="N56" s="944"/>
      <c r="O56" s="944"/>
    </row>
    <row r="57" spans="1:17" s="692" customFormat="1">
      <c r="A57" s="693" t="s">
        <v>2781</v>
      </c>
      <c r="B57" s="262" t="e">
        <f t="shared" si="17"/>
        <v>#DIV/0!</v>
      </c>
      <c r="C57" s="200">
        <f t="shared" si="16"/>
        <v>0.25</v>
      </c>
      <c r="D57" s="1167">
        <v>0.25</v>
      </c>
      <c r="E57" s="261">
        <f>'数据-汇总表'!E12</f>
        <v>0</v>
      </c>
      <c r="F57" s="691" t="e">
        <f t="shared" si="15"/>
        <v>#DIV/0!</v>
      </c>
      <c r="G57" s="1112" t="s">
        <v>2782</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2783</v>
      </c>
      <c r="B58" s="262" t="e">
        <f t="shared" si="17"/>
        <v>#DIV/0!</v>
      </c>
      <c r="C58" s="200">
        <f t="shared" si="16"/>
        <v>0</v>
      </c>
      <c r="D58" s="1167">
        <v>0.25</v>
      </c>
      <c r="E58" s="261">
        <f>'数据-汇总表'!E13</f>
        <v>3103.3500000000004</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5"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0.2</v>
      </c>
      <c r="D60" s="1167">
        <v>0.25</v>
      </c>
      <c r="E60" s="261">
        <f>'数据-汇总表'!E15</f>
        <v>0</v>
      </c>
      <c r="F60" s="691" t="e">
        <f t="shared" si="15"/>
        <v>#DIV/0!</v>
      </c>
      <c r="G60" s="2716" t="s">
        <v>2780</v>
      </c>
      <c r="H60" s="1117" t="str">
        <f>项目基本情况!C37</f>
        <v>六级</v>
      </c>
      <c r="I60" s="945">
        <f>SUMIF(修正!A45:A56,H60,修正!H45:H56)</f>
        <v>0.2</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23731.26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2808</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7" sqref="D37"/>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55436.959999999999</v>
      </c>
      <c r="E1" s="2723"/>
      <c r="F1" s="2723"/>
      <c r="G1" s="2723"/>
      <c r="H1" s="2723"/>
      <c r="I1" s="2723"/>
      <c r="J1" s="2723"/>
      <c r="K1" s="1373"/>
      <c r="L1" s="2724" t="s">
        <v>2812</v>
      </c>
      <c r="M1" s="1083">
        <f>SUMPRODUCT((区片价!B5:B9=I2)*(区片价!C3:F3=E2)*(区片价!C5:F9))</f>
        <v>0</v>
      </c>
      <c r="N1" s="1086">
        <f>SUMPRODUCT((因素修正幅度!B5:B9=I2)*(因素修正幅度!C3:F3=E2)*(因素修正幅度!C5:F9))</f>
        <v>0</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65028</v>
      </c>
      <c r="C2" s="2727" t="s">
        <v>2819</v>
      </c>
      <c r="D2" s="2728" t="s">
        <v>2820</v>
      </c>
      <c r="E2" s="2729" t="s">
        <v>27</v>
      </c>
      <c r="F2" s="2728" t="s">
        <v>2821</v>
      </c>
      <c r="G2" s="2730" t="str">
        <f>IF(E2="商业",项目基本情况!B37,IF(E2="办公",项目基本情况!C37,IF(E2="住宅",项目基本情况!D37,项目基本情况!E37)))</f>
        <v>六级</v>
      </c>
      <c r="H2" s="2728" t="s">
        <v>2822</v>
      </c>
      <c r="I2" s="2730" t="str">
        <f>IF(E2="商业",项目基本情况!B38,IF(E2="办公",项目基本情况!C38,IF(E2="住宅",项目基本情况!D38,项目基本情况!E38)))</f>
        <v>Ⅵ-亦1</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21389</v>
      </c>
      <c r="U2" s="1606"/>
      <c r="V2" s="1605">
        <f ca="1">ROUND(T2*U2/10000,0)</f>
        <v>0</v>
      </c>
      <c r="W2" s="1609"/>
      <c r="X2" s="1609"/>
      <c r="Y2" s="1609"/>
      <c r="Z2" s="1609"/>
      <c r="AA2" s="1609"/>
      <c r="AB2" s="1609"/>
      <c r="AC2" s="1610"/>
      <c r="AD2" s="1611"/>
      <c r="AE2" s="1611"/>
      <c r="AF2" s="1611"/>
      <c r="AG2" s="1611"/>
      <c r="AH2" s="1611"/>
      <c r="AI2" s="1611"/>
      <c r="AJ2" s="1612"/>
    </row>
    <row r="3" spans="1:36" ht="25.5">
      <c r="A3" s="247" t="s">
        <v>2824</v>
      </c>
      <c r="B3" s="248">
        <f ca="1">ROUND(B2*10000/D1,0)</f>
        <v>11730</v>
      </c>
      <c r="C3" s="2727" t="s">
        <v>2825</v>
      </c>
      <c r="D3" s="2728" t="s">
        <v>2826</v>
      </c>
      <c r="E3" s="2733" t="s">
        <v>3095</v>
      </c>
      <c r="F3" s="2734" t="s">
        <v>2827</v>
      </c>
      <c r="G3" s="916">
        <f>IF(F3="宗地容积率",'数据-汇总表'!I4,IF(F3="估价对象容积率",'数据-汇总表'!I6,'数据-汇总表'!I7))</f>
        <v>2.34</v>
      </c>
      <c r="H3" s="198" t="s">
        <v>2828</v>
      </c>
      <c r="I3" s="947"/>
      <c r="J3" s="2731" t="s">
        <v>2829</v>
      </c>
      <c r="K3" s="1373"/>
      <c r="L3" s="2732" t="s">
        <v>2830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15353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32" t="s">
        <v>2831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12386</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2832</v>
      </c>
      <c r="C5" s="917">
        <f>ROUND(IF(E2="商业",IF(F16="增加",C6*C7+C16,C6*C7-C16),IF(E2="住宅",IF(F16="增加",C6*C12+C16,C6*C12-C16),IF(F16="增加",C6+C16,C6-C16))),0)</f>
        <v>9730</v>
      </c>
      <c r="D5" s="1790">
        <f>ROUND(IF(E2="商业",IF(F16="增加",C6+C16,C6-C16)),0)</f>
        <v>0</v>
      </c>
      <c r="E5" s="2737"/>
      <c r="F5" s="2737"/>
      <c r="G5" s="2738"/>
      <c r="H5" s="2738"/>
      <c r="I5" s="2738"/>
      <c r="J5" s="2739"/>
      <c r="K5" s="2740"/>
      <c r="L5" s="2732" t="s">
        <v>2833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9938</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2834</v>
      </c>
      <c r="B6" s="2746" t="s">
        <v>2835</v>
      </c>
      <c r="C6" s="918">
        <f>SUMIF(L1:L12,G2,M1:M12)</f>
        <v>9750</v>
      </c>
      <c r="D6" s="2747" t="s">
        <v>2836</v>
      </c>
      <c r="E6" s="2748"/>
      <c r="F6" s="2748"/>
      <c r="G6" s="2749"/>
      <c r="H6" s="2749"/>
      <c r="I6" s="2749"/>
      <c r="J6" s="2750"/>
      <c r="K6" s="1845"/>
      <c r="L6" s="2732" t="s">
        <v>2837</v>
      </c>
      <c r="M6" s="1084">
        <f>SUMPRODUCT((区片价!B110:B157=I2)*(区片价!C3:F3=E2)*(区片价!C110:F157))</f>
        <v>9750</v>
      </c>
      <c r="N6" s="1086">
        <f>SUMPRODUCT((因素修正幅度!B110:B157=I2)*(因素修正幅度!C3:F3=E2)*(因素修正幅度!C110:F157))</f>
        <v>0.126</v>
      </c>
      <c r="O6" s="1373"/>
      <c r="P6" s="1373"/>
      <c r="Q6" s="1373"/>
      <c r="R6" s="1605">
        <v>5</v>
      </c>
      <c r="S6" s="1605">
        <f>ROUND(IF(G3&gt;1,IF(R6&lt;7,SUMPRODUCT((B93:B98=R6)*(C92:N92=G2)*(C93:N98)),SUMIF(C92:N92,G2,C100:N100)),IF(R6&lt;7,SUMPRODUCT((B102:B107=R6)*(C92:N92=G2)*(C102:N107)),SUMIF(C92:N92,G2,C109:N109))),4)</f>
        <v>0.73709999999999998</v>
      </c>
      <c r="T6" s="1605">
        <f t="shared" ca="1" si="0"/>
        <v>8463</v>
      </c>
      <c r="U6" s="1606"/>
      <c r="V6" s="1605">
        <f t="shared" ca="1" si="1"/>
        <v>0</v>
      </c>
      <c r="W6" s="1609"/>
      <c r="X6" s="1609"/>
      <c r="Y6" s="1609"/>
      <c r="Z6" s="1609"/>
      <c r="AA6" s="1609"/>
      <c r="AB6" s="1609"/>
      <c r="AC6" s="2741"/>
      <c r="AD6" s="2742"/>
      <c r="AE6" s="2742"/>
      <c r="AF6" s="2742"/>
      <c r="AG6" s="2742"/>
      <c r="AH6" s="2742"/>
      <c r="AI6" s="2742"/>
      <c r="AJ6" s="2743"/>
    </row>
    <row r="7" spans="1:36" ht="24">
      <c r="A7" s="3258" t="str">
        <f>IF(E2="商业",IF(C8="不临58条商业街","",2),"")</f>
        <v/>
      </c>
      <c r="B7" s="2751" t="s">
        <v>2838</v>
      </c>
      <c r="C7" s="919" t="e">
        <f>IF(C8="不临58条商业街",1,ROUND(1+(1.6*E8+1.2*E9+0.8*E10+0.4*E11)*C9,4))</f>
        <v>#DIV/0!</v>
      </c>
      <c r="D7" s="2752" t="s">
        <v>2839</v>
      </c>
      <c r="E7" s="948"/>
      <c r="F7" s="2753"/>
      <c r="G7" s="2754"/>
      <c r="H7" s="2754"/>
      <c r="I7" s="2754"/>
      <c r="J7" s="2755"/>
      <c r="K7" s="1845"/>
      <c r="L7" s="2732" t="s">
        <v>2840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7442</v>
      </c>
      <c r="U7" s="1606"/>
      <c r="V7" s="1605">
        <f t="shared" ca="1" si="1"/>
        <v>0</v>
      </c>
      <c r="W7" s="1819" t="s">
        <v>2841</v>
      </c>
      <c r="X7" s="1607" t="str">
        <f>G2</f>
        <v>六级</v>
      </c>
      <c r="Y7" s="1607" t="s">
        <v>2842</v>
      </c>
      <c r="Z7" s="1608">
        <f>G3</f>
        <v>2.34</v>
      </c>
      <c r="AA7" s="1609"/>
      <c r="AB7" s="1609"/>
      <c r="AC7" s="1610"/>
      <c r="AD7" s="1611"/>
      <c r="AE7" s="1611"/>
      <c r="AF7" s="1611"/>
      <c r="AG7" s="1611"/>
      <c r="AH7" s="1611"/>
      <c r="AI7" s="1611"/>
      <c r="AJ7" s="1612"/>
    </row>
    <row r="8" spans="1:36" ht="15">
      <c r="A8" s="3259"/>
      <c r="B8" s="198" t="s">
        <v>2843</v>
      </c>
      <c r="C8" s="2756"/>
      <c r="D8" s="920" t="s">
        <v>139</v>
      </c>
      <c r="E8" s="921" t="e">
        <f>ROUND(C11/E7,4)</f>
        <v>#DIV/0!</v>
      </c>
      <c r="F8" s="2757" t="s">
        <v>2844</v>
      </c>
      <c r="G8" s="2758"/>
      <c r="H8" s="2758"/>
      <c r="I8" s="2758"/>
      <c r="J8" s="2759"/>
      <c r="K8" s="1373"/>
      <c r="L8" s="2732" t="s">
        <v>2845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1" t="s">
        <v>2846</v>
      </c>
      <c r="X8" s="3252"/>
      <c r="Y8" s="1613" t="s">
        <v>2847</v>
      </c>
      <c r="Z8" s="1613" t="s">
        <v>2848</v>
      </c>
      <c r="AA8" s="1613" t="s">
        <v>2849</v>
      </c>
      <c r="AB8" s="1613" t="s">
        <v>2850</v>
      </c>
      <c r="AC8" s="1613" t="s">
        <v>2851</v>
      </c>
      <c r="AD8" s="1613" t="s">
        <v>2852</v>
      </c>
      <c r="AE8" s="1613" t="s">
        <v>2853</v>
      </c>
      <c r="AF8" s="1613" t="s">
        <v>2854</v>
      </c>
      <c r="AG8" s="1613" t="s">
        <v>2855</v>
      </c>
      <c r="AH8" s="1613" t="s">
        <v>2856</v>
      </c>
      <c r="AI8" s="1613" t="s">
        <v>2857</v>
      </c>
      <c r="AJ8" s="1613" t="s">
        <v>2858</v>
      </c>
    </row>
    <row r="9" spans="1:36" ht="15">
      <c r="A9" s="3259"/>
      <c r="B9" s="198" t="s">
        <v>2859</v>
      </c>
      <c r="C9" s="922">
        <f>SUMIF(修正!C59:C119,C8,修正!E59:E119)</f>
        <v>0</v>
      </c>
      <c r="D9" s="200" t="s">
        <v>140</v>
      </c>
      <c r="E9" s="200" t="e">
        <f>ROUND(C11/E7,4)</f>
        <v>#DIV/0!</v>
      </c>
      <c r="F9" s="2757" t="s">
        <v>2860</v>
      </c>
      <c r="G9" s="2758"/>
      <c r="H9" s="2758"/>
      <c r="I9" s="2758"/>
      <c r="J9" s="2759"/>
      <c r="K9" s="1373"/>
      <c r="L9" s="2732" t="s">
        <v>2861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3" t="s">
        <v>2862</v>
      </c>
      <c r="X9" s="1614" t="s">
        <v>2863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9"/>
      <c r="B10" s="198" t="s">
        <v>2864</v>
      </c>
      <c r="C10" s="200">
        <f>SUMIF(修正!C59:C119,C8,修正!F59:F119)</f>
        <v>0</v>
      </c>
      <c r="D10" s="200" t="s">
        <v>141</v>
      </c>
      <c r="E10" s="200" t="e">
        <f>ROUND(C11/E7,4)</f>
        <v>#DIV/0!</v>
      </c>
      <c r="F10" s="2757" t="s">
        <v>2865</v>
      </c>
      <c r="G10" s="2758"/>
      <c r="H10" s="2758"/>
      <c r="I10" s="2758"/>
      <c r="J10" s="2759"/>
      <c r="K10" s="1373"/>
      <c r="L10" s="2732" t="s">
        <v>2866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9"/>
      <c r="B11" s="2760" t="s">
        <v>2867</v>
      </c>
      <c r="C11" s="923">
        <f>C10/4</f>
        <v>0</v>
      </c>
      <c r="D11" s="923" t="s">
        <v>142</v>
      </c>
      <c r="E11" s="923" t="e">
        <f>ROUND(C11/E7,4)</f>
        <v>#DIV/0!</v>
      </c>
      <c r="F11" s="2761" t="s">
        <v>2868</v>
      </c>
      <c r="G11" s="2762"/>
      <c r="H11" s="2762"/>
      <c r="I11" s="2762"/>
      <c r="J11" s="2763"/>
      <c r="K11" s="1373"/>
      <c r="L11" s="2732" t="s">
        <v>2869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3" t="s">
        <v>2870</v>
      </c>
      <c r="X11" s="1617" t="s">
        <v>2871</v>
      </c>
      <c r="Y11" s="1618">
        <f>$G$3</f>
        <v>2.34</v>
      </c>
      <c r="Z11" s="1618">
        <f t="shared" ref="Z11:AJ11" si="3">$G$3</f>
        <v>2.34</v>
      </c>
      <c r="AA11" s="1618">
        <f t="shared" si="3"/>
        <v>2.34</v>
      </c>
      <c r="AB11" s="1618">
        <f t="shared" si="3"/>
        <v>2.34</v>
      </c>
      <c r="AC11" s="1618">
        <f t="shared" si="3"/>
        <v>2.34</v>
      </c>
      <c r="AD11" s="1618">
        <f t="shared" si="3"/>
        <v>2.34</v>
      </c>
      <c r="AE11" s="1618">
        <f t="shared" si="3"/>
        <v>2.34</v>
      </c>
      <c r="AF11" s="1618">
        <f t="shared" si="3"/>
        <v>2.34</v>
      </c>
      <c r="AG11" s="1618">
        <f t="shared" si="3"/>
        <v>2.34</v>
      </c>
      <c r="AH11" s="1618">
        <f t="shared" si="3"/>
        <v>2.34</v>
      </c>
      <c r="AI11" s="1618">
        <f t="shared" si="3"/>
        <v>2.34</v>
      </c>
      <c r="AJ11" s="1618">
        <f t="shared" si="3"/>
        <v>2.34</v>
      </c>
    </row>
    <row r="12" spans="1:36" ht="25.5" thickBot="1">
      <c r="A12" s="3258" t="s">
        <v>2872</v>
      </c>
      <c r="B12" s="2764" t="s">
        <v>2873</v>
      </c>
      <c r="C12" s="919">
        <f>ROUND(C15*D15*E15*F15*G15*H15*I15*J15,4)</f>
        <v>1</v>
      </c>
      <c r="D12" s="2765" t="s">
        <v>2874</v>
      </c>
      <c r="E12" s="2766"/>
      <c r="F12" s="2766"/>
      <c r="G12" s="2767"/>
      <c r="H12" s="2767"/>
      <c r="I12" s="2767"/>
      <c r="J12" s="2768"/>
      <c r="K12" s="1373"/>
      <c r="L12" s="2769" t="s">
        <v>2875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3"/>
      <c r="X12" s="1619" t="s">
        <v>2876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70" t="s">
        <v>2877</v>
      </c>
      <c r="C13" s="2771" t="s">
        <v>2878</v>
      </c>
      <c r="D13" s="1811" t="s">
        <v>2879</v>
      </c>
      <c r="E13" s="1811" t="s">
        <v>2880</v>
      </c>
      <c r="F13" s="30" t="s">
        <v>2881</v>
      </c>
      <c r="G13" s="2772" t="s">
        <v>2882</v>
      </c>
      <c r="H13" s="2772" t="s">
        <v>2882</v>
      </c>
      <c r="I13" s="2772" t="s">
        <v>2882</v>
      </c>
      <c r="J13" s="2773" t="s">
        <v>2882</v>
      </c>
      <c r="K13" s="1373"/>
      <c r="L13" s="1373"/>
      <c r="M13" s="1373"/>
      <c r="N13" s="1373"/>
      <c r="O13" s="1373"/>
      <c r="P13" s="1373"/>
      <c r="Q13" s="1373"/>
      <c r="R13" s="1605">
        <v>12</v>
      </c>
      <c r="S13" s="1606"/>
      <c r="T13" s="1605">
        <f t="shared" ca="1" si="0"/>
        <v>0</v>
      </c>
      <c r="U13" s="1606"/>
      <c r="V13" s="1605">
        <f t="shared" ca="1" si="1"/>
        <v>0</v>
      </c>
      <c r="W13" s="3253"/>
      <c r="X13" s="1619"/>
      <c r="Y13" s="1616">
        <f>(-0.163*(Y12^2)-0.59*Y12+7617)*(10^(-4))/Y11</f>
        <v>0.32551282051282054</v>
      </c>
      <c r="Z13" s="1616">
        <f t="shared" ref="Z13:AJ13" si="5">(-0.163*(Z12^2)-0.59*Z12+7617)*(10^(-4))/Z11</f>
        <v>0.32551282051282054</v>
      </c>
      <c r="AA13" s="1616">
        <f t="shared" si="5"/>
        <v>0.32551282051282054</v>
      </c>
      <c r="AB13" s="1616">
        <f t="shared" si="5"/>
        <v>0.32551282051282054</v>
      </c>
      <c r="AC13" s="1616">
        <f t="shared" si="5"/>
        <v>0.32551282051282054</v>
      </c>
      <c r="AD13" s="1616">
        <f t="shared" si="5"/>
        <v>0.32551282051282054</v>
      </c>
      <c r="AE13" s="1616">
        <f t="shared" si="5"/>
        <v>0.32551282051282054</v>
      </c>
      <c r="AF13" s="1616">
        <f t="shared" si="5"/>
        <v>0.32551282051282054</v>
      </c>
      <c r="AG13" s="1616">
        <f t="shared" si="5"/>
        <v>0.32551282051282054</v>
      </c>
      <c r="AH13" s="1616">
        <f t="shared" si="5"/>
        <v>0.32551282051282054</v>
      </c>
      <c r="AI13" s="1616">
        <f t="shared" si="5"/>
        <v>0.32551282051282054</v>
      </c>
      <c r="AJ13" s="1616">
        <f t="shared" si="5"/>
        <v>0.32551282051282054</v>
      </c>
    </row>
    <row r="14" spans="1:36" ht="15">
      <c r="A14" s="3260"/>
      <c r="B14" s="2774"/>
      <c r="C14" s="2775"/>
      <c r="D14" s="2776"/>
      <c r="E14" s="2776"/>
      <c r="F14" s="2777"/>
      <c r="G14" s="2778" t="s">
        <v>2883</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1"/>
      <c r="B15" s="2782" t="s">
        <v>2884</v>
      </c>
      <c r="C15" s="229">
        <f>IF(C14="有",1.1,1)</f>
        <v>1</v>
      </c>
      <c r="D15" s="229">
        <f>IF(D14="有",1.1,1)</f>
        <v>1</v>
      </c>
      <c r="E15" s="229">
        <f>IF(E14="有",1.1,1)</f>
        <v>1</v>
      </c>
      <c r="F15" s="229">
        <f>IF(F14="500米范围内",1.2,IF(F14="500-1000米",1.1,1))</f>
        <v>1</v>
      </c>
      <c r="G15" s="949">
        <v>1</v>
      </c>
      <c r="H15" s="949">
        <v>1</v>
      </c>
      <c r="I15" s="949">
        <v>1</v>
      </c>
      <c r="J15" s="950">
        <v>1</v>
      </c>
      <c r="K15" s="1373"/>
      <c r="L15" s="2783" t="s">
        <v>2820</v>
      </c>
      <c r="M15" s="920" t="s">
        <v>2885</v>
      </c>
      <c r="N15" s="920" t="s">
        <v>2886</v>
      </c>
      <c r="O15" s="920" t="s">
        <v>2887</v>
      </c>
      <c r="P15" s="2784" t="s">
        <v>2888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8" t="s">
        <v>2889</v>
      </c>
      <c r="B16" s="2751" t="s">
        <v>2890</v>
      </c>
      <c r="C16" s="1804">
        <f>ROUND(SUM(G17:J17)/C17,0)</f>
        <v>20</v>
      </c>
      <c r="D16" s="2785" t="s">
        <v>2891</v>
      </c>
      <c r="E16" s="2786" t="s">
        <v>3109</v>
      </c>
      <c r="F16" s="2787" t="s">
        <v>3110</v>
      </c>
      <c r="G16" s="2788" t="s">
        <v>3111</v>
      </c>
      <c r="H16" s="2788"/>
      <c r="I16" s="2788"/>
      <c r="J16" s="2789"/>
      <c r="K16" s="1373"/>
      <c r="L16" s="2790" t="s">
        <v>2892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9"/>
      <c r="B17" s="2791" t="s">
        <v>2893</v>
      </c>
      <c r="C17" s="924">
        <f>SUMPRODUCT((修正!A2:A5=E2)*(修正!B1:M1=G2)*(修正!B2:M5))</f>
        <v>2.5</v>
      </c>
      <c r="D17" s="2792" t="s">
        <v>2894</v>
      </c>
      <c r="E17" s="923" t="str">
        <f>IF(OR(G2="八级",G2="九级",G2="十级",G2="十一级",G2="十二级"),"五通一平","七通一平")</f>
        <v>七通一平</v>
      </c>
      <c r="F17" s="924" t="s">
        <v>2895</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3" t="s">
        <v>2896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2897</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2898</v>
      </c>
      <c r="C19" s="927">
        <f>ROUND(IF(H19="按公示增长率计算",SUMPRODUCT((地价!A3:A23=YEAR(G19)&amp;"-"&amp;ROUNDUP(MONTH(G19)/3,0))*(地价!X2:AB2=E2)*(地价!X3:AB23)),IF(H19="地价指数",M20/M19,(1+I19)^O19)),4)</f>
        <v>1.3023</v>
      </c>
      <c r="D19" s="2803" t="s">
        <v>2899</v>
      </c>
      <c r="E19" s="928">
        <v>41640</v>
      </c>
      <c r="F19" s="2803" t="s">
        <v>2900</v>
      </c>
      <c r="G19" s="929">
        <f>'数据-取费表'!B2</f>
        <v>43334</v>
      </c>
      <c r="H19" s="2804" t="s">
        <v>3102</v>
      </c>
      <c r="I19" s="930" t="str">
        <f>IF(H19="季度增幅（自定义）",SUMIF(N21:N24,E2,O21:O24),"")</f>
        <v/>
      </c>
      <c r="J19" s="2801"/>
      <c r="K19" s="1380"/>
      <c r="L19" s="2805" t="s">
        <v>2901</v>
      </c>
      <c r="M19" s="1737">
        <f>ROUND(SUMIF(地价!B2:F2,E2,地价!B23:F23),0)</f>
        <v>258</v>
      </c>
      <c r="N19" s="2806" t="s">
        <v>2902</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0.90710000000000002</v>
      </c>
      <c r="D20" s="2812" t="s">
        <v>2904</v>
      </c>
      <c r="E20" s="1771">
        <f ca="1">存贷款利率!D4/100</f>
        <v>4.3499999999999997E-2</v>
      </c>
      <c r="F20" s="2812" t="s">
        <v>2896</v>
      </c>
      <c r="G20" s="937">
        <f ca="1">SUMIF(M15:P15,E2,M17:P17)</f>
        <v>5.1999999999999998E-2</v>
      </c>
      <c r="H20" s="2812" t="s">
        <v>2905</v>
      </c>
      <c r="I20" s="938">
        <f>SUMIF('数据-取费表'!C6:C15,E2,'数据-取费表'!F6:F15)/COUNTIF('数据-取费表'!C6:C15,E2)</f>
        <v>35.56</v>
      </c>
      <c r="J20" s="939">
        <f>IF(E2="住宅",70,IF(E2="商业",40,50))</f>
        <v>50</v>
      </c>
      <c r="K20" s="1380"/>
      <c r="L20" s="2813" t="s">
        <v>2906</v>
      </c>
      <c r="M20" s="1738">
        <f>ROUND(SUMPRODUCT((地价!A4:A23=YEAR(G19)&amp;"-"&amp;ROUNDUP(MONTH(G19)/3,0))*(地价!B2:F2=E2)*(地价!B4:F23)),0)</f>
        <v>336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3096</v>
      </c>
      <c r="C21" s="940">
        <f>IF(B21="容积率修正",IF(G3&lt;=10,D22,J22),C23)</f>
        <v>1.0216000000000001</v>
      </c>
      <c r="D21" s="2819"/>
      <c r="E21" s="2819"/>
      <c r="F21" s="2819"/>
      <c r="G21" s="2819"/>
      <c r="H21" s="2819"/>
      <c r="I21" s="2819"/>
      <c r="J21" s="2820"/>
      <c r="K21" s="1380"/>
      <c r="N21" s="2821" t="s">
        <v>2910</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3" t="s">
        <v>2913</v>
      </c>
      <c r="D22" s="1813">
        <f>IF(E22=G22,F22,IF(G3&lt;=10,ROUND(F22+(H22-F22)*(G3-E22)/(G22-E22),4),"——"))</f>
        <v>1.0216000000000001</v>
      </c>
      <c r="E22" s="916">
        <f>ROUNDDOWN(G3,1)</f>
        <v>2.2999999999999998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916">
        <f>ROUNDUP(G3,1)</f>
        <v>2.4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813" t="s">
        <v>155</v>
      </c>
      <c r="J22" s="941" t="str">
        <f>IF(G3&gt;10,D113,"——")</f>
        <v>——</v>
      </c>
      <c r="K22" s="1380"/>
      <c r="N22" s="2821" t="s">
        <v>2914</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0.99890000000000001</v>
      </c>
      <c r="D24" s="2799"/>
      <c r="E24" s="2829"/>
      <c r="F24" s="2829"/>
      <c r="G24" s="2829"/>
      <c r="H24" s="2829"/>
      <c r="I24" s="2829"/>
      <c r="J24" s="2830"/>
      <c r="K24" s="1380"/>
      <c r="N24" s="2831" t="s">
        <v>2919</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2922</v>
      </c>
      <c r="C26" s="206">
        <f ca="1">E29+SUM(E33:E39)</f>
        <v>65028</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11730</v>
      </c>
      <c r="D29" s="2851">
        <f>'数据-基础表'!I13</f>
        <v>55436.959999999999</v>
      </c>
      <c r="E29" s="945">
        <f ca="1">ROUND(C29*D29/10000,0)</f>
        <v>65028</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2933</v>
      </c>
      <c r="D30" s="2857"/>
      <c r="E30" s="945">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8" t="s">
        <v>2936</v>
      </c>
      <c r="B33" s="2867" t="s">
        <v>2937</v>
      </c>
      <c r="C33" s="206">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71" t="s">
        <v>2938</v>
      </c>
      <c r="C34" s="206">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71" t="s">
        <v>2939</v>
      </c>
      <c r="C35" s="206">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0"/>
      <c r="B36" s="2771" t="s">
        <v>2940</v>
      </c>
      <c r="C36" s="206">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2870</v>
      </c>
      <c r="D37" s="2851"/>
      <c r="E37" s="200">
        <f t="shared" ca="1" si="7"/>
        <v>0</v>
      </c>
      <c r="F37" s="206">
        <f>SUMIF(修正!A45:A56,G2,修正!F45:F56)</f>
        <v>0.25</v>
      </c>
      <c r="G37" s="200">
        <f ca="1">ROUND(IF(E2="工业",C37*$M$39,C37*$M$38),0)</f>
        <v>718</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2870</v>
      </c>
      <c r="D38" s="2851"/>
      <c r="E38" s="200">
        <f t="shared" ca="1" si="7"/>
        <v>0</v>
      </c>
      <c r="F38" s="206">
        <f>SUMIF(修正!A45:A56,G2,修正!G45:G56)</f>
        <v>0.25</v>
      </c>
      <c r="G38" s="200">
        <f ca="1">ROUND(IF(E2="工业",C38*$M$39,C38*$M$38),0)</f>
        <v>718</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2296</v>
      </c>
      <c r="D39" s="2857"/>
      <c r="E39" s="229">
        <f t="shared" ca="1" si="7"/>
        <v>0</v>
      </c>
      <c r="F39" s="935">
        <f>SUMIF(修正!A45:A56,G2,修正!H45:H56)</f>
        <v>0.2</v>
      </c>
      <c r="G39" s="229">
        <f ca="1">ROUND(IF(E2="工业",C39*$M$39,C39*$M$38),0)</f>
        <v>574</v>
      </c>
      <c r="H39" s="229">
        <f t="shared" si="8"/>
        <v>0</v>
      </c>
      <c r="I39" s="229">
        <f t="shared" ca="1" si="9"/>
        <v>0</v>
      </c>
      <c r="J39" s="2874"/>
      <c r="K39" s="1373"/>
      <c r="L39" s="2875" t="s">
        <v>2888</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2" t="s">
        <v>2949</v>
      </c>
      <c r="C47" s="1812" t="s">
        <v>2950</v>
      </c>
      <c r="D47" s="1812" t="s">
        <v>2951</v>
      </c>
      <c r="E47" s="819" t="s">
        <v>2952</v>
      </c>
      <c r="F47" s="2885" t="s">
        <v>2953</v>
      </c>
      <c r="G47" s="1812" t="s">
        <v>754</v>
      </c>
      <c r="H47" s="2886" t="s">
        <v>2954</v>
      </c>
      <c r="I47" s="1812"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2959</v>
      </c>
      <c r="B51" s="2889" t="s">
        <v>2960</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2962</v>
      </c>
      <c r="B53" s="2890" t="s">
        <v>2963</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2967</v>
      </c>
      <c r="B57" s="2881">
        <f>1+E59</f>
        <v>0.99890000000000001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2"/>
      <c r="C58" s="1812" t="s">
        <v>2950</v>
      </c>
      <c r="D58" s="1812" t="s">
        <v>2951</v>
      </c>
      <c r="E58" s="819" t="s">
        <v>2952</v>
      </c>
      <c r="F58" s="2885" t="s">
        <v>2968</v>
      </c>
      <c r="G58" s="1812" t="s">
        <v>754</v>
      </c>
      <c r="H58" s="2886" t="s">
        <v>2954</v>
      </c>
      <c r="I58" s="1812"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t="s">
        <v>3101</v>
      </c>
      <c r="D59" s="1289">
        <f t="shared" ref="D59:D67" si="15">SUMIF($J$58:$N$58,C59,J59:N59)</f>
        <v>-8.9999999999999998E-4</v>
      </c>
      <c r="E59" s="821">
        <f>ROUND(SUM(D59:D67),4)</f>
        <v>-1.1000000000000001E-3</v>
      </c>
      <c r="F59" s="2507">
        <f>IF(E2="办公",SUMIF(L1:L12,G2,N1:N12),"——")</f>
        <v>0.126</v>
      </c>
      <c r="G59" s="2962">
        <f t="shared" ref="G59:H67" si="16">IFERROR(ROUNDDOWN($F$59*H59/2,4),"——")</f>
        <v>8.9999999999999998E-4</v>
      </c>
      <c r="H59" s="1291">
        <f t="shared" si="16"/>
        <v>1.5100000000000001E-2</v>
      </c>
      <c r="I59" s="820">
        <v>0.24</v>
      </c>
      <c r="J59" s="1288">
        <f t="shared" ref="J59:J67" si="17">K59+$G59</f>
        <v>1.8E-3</v>
      </c>
      <c r="K59" s="1288">
        <f t="shared" ref="K59:K67" si="18">$L59+$G59</f>
        <v>8.9999999999999998E-4</v>
      </c>
      <c r="L59" s="1288">
        <v>0</v>
      </c>
      <c r="M59" s="1288">
        <f t="shared" ref="M59:N67" si="19">L59-$G59</f>
        <v>-8.9999999999999998E-4</v>
      </c>
      <c r="N59" s="1288">
        <f t="shared" si="19"/>
        <v>-1.8E-3</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t="s">
        <v>3097</v>
      </c>
      <c r="D60" s="1289">
        <f t="shared" si="15"/>
        <v>0</v>
      </c>
      <c r="E60" s="822"/>
      <c r="F60" s="2507"/>
      <c r="G60" s="2962">
        <f t="shared" si="16"/>
        <v>1.1000000000000001E-3</v>
      </c>
      <c r="H60" s="1291">
        <f t="shared" si="16"/>
        <v>1.89E-2</v>
      </c>
      <c r="I60" s="820">
        <v>0.3</v>
      </c>
      <c r="J60" s="1288">
        <f t="shared" si="17"/>
        <v>2.2000000000000001E-3</v>
      </c>
      <c r="K60" s="1288">
        <f t="shared" si="18"/>
        <v>1.1000000000000001E-3</v>
      </c>
      <c r="L60" s="1288">
        <v>0</v>
      </c>
      <c r="M60" s="1288">
        <f t="shared" si="19"/>
        <v>-1.1000000000000001E-3</v>
      </c>
      <c r="N60" s="1288">
        <f t="shared" si="19"/>
        <v>-2.2000000000000001E-3</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t="s">
        <v>3097</v>
      </c>
      <c r="D61" s="1289">
        <f t="shared" si="15"/>
        <v>0</v>
      </c>
      <c r="E61" s="822"/>
      <c r="F61" s="2507"/>
      <c r="G61" s="2962">
        <f t="shared" si="16"/>
        <v>2.9999999999999997E-4</v>
      </c>
      <c r="H61" s="1291">
        <f t="shared" si="16"/>
        <v>5.0000000000000001E-3</v>
      </c>
      <c r="I61" s="820">
        <v>0.08</v>
      </c>
      <c r="J61" s="1288">
        <f t="shared" si="17"/>
        <v>5.9999999999999995E-4</v>
      </c>
      <c r="K61" s="1288">
        <f t="shared" si="18"/>
        <v>2.9999999999999997E-4</v>
      </c>
      <c r="L61" s="1288">
        <v>0</v>
      </c>
      <c r="M61" s="1288">
        <f t="shared" si="19"/>
        <v>-2.9999999999999997E-4</v>
      </c>
      <c r="N61" s="1288">
        <f t="shared" si="19"/>
        <v>-5.9999999999999995E-4</v>
      </c>
      <c r="AA61" s="1374"/>
      <c r="AB61" s="1374"/>
      <c r="AC61" s="1374"/>
      <c r="AD61" s="1374"/>
      <c r="AE61" s="1374"/>
      <c r="AF61" s="1374"/>
      <c r="AG61" s="1374"/>
      <c r="AH61" s="1374"/>
      <c r="AI61" s="1374"/>
      <c r="AJ61" s="1374"/>
      <c r="AK61" s="1374"/>
    </row>
    <row r="62" spans="1:37" s="1373" customFormat="1" ht="36.75">
      <c r="A62" s="2884" t="s">
        <v>2959</v>
      </c>
      <c r="B62" s="2889" t="s">
        <v>2960</v>
      </c>
      <c r="C62" s="2776" t="s">
        <v>3097</v>
      </c>
      <c r="D62" s="1289">
        <f t="shared" si="15"/>
        <v>0</v>
      </c>
      <c r="E62" s="822"/>
      <c r="F62" s="2507"/>
      <c r="G62" s="2962">
        <f t="shared" si="16"/>
        <v>1E-4</v>
      </c>
      <c r="H62" s="1291">
        <f t="shared" si="16"/>
        <v>2.5000000000000001E-3</v>
      </c>
      <c r="I62" s="820">
        <v>0.04</v>
      </c>
      <c r="J62" s="1288">
        <f t="shared" si="17"/>
        <v>2.0000000000000001E-4</v>
      </c>
      <c r="K62" s="1288">
        <f t="shared" si="18"/>
        <v>1E-4</v>
      </c>
      <c r="L62" s="1288">
        <v>0</v>
      </c>
      <c r="M62" s="1288">
        <f t="shared" si="19"/>
        <v>-1E-4</v>
      </c>
      <c r="N62" s="1288">
        <f t="shared" si="19"/>
        <v>-2.0000000000000001E-4</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t="s">
        <v>3097</v>
      </c>
      <c r="D63" s="1289">
        <f t="shared" si="15"/>
        <v>0</v>
      </c>
      <c r="E63" s="822"/>
      <c r="F63" s="2507"/>
      <c r="G63" s="2962">
        <f t="shared" si="16"/>
        <v>1E-4</v>
      </c>
      <c r="H63" s="1291">
        <f t="shared" si="16"/>
        <v>3.0999999999999999E-3</v>
      </c>
      <c r="I63" s="820">
        <v>0.05</v>
      </c>
      <c r="J63" s="1288">
        <f t="shared" si="17"/>
        <v>2.0000000000000001E-4</v>
      </c>
      <c r="K63" s="1288">
        <f t="shared" si="18"/>
        <v>1E-4</v>
      </c>
      <c r="L63" s="1288">
        <v>0</v>
      </c>
      <c r="M63" s="1288">
        <f t="shared" si="19"/>
        <v>-1E-4</v>
      </c>
      <c r="N63" s="1288">
        <f t="shared" si="19"/>
        <v>-2.0000000000000001E-4</v>
      </c>
      <c r="AA63" s="1374"/>
      <c r="AB63" s="1374"/>
      <c r="AC63" s="1374"/>
      <c r="AD63" s="1374"/>
      <c r="AE63" s="1374"/>
      <c r="AF63" s="1374"/>
      <c r="AG63" s="1374"/>
      <c r="AH63" s="1374"/>
      <c r="AI63" s="1374"/>
      <c r="AJ63" s="1374"/>
      <c r="AK63" s="1374"/>
    </row>
    <row r="64" spans="1:37" s="1373" customFormat="1" ht="24">
      <c r="A64" s="2884" t="s">
        <v>2962</v>
      </c>
      <c r="B64" s="2890" t="s">
        <v>2963</v>
      </c>
      <c r="C64" s="2776" t="s">
        <v>3097</v>
      </c>
      <c r="D64" s="1289">
        <f t="shared" si="15"/>
        <v>0</v>
      </c>
      <c r="E64" s="822"/>
      <c r="F64" s="2507"/>
      <c r="G64" s="2962">
        <f t="shared" si="16"/>
        <v>1E-4</v>
      </c>
      <c r="H64" s="1291">
        <f t="shared" si="16"/>
        <v>3.0999999999999999E-3</v>
      </c>
      <c r="I64" s="820">
        <v>0.05</v>
      </c>
      <c r="J64" s="1288">
        <f t="shared" si="17"/>
        <v>2.0000000000000001E-4</v>
      </c>
      <c r="K64" s="1288">
        <f t="shared" si="18"/>
        <v>1E-4</v>
      </c>
      <c r="L64" s="1288">
        <v>0</v>
      </c>
      <c r="M64" s="1288">
        <f t="shared" si="19"/>
        <v>-1E-4</v>
      </c>
      <c r="N64" s="1288">
        <f t="shared" si="19"/>
        <v>-2.0000000000000001E-4</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t="s">
        <v>3101</v>
      </c>
      <c r="D65" s="1289">
        <f t="shared" si="15"/>
        <v>-2.0000000000000001E-4</v>
      </c>
      <c r="E65" s="822"/>
      <c r="F65" s="2507"/>
      <c r="G65" s="2962">
        <f t="shared" si="16"/>
        <v>2.0000000000000001E-4</v>
      </c>
      <c r="H65" s="1291">
        <f t="shared" si="16"/>
        <v>3.7000000000000002E-3</v>
      </c>
      <c r="I65" s="820">
        <v>0.06</v>
      </c>
      <c r="J65" s="1288">
        <f t="shared" si="17"/>
        <v>4.0000000000000002E-4</v>
      </c>
      <c r="K65" s="1288">
        <f t="shared" si="18"/>
        <v>2.0000000000000001E-4</v>
      </c>
      <c r="L65" s="1288">
        <v>0</v>
      </c>
      <c r="M65" s="1288">
        <f t="shared" si="19"/>
        <v>-2.0000000000000001E-4</v>
      </c>
      <c r="N65" s="1288">
        <f t="shared" si="19"/>
        <v>-4.0000000000000002E-4</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t="s">
        <v>3097</v>
      </c>
      <c r="D66" s="1289">
        <f t="shared" si="15"/>
        <v>0</v>
      </c>
      <c r="E66" s="822"/>
      <c r="F66" s="2507"/>
      <c r="G66" s="2962">
        <f t="shared" si="16"/>
        <v>4.0000000000000002E-4</v>
      </c>
      <c r="H66" s="1291">
        <f t="shared" si="16"/>
        <v>7.4999999999999997E-3</v>
      </c>
      <c r="I66" s="820">
        <v>0.12</v>
      </c>
      <c r="J66" s="1288">
        <f t="shared" si="17"/>
        <v>8.0000000000000004E-4</v>
      </c>
      <c r="K66" s="1288">
        <f t="shared" si="18"/>
        <v>4.0000000000000002E-4</v>
      </c>
      <c r="L66" s="1288">
        <v>0</v>
      </c>
      <c r="M66" s="1288">
        <f t="shared" si="19"/>
        <v>-4.0000000000000002E-4</v>
      </c>
      <c r="N66" s="1288">
        <f t="shared" si="19"/>
        <v>-8.0000000000000004E-4</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t="s">
        <v>3097</v>
      </c>
      <c r="D67" s="1289">
        <f t="shared" si="15"/>
        <v>0</v>
      </c>
      <c r="E67" s="825"/>
      <c r="F67" s="2507"/>
      <c r="G67" s="2962">
        <f t="shared" si="16"/>
        <v>2.0000000000000001E-4</v>
      </c>
      <c r="H67" s="1291">
        <f t="shared" si="16"/>
        <v>3.7000000000000002E-3</v>
      </c>
      <c r="I67" s="824">
        <v>0.06</v>
      </c>
      <c r="J67" s="1288">
        <f t="shared" si="17"/>
        <v>4.0000000000000002E-4</v>
      </c>
      <c r="K67" s="1288">
        <f t="shared" si="18"/>
        <v>2.0000000000000001E-4</v>
      </c>
      <c r="L67" s="1288">
        <v>0</v>
      </c>
      <c r="M67" s="1288">
        <f t="shared" si="19"/>
        <v>-2.0000000000000001E-4</v>
      </c>
      <c r="N67" s="1288">
        <f t="shared" si="19"/>
        <v>-4.0000000000000002E-4</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2"/>
      <c r="C69" s="1812" t="s">
        <v>2950</v>
      </c>
      <c r="D69" s="1812" t="s">
        <v>2951</v>
      </c>
      <c r="E69" s="819" t="s">
        <v>2952</v>
      </c>
      <c r="F69" s="2885" t="s">
        <v>2968</v>
      </c>
      <c r="G69" s="1812" t="s">
        <v>754</v>
      </c>
      <c r="H69" s="2886" t="s">
        <v>2954</v>
      </c>
      <c r="I69" s="1812"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2"/>
      <c r="C80" s="1812" t="s">
        <v>2950</v>
      </c>
      <c r="D80" s="1812" t="s">
        <v>2951</v>
      </c>
      <c r="E80" s="819" t="s">
        <v>2952</v>
      </c>
      <c r="F80" s="2885" t="s">
        <v>2968</v>
      </c>
      <c r="G80" s="1812" t="s">
        <v>754</v>
      </c>
      <c r="H80" s="2886" t="s">
        <v>2954</v>
      </c>
      <c r="I80" s="1812"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2" t="s">
        <v>2978</v>
      </c>
      <c r="B90" s="3262"/>
      <c r="C90" s="3262"/>
      <c r="D90" s="3262"/>
      <c r="E90" s="3262"/>
      <c r="F90" s="3262"/>
      <c r="G90" s="3262"/>
      <c r="H90" s="3262"/>
      <c r="I90" s="3262"/>
      <c r="J90" s="3262"/>
      <c r="K90" s="2898"/>
      <c r="L90" s="2898"/>
      <c r="M90" s="2898"/>
      <c r="N90" s="2898"/>
    </row>
    <row r="91" spans="1:37">
      <c r="A91" s="3264" t="s">
        <v>2979</v>
      </c>
      <c r="B91" s="3264" t="s">
        <v>2980</v>
      </c>
      <c r="C91" s="2852" t="s">
        <v>2981</v>
      </c>
      <c r="D91" s="2853"/>
      <c r="E91" s="2853"/>
      <c r="F91" s="2853"/>
      <c r="G91" s="2853"/>
      <c r="H91" s="2853"/>
      <c r="I91" s="2853"/>
      <c r="J91" s="2899"/>
      <c r="K91" s="2900"/>
      <c r="L91" s="2900"/>
      <c r="M91" s="2900"/>
      <c r="N91" s="2900"/>
    </row>
    <row r="92" spans="1:37">
      <c r="A92" s="3264"/>
      <c r="B92" s="3264"/>
      <c r="C92" s="945" t="s">
        <v>2847</v>
      </c>
      <c r="D92" s="945" t="s">
        <v>2848</v>
      </c>
      <c r="E92" s="945" t="s">
        <v>2849</v>
      </c>
      <c r="F92" s="945" t="s">
        <v>2850</v>
      </c>
      <c r="G92" s="945" t="s">
        <v>2851</v>
      </c>
      <c r="H92" s="945" t="s">
        <v>2852</v>
      </c>
      <c r="I92" s="945" t="s">
        <v>2853</v>
      </c>
      <c r="J92" s="945" t="s">
        <v>2854</v>
      </c>
      <c r="K92" s="945" t="s">
        <v>2855</v>
      </c>
      <c r="L92" s="945" t="s">
        <v>2856</v>
      </c>
      <c r="M92" s="945" t="s">
        <v>2857</v>
      </c>
      <c r="N92" s="945" t="s">
        <v>2858</v>
      </c>
    </row>
    <row r="93" spans="1:37">
      <c r="A93" s="326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6"/>
      <c r="B99" s="2901" t="s">
        <v>2863</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5" t="s">
        <v>2983</v>
      </c>
      <c r="B101" s="2905" t="s">
        <v>2984</v>
      </c>
      <c r="C101" s="2906">
        <f>$G$3</f>
        <v>2.34</v>
      </c>
      <c r="D101" s="2906">
        <f t="shared" ref="D101:N101" si="31">$G$3</f>
        <v>2.34</v>
      </c>
      <c r="E101" s="2906">
        <f t="shared" si="31"/>
        <v>2.34</v>
      </c>
      <c r="F101" s="2906">
        <f t="shared" si="31"/>
        <v>2.34</v>
      </c>
      <c r="G101" s="2906">
        <f t="shared" si="31"/>
        <v>2.34</v>
      </c>
      <c r="H101" s="2906">
        <f t="shared" si="31"/>
        <v>2.34</v>
      </c>
      <c r="I101" s="2906">
        <f t="shared" si="31"/>
        <v>2.34</v>
      </c>
      <c r="J101" s="2906">
        <f t="shared" si="31"/>
        <v>2.34</v>
      </c>
      <c r="K101" s="2906">
        <f t="shared" si="31"/>
        <v>2.34</v>
      </c>
      <c r="L101" s="2906">
        <f t="shared" si="31"/>
        <v>2.34</v>
      </c>
      <c r="M101" s="2906">
        <f t="shared" si="31"/>
        <v>2.34</v>
      </c>
      <c r="N101" s="2906">
        <f t="shared" si="31"/>
        <v>2.34</v>
      </c>
    </row>
    <row r="102" spans="1:14">
      <c r="A102" s="3266"/>
      <c r="B102" s="2901">
        <v>1</v>
      </c>
      <c r="C102" s="2902">
        <f>1.9362/C101</f>
        <v>0.82743589743589741</v>
      </c>
      <c r="D102" s="2902">
        <f>1.9362/D101</f>
        <v>0.82743589743589741</v>
      </c>
      <c r="E102" s="2902">
        <f>1.8629/E101</f>
        <v>0.79611111111111121</v>
      </c>
      <c r="F102" s="2902">
        <f>1.8629/F101</f>
        <v>0.79611111111111121</v>
      </c>
      <c r="G102" s="2902">
        <f>1.8629/G101</f>
        <v>0.79611111111111121</v>
      </c>
      <c r="H102" s="2902">
        <f>1.8629/H101</f>
        <v>0.79611111111111121</v>
      </c>
      <c r="I102" s="2902">
        <f>1.8629/I101</f>
        <v>0.79611111111111121</v>
      </c>
      <c r="J102" s="2902">
        <f>1.942/J101</f>
        <v>0.82991452991452996</v>
      </c>
      <c r="K102" s="2902">
        <f>1.942/K101</f>
        <v>0.82991452991452996</v>
      </c>
      <c r="L102" s="2902">
        <f>1.942/L101</f>
        <v>0.82991452991452996</v>
      </c>
      <c r="M102" s="2902">
        <f>1.942/M101</f>
        <v>0.82991452991452996</v>
      </c>
      <c r="N102" s="2902">
        <f>1.942/N101</f>
        <v>0.82991452991452996</v>
      </c>
    </row>
    <row r="103" spans="1:14">
      <c r="A103" s="3266"/>
      <c r="B103" s="2901">
        <v>2</v>
      </c>
      <c r="C103" s="2902">
        <f>1.4198/C101</f>
        <v>0.60675213675213679</v>
      </c>
      <c r="D103" s="2902">
        <f>1.4198/D101</f>
        <v>0.60675213675213679</v>
      </c>
      <c r="E103" s="2902">
        <f>1.3372/E101</f>
        <v>0.57145299145299144</v>
      </c>
      <c r="F103" s="2902">
        <f>1.3372/F101</f>
        <v>0.57145299145299144</v>
      </c>
      <c r="G103" s="2902">
        <f>1.3372/G101</f>
        <v>0.57145299145299144</v>
      </c>
      <c r="H103" s="2902">
        <f>1.3372/H101</f>
        <v>0.57145299145299144</v>
      </c>
      <c r="I103" s="2902">
        <f>1.3372/I101</f>
        <v>0.57145299145299144</v>
      </c>
      <c r="J103" s="2902">
        <f>1.2799/J101</f>
        <v>0.54696581196581207</v>
      </c>
      <c r="K103" s="2902">
        <f>1.2799/K101</f>
        <v>0.54696581196581207</v>
      </c>
      <c r="L103" s="2902">
        <f>1.2799/L101</f>
        <v>0.54696581196581207</v>
      </c>
      <c r="M103" s="2902">
        <f>1.2799/M101</f>
        <v>0.54696581196581207</v>
      </c>
      <c r="N103" s="2902">
        <f>1.2799/N101</f>
        <v>0.54696581196581207</v>
      </c>
    </row>
    <row r="104" spans="1:14">
      <c r="A104" s="3266"/>
      <c r="B104" s="2901">
        <v>3</v>
      </c>
      <c r="C104" s="2902">
        <f>1.1594/C101</f>
        <v>0.49547008547008548</v>
      </c>
      <c r="D104" s="2902">
        <f>1.1594/D101</f>
        <v>0.49547008547008548</v>
      </c>
      <c r="E104" s="2902">
        <f>1.0788/E101</f>
        <v>0.46102564102564103</v>
      </c>
      <c r="F104" s="2902">
        <f>1.0788/F101</f>
        <v>0.46102564102564103</v>
      </c>
      <c r="G104" s="2902">
        <f>1.0788/G101</f>
        <v>0.46102564102564103</v>
      </c>
      <c r="H104" s="2902">
        <f>1.0788/H101</f>
        <v>0.46102564102564103</v>
      </c>
      <c r="I104" s="2902">
        <f>1.0788/I101</f>
        <v>0.46102564102564103</v>
      </c>
      <c r="J104" s="2902">
        <f>1.0072/J101</f>
        <v>0.43042735042735047</v>
      </c>
      <c r="K104" s="2902">
        <f>1.0072/K101</f>
        <v>0.43042735042735047</v>
      </c>
      <c r="L104" s="2902">
        <f>1.0072/L101</f>
        <v>0.43042735042735047</v>
      </c>
      <c r="M104" s="2902">
        <f>1.0072/M101</f>
        <v>0.43042735042735047</v>
      </c>
      <c r="N104" s="2902">
        <f>1.0072/N101</f>
        <v>0.43042735042735047</v>
      </c>
    </row>
    <row r="105" spans="1:14">
      <c r="A105" s="3266"/>
      <c r="B105" s="2901">
        <v>4</v>
      </c>
      <c r="C105" s="2902">
        <f>0.9622/C101</f>
        <v>0.41119658119658126</v>
      </c>
      <c r="D105" s="2902">
        <f>0.9622/D101</f>
        <v>0.41119658119658126</v>
      </c>
      <c r="E105" s="2902">
        <f>0.8656/E101</f>
        <v>0.36991452991452994</v>
      </c>
      <c r="F105" s="2902">
        <f>0.8656/F101</f>
        <v>0.36991452991452994</v>
      </c>
      <c r="G105" s="2902">
        <f>0.8656/G101</f>
        <v>0.36991452991452994</v>
      </c>
      <c r="H105" s="2902">
        <f>0.8656/H101</f>
        <v>0.36991452991452994</v>
      </c>
      <c r="I105" s="2902">
        <f>0.8656/I101</f>
        <v>0.36991452991452994</v>
      </c>
      <c r="J105" s="2902">
        <f>0.7525/J101</f>
        <v>0.3215811965811966</v>
      </c>
      <c r="K105" s="2902">
        <f>0.7525/K101</f>
        <v>0.3215811965811966</v>
      </c>
      <c r="L105" s="2902">
        <f>0.7525/L101</f>
        <v>0.3215811965811966</v>
      </c>
      <c r="M105" s="2902">
        <f>0.7525/M101</f>
        <v>0.3215811965811966</v>
      </c>
      <c r="N105" s="2902">
        <f>0.7525/N101</f>
        <v>0.3215811965811966</v>
      </c>
    </row>
    <row r="106" spans="1:14">
      <c r="A106" s="3266"/>
      <c r="B106" s="2901">
        <v>5</v>
      </c>
      <c r="C106" s="2902">
        <f>0.8417/C101</f>
        <v>0.35970085470085472</v>
      </c>
      <c r="D106" s="2902">
        <f>0.8417/D101</f>
        <v>0.35970085470085472</v>
      </c>
      <c r="E106" s="2902">
        <f>0.7371/E101</f>
        <v>0.315</v>
      </c>
      <c r="F106" s="2902">
        <f>0.7371/F101</f>
        <v>0.315</v>
      </c>
      <c r="G106" s="2902">
        <f>0.7371/G101</f>
        <v>0.315</v>
      </c>
      <c r="H106" s="2902">
        <f>0.7371/H101</f>
        <v>0.315</v>
      </c>
      <c r="I106" s="2902">
        <f>0.7371/I101</f>
        <v>0.315</v>
      </c>
      <c r="J106" s="2902">
        <f>0.5659/J101</f>
        <v>0.24183760683760683</v>
      </c>
      <c r="K106" s="2902">
        <f>0.5659/K101</f>
        <v>0.24183760683760683</v>
      </c>
      <c r="L106" s="2902">
        <f>0.5659/L101</f>
        <v>0.24183760683760683</v>
      </c>
      <c r="M106" s="2902">
        <f>0.5659/M101</f>
        <v>0.24183760683760683</v>
      </c>
      <c r="N106" s="2902">
        <f>0.5659/N101</f>
        <v>0.24183760683760683</v>
      </c>
    </row>
    <row r="107" spans="1:14">
      <c r="A107" s="3266"/>
      <c r="B107" s="2901">
        <v>6</v>
      </c>
      <c r="C107" s="2902">
        <f>0.7608/C101</f>
        <v>0.32512820512820517</v>
      </c>
      <c r="D107" s="2902">
        <f>0.7608/D101</f>
        <v>0.32512820512820517</v>
      </c>
      <c r="E107" s="2902">
        <f>0.6482/E101</f>
        <v>0.27700854700854705</v>
      </c>
      <c r="F107" s="2902">
        <f>0.6482/F101</f>
        <v>0.27700854700854705</v>
      </c>
      <c r="G107" s="2902">
        <f>0.6482/G101</f>
        <v>0.27700854700854705</v>
      </c>
      <c r="H107" s="2902">
        <f>0.6482/H101</f>
        <v>0.27700854700854705</v>
      </c>
      <c r="I107" s="2902">
        <f>0.6482/I101</f>
        <v>0.27700854700854705</v>
      </c>
      <c r="J107" s="2902">
        <f>0.4525/J101</f>
        <v>0.19337606837606838</v>
      </c>
      <c r="K107" s="2902">
        <f>0.4525/K101</f>
        <v>0.19337606837606838</v>
      </c>
      <c r="L107" s="2902">
        <f>0.4525/L101</f>
        <v>0.19337606837606838</v>
      </c>
      <c r="M107" s="2902">
        <f>0.4525/M101</f>
        <v>0.19337606837606838</v>
      </c>
      <c r="N107" s="2902">
        <f>0.4525/N101</f>
        <v>0.19337606837606838</v>
      </c>
    </row>
    <row r="108" spans="1:14">
      <c r="A108" s="3266"/>
      <c r="B108" s="3122"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7"/>
      <c r="B109" s="3123"/>
      <c r="C109" s="2904">
        <f>(-0.163*(C108^2)-0.59*C108+7617)*(10^(-4))/C101</f>
        <v>0.32551282051282054</v>
      </c>
      <c r="D109" s="2904">
        <f>(-0.163*(D108^2)-0.59*D108+7617)*(10^(-4))/D101</f>
        <v>0.32551282051282054</v>
      </c>
      <c r="E109" s="2904">
        <f>(-0.161*(E108^2)-7.509*E108+6533)*(10^(-4))/E101</f>
        <v>0.27918803418803423</v>
      </c>
      <c r="F109" s="2904">
        <f>(-0.161*(F108^2)-7.509*F108+6533)*(10^(-4))/F101</f>
        <v>0.27918803418803423</v>
      </c>
      <c r="G109" s="2904">
        <f>(-0.161*(G108^2)-7.509*G108+6533)*(10^(-4))/G101</f>
        <v>0.27918803418803423</v>
      </c>
      <c r="H109" s="2904">
        <f>(-0.161*(H108^2)-7.509*H108+6533)*(10^(-4))/H101</f>
        <v>0.27918803418803423</v>
      </c>
      <c r="I109" s="2904">
        <f>(-0.161*(I108^2)-7.509*I108+6533)*(10^(-4))/I101</f>
        <v>0.27918803418803423</v>
      </c>
      <c r="J109" s="2904">
        <f>(-0.214*(J108^2)-21.991*J108+4665)*(10^(-4))/J101</f>
        <v>0.19935897435897437</v>
      </c>
      <c r="K109" s="2904">
        <f>(-0.214*(K108^2)-21.991*K108+4665)*(10^(-4))/K101</f>
        <v>0.19935897435897437</v>
      </c>
      <c r="L109" s="2904">
        <f>(-0.214*(L108^2)-21.991*L108+4665)*(10^(-4))/L101</f>
        <v>0.19935897435897437</v>
      </c>
      <c r="M109" s="2904">
        <f>(-0.214*(M108^2)-21.991*M108+4665)*(10^(-4))/M101</f>
        <v>0.19935897435897437</v>
      </c>
      <c r="N109" s="2904">
        <f>(-0.214*(N108^2)-21.991*N108+4665)*(10^(-4))/N101</f>
        <v>0.19935897435897437</v>
      </c>
    </row>
    <row r="110" spans="1:14">
      <c r="A110" s="3263" t="s">
        <v>2986</v>
      </c>
      <c r="B110" s="3263"/>
      <c r="C110" s="3263"/>
      <c r="D110" s="3263"/>
      <c r="E110" s="3263"/>
      <c r="F110" s="3263"/>
      <c r="G110" s="3263"/>
      <c r="H110" s="3263"/>
      <c r="I110" s="3263"/>
      <c r="J110" s="3263"/>
      <c r="K110" s="2907"/>
      <c r="L110" s="2907"/>
      <c r="M110" s="2907"/>
      <c r="N110" s="2907"/>
    </row>
    <row r="112" spans="1:14" ht="13.5" thickBot="1"/>
    <row r="113" spans="1:13" ht="25.5" thickBot="1">
      <c r="A113" s="903" t="s">
        <v>2987</v>
      </c>
      <c r="B113" s="1290">
        <f>G3</f>
        <v>2.34</v>
      </c>
      <c r="C113" s="904" t="s">
        <v>2988</v>
      </c>
      <c r="D113" s="905">
        <f>SUMPRODUCT((A115:A118=F113)*(B114:M114=H113)*B115:M118)</f>
        <v>0.82630000000000003</v>
      </c>
      <c r="E113" s="2730" t="s">
        <v>2820</v>
      </c>
      <c r="F113" s="2909" t="str">
        <f>E2</f>
        <v>办公</v>
      </c>
      <c r="G113" s="2730" t="s">
        <v>2821</v>
      </c>
      <c r="H113" s="2909" t="str">
        <f>G2</f>
        <v>六级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2885</v>
      </c>
      <c r="B115" s="910">
        <f>ROUND(0.9335-0.0094*B113,4)</f>
        <v>0.91149999999999998</v>
      </c>
      <c r="C115" s="910">
        <f>B115</f>
        <v>0.91149999999999998</v>
      </c>
      <c r="D115" s="910">
        <f>ROUND(0.8331-0.0109*B113,4)</f>
        <v>0.80759999999999998</v>
      </c>
      <c r="E115" s="910">
        <f>D115</f>
        <v>0.80759999999999998</v>
      </c>
      <c r="F115" s="910">
        <f>E115</f>
        <v>0.80759999999999998</v>
      </c>
      <c r="G115" s="910">
        <f>F115</f>
        <v>0.80759999999999998</v>
      </c>
      <c r="H115" s="910">
        <f>G115</f>
        <v>0.80759999999999998</v>
      </c>
      <c r="I115" s="910">
        <f>ROUND(0.689-0.0155*B113,4)</f>
        <v>0.65269999999999995</v>
      </c>
      <c r="J115" s="910">
        <f t="shared" ref="J115:M118" si="33">I115</f>
        <v>0.65269999999999995</v>
      </c>
      <c r="K115" s="910">
        <f t="shared" si="33"/>
        <v>0.65269999999999995</v>
      </c>
      <c r="L115" s="910">
        <f t="shared" si="33"/>
        <v>0.65269999999999995</v>
      </c>
      <c r="M115" s="911">
        <f t="shared" si="33"/>
        <v>0.65269999999999995</v>
      </c>
    </row>
    <row r="116" spans="1:13">
      <c r="A116" s="909" t="s">
        <v>2886</v>
      </c>
      <c r="B116" s="910">
        <f>ROUND(0.949-0.012*B113,4)</f>
        <v>0.92090000000000005</v>
      </c>
      <c r="C116" s="910">
        <f>B116</f>
        <v>0.92090000000000005</v>
      </c>
      <c r="D116" s="910">
        <f>ROUND(0.8567-0.013*B113,4)</f>
        <v>0.82630000000000003</v>
      </c>
      <c r="E116" s="910">
        <f t="shared" ref="E116:H117" si="34">D116</f>
        <v>0.82630000000000003</v>
      </c>
      <c r="F116" s="910">
        <f t="shared" si="34"/>
        <v>0.82630000000000003</v>
      </c>
      <c r="G116" s="910">
        <f t="shared" si="34"/>
        <v>0.82630000000000003</v>
      </c>
      <c r="H116" s="910">
        <f t="shared" si="34"/>
        <v>0.82630000000000003</v>
      </c>
      <c r="I116" s="910">
        <f>ROUND(0.7694-0.014*B113,4)</f>
        <v>0.73660000000000003</v>
      </c>
      <c r="J116" s="910">
        <f t="shared" si="33"/>
        <v>0.73660000000000003</v>
      </c>
      <c r="K116" s="910">
        <f t="shared" si="33"/>
        <v>0.73660000000000003</v>
      </c>
      <c r="L116" s="910">
        <f t="shared" si="33"/>
        <v>0.73660000000000003</v>
      </c>
      <c r="M116" s="911">
        <f t="shared" si="33"/>
        <v>0.73660000000000003</v>
      </c>
    </row>
    <row r="117" spans="1:13">
      <c r="A117" s="909" t="s">
        <v>2887</v>
      </c>
      <c r="B117" s="910">
        <f>ROUND(0.8808-0.006*B113,4)</f>
        <v>0.86680000000000001</v>
      </c>
      <c r="C117" s="910">
        <f>B117</f>
        <v>0.86680000000000001</v>
      </c>
      <c r="D117" s="910">
        <f>ROUND(0.8748-0.008*B113,4)</f>
        <v>0.85609999999999997</v>
      </c>
      <c r="E117" s="910">
        <f t="shared" si="34"/>
        <v>0.85609999999999997</v>
      </c>
      <c r="F117" s="910">
        <f t="shared" si="34"/>
        <v>0.85609999999999997</v>
      </c>
      <c r="G117" s="910">
        <f t="shared" si="34"/>
        <v>0.85609999999999997</v>
      </c>
      <c r="H117" s="910">
        <f t="shared" si="34"/>
        <v>0.85609999999999997</v>
      </c>
      <c r="I117" s="910">
        <f>ROUND(0.7412-0.0095*B113,4)</f>
        <v>0.71899999999999997</v>
      </c>
      <c r="J117" s="910">
        <f t="shared" si="33"/>
        <v>0.71899999999999997</v>
      </c>
      <c r="K117" s="910">
        <f t="shared" si="33"/>
        <v>0.71899999999999997</v>
      </c>
      <c r="L117" s="910">
        <f t="shared" si="33"/>
        <v>0.71899999999999997</v>
      </c>
      <c r="M117" s="911">
        <f t="shared" si="33"/>
        <v>0.71899999999999997</v>
      </c>
    </row>
    <row r="118" spans="1:13" ht="13.5" thickBot="1">
      <c r="A118" s="714" t="s">
        <v>2888</v>
      </c>
      <c r="B118" s="912">
        <f>ROUND(0.7275-0.01*B113,4)</f>
        <v>0.70409999999999995</v>
      </c>
      <c r="C118" s="912">
        <f>B118</f>
        <v>0.70409999999999995</v>
      </c>
      <c r="D118" s="912">
        <f>ROUND(0.7043-0.012*B113,4)</f>
        <v>0.67620000000000002</v>
      </c>
      <c r="E118" s="912">
        <f>D118</f>
        <v>0.67620000000000002</v>
      </c>
      <c r="F118" s="912">
        <f>E118</f>
        <v>0.67620000000000002</v>
      </c>
      <c r="G118" s="912">
        <f>ROUND(0.6299-0.0122*B113,4)</f>
        <v>0.60140000000000005</v>
      </c>
      <c r="H118" s="912">
        <f>G118</f>
        <v>0.60140000000000005</v>
      </c>
      <c r="I118" s="912">
        <f>ROUND(0.5667-0.0136*B113,4)</f>
        <v>0.53490000000000004</v>
      </c>
      <c r="J118" s="912">
        <f t="shared" si="33"/>
        <v>0.53490000000000004</v>
      </c>
      <c r="K118" s="912">
        <f t="shared" si="33"/>
        <v>0.53490000000000004</v>
      </c>
      <c r="L118" s="912">
        <f t="shared" si="33"/>
        <v>0.53490000000000004</v>
      </c>
      <c r="M118" s="913">
        <f t="shared" si="33"/>
        <v>0.53490000000000004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7" workbookViewId="0">
      <selection activeCell="C23" sqref="C23:D23"/>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1.0271999999999999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3009</v>
      </c>
    </row>
    <row r="2" spans="1:5" ht="15.75">
      <c r="A2" s="2916" t="s">
        <v>3001</v>
      </c>
      <c r="B2" s="2917">
        <f ca="1">SUMIF(B6:B13,"&lt;&gt;#ref!",B6:B13)</f>
        <v>65028</v>
      </c>
      <c r="C2" s="2916" t="s">
        <v>3002</v>
      </c>
      <c r="D2" s="2916" t="s">
        <v>3003</v>
      </c>
      <c r="E2" s="2917">
        <f ca="1">SUMIF(E6:E13,"&lt;&gt;#ref!",E6:E13)</f>
        <v>55436.959999999999</v>
      </c>
    </row>
    <row r="3" spans="1:5" ht="15.75">
      <c r="A3" s="2916" t="s">
        <v>3004</v>
      </c>
      <c r="B3" s="2917">
        <f ca="1">ROUND(B2*10000/E2,0)</f>
        <v>11730</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f ca="1">SUMIF(INDIRECT("'"&amp;A6&amp;"'"&amp;"!A:A"),"总价",INDIRECT("'"&amp;A6&amp;"'"&amp;"!B:B"))</f>
        <v>65028</v>
      </c>
      <c r="C6" s="2916" t="s">
        <v>3002</v>
      </c>
      <c r="D6" s="2918"/>
      <c r="E6" s="2581">
        <f ca="1">SUMIF(INDIRECT("'"&amp;A6&amp;"'"&amp;"!C:C"),"建筑面积",INDIRECT("'"&amp;A6&amp;"'"&amp;"!D:D"))</f>
        <v>55436.959999999999</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1150</v>
      </c>
      <c r="C1" s="3277"/>
      <c r="D1" s="3277"/>
      <c r="E1" s="3277"/>
      <c r="F1" s="3277"/>
      <c r="G1" s="3276" t="s">
        <v>1151</v>
      </c>
      <c r="H1" s="3276"/>
      <c r="I1" s="3276"/>
      <c r="J1" s="3276"/>
      <c r="K1" s="3276"/>
      <c r="L1" s="3276"/>
      <c r="N1" s="3276" t="s">
        <v>1152</v>
      </c>
      <c r="O1" s="3276"/>
      <c r="P1" s="3276"/>
      <c r="Q1" s="3276"/>
      <c r="R1" s="1449"/>
      <c r="S1" s="3276" t="s">
        <v>1153</v>
      </c>
      <c r="T1" s="3276"/>
      <c r="U1" s="3276"/>
      <c r="V1" s="3276"/>
      <c r="X1" s="3275" t="s">
        <v>1154</v>
      </c>
      <c r="Y1" s="3276"/>
      <c r="Z1" s="3276"/>
      <c r="AA1" s="3276"/>
      <c r="AB1" s="3276"/>
      <c r="AD1" s="3275" t="s">
        <v>1155</v>
      </c>
      <c r="AE1" s="3276"/>
      <c r="AF1" s="3276"/>
      <c r="AG1" s="3276"/>
      <c r="AH1" s="327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3044</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3045</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3052</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3043</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3040</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3041</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4"/>
      <c r="B4" s="2967" t="s">
        <v>1630</v>
      </c>
      <c r="C4" s="2967"/>
      <c r="D4" s="2967"/>
      <c r="E4" s="1964"/>
    </row>
    <row r="5" spans="1:5" ht="16.5" thickTop="1">
      <c r="A5" s="1962"/>
      <c r="B5" s="2965" t="s">
        <v>1622</v>
      </c>
      <c r="C5" s="1965" t="s">
        <v>1623</v>
      </c>
      <c r="D5" s="1043">
        <f ca="1">结果表!H101</f>
        <v>93406</v>
      </c>
      <c r="E5" s="1962"/>
    </row>
    <row r="6" spans="1:5" ht="15.75">
      <c r="A6" s="1962"/>
      <c r="B6" s="2965"/>
      <c r="C6" s="1965" t="s">
        <v>1624</v>
      </c>
      <c r="D6" s="1043" t="str">
        <f ca="1">NUMBERSTRING(INT(D5*10000),2)&amp;"元整"</f>
        <v>玖亿叁仟肆佰零陆万元整</v>
      </c>
      <c r="E6" s="1962"/>
    </row>
    <row r="7" spans="1:5" ht="15.75">
      <c r="A7" s="1962"/>
      <c r="B7" s="2970"/>
      <c r="C7" s="1966" t="s">
        <v>1625</v>
      </c>
      <c r="D7" s="1044">
        <f ca="1">结果表!H102</f>
        <v>15179</v>
      </c>
      <c r="E7" s="1962"/>
    </row>
    <row r="8" spans="1:5" ht="15.75">
      <c r="A8" s="1962"/>
      <c r="B8" s="2971" t="str">
        <f>结果表!E103</f>
        <v>2.估价师知悉的法定优先受偿款</v>
      </c>
      <c r="C8" s="1967" t="s">
        <v>1626</v>
      </c>
      <c r="D8" s="1044">
        <f>结果表!H103</f>
        <v>0</v>
      </c>
      <c r="E8" s="1962"/>
    </row>
    <row r="9" spans="1:5" ht="15.75">
      <c r="A9" s="1962"/>
      <c r="B9" s="297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4" t="str">
        <f>结果表!E107</f>
        <v>3.房地产抵押价值</v>
      </c>
      <c r="C13" s="1970" t="s">
        <v>1623</v>
      </c>
      <c r="D13" s="1046">
        <f ca="1">结果表!H107</f>
        <v>93406</v>
      </c>
      <c r="E13" s="1962"/>
    </row>
    <row r="14" spans="1:5" ht="15.75">
      <c r="A14" s="1962"/>
      <c r="B14" s="2965"/>
      <c r="C14" s="1965" t="s">
        <v>1624</v>
      </c>
      <c r="D14" s="1043" t="str">
        <f ca="1">NUMBERSTRING(INT(D13*10000),2)&amp;"元整"</f>
        <v>玖亿叁仟肆佰零陆万元整</v>
      </c>
      <c r="E14" s="1962"/>
    </row>
    <row r="15" spans="1:5" ht="15">
      <c r="A15" s="1962"/>
      <c r="B15" s="2970"/>
      <c r="C15" s="1966" t="s">
        <v>1634</v>
      </c>
      <c r="D15" s="1055">
        <f ca="1">结果表!H108</f>
        <v>15179</v>
      </c>
      <c r="E15" s="1962"/>
    </row>
    <row r="16" spans="1:5" ht="15">
      <c r="A16" s="1962"/>
      <c r="B16" s="2971" t="str">
        <f>结果表!E109</f>
        <v>——</v>
      </c>
      <c r="C16" s="1970" t="s">
        <v>1635</v>
      </c>
      <c r="D16" s="1971" t="str">
        <f>结果表!H109</f>
        <v>——</v>
      </c>
      <c r="E16" s="1962"/>
    </row>
    <row r="17" spans="1:5" ht="15.75">
      <c r="A17" s="1962"/>
      <c r="B17" s="2972"/>
      <c r="C17" s="1965" t="s">
        <v>1636</v>
      </c>
      <c r="D17" s="1043" t="e">
        <f>NUMBERSTRING(INT(D16*10000),2)&amp;"元整"</f>
        <v>#VALUE!</v>
      </c>
      <c r="E17" s="1962"/>
    </row>
    <row r="18" spans="1:5" ht="15">
      <c r="A18" s="1962"/>
      <c r="B18" s="2973"/>
      <c r="C18" s="1966" t="s">
        <v>1625</v>
      </c>
      <c r="D18" s="1055" t="str">
        <f>结果表!H110</f>
        <v>——</v>
      </c>
      <c r="E18" s="1962"/>
    </row>
    <row r="19" spans="1:5" ht="15.75">
      <c r="A19" s="1962"/>
      <c r="B19" s="2964" t="str">
        <f>结果表!E111</f>
        <v>——</v>
      </c>
      <c r="C19" s="1970" t="s">
        <v>1623</v>
      </c>
      <c r="D19" s="1044" t="str">
        <f>结果表!H111</f>
        <v>——</v>
      </c>
      <c r="E19" s="1962"/>
    </row>
    <row r="20" spans="1:5" ht="15.75">
      <c r="A20" s="1962"/>
      <c r="B20" s="2965"/>
      <c r="C20" s="1965" t="s">
        <v>1636</v>
      </c>
      <c r="D20" s="1043" t="e">
        <f>NUMBERSTRING(INT(D19*10000),2)&amp;"元整"</f>
        <v>#VALUE!</v>
      </c>
      <c r="E20" s="1962"/>
    </row>
    <row r="21" spans="1:5" ht="15.75" thickBot="1">
      <c r="A21" s="1962"/>
      <c r="B21" s="296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83" t="s">
        <v>3012</v>
      </c>
      <c r="D1" s="3284"/>
      <c r="E1" s="3284"/>
      <c r="F1" s="3284"/>
      <c r="G1" s="3284"/>
      <c r="H1" s="3284"/>
      <c r="I1" s="3284"/>
      <c r="J1" s="3284"/>
      <c r="K1" s="3284"/>
      <c r="L1" s="3284"/>
      <c r="M1" s="3284"/>
      <c r="N1" s="3284"/>
      <c r="O1" s="3284"/>
      <c r="P1" s="3284"/>
      <c r="Q1" s="3284"/>
      <c r="R1" s="3284"/>
      <c r="S1" s="3285"/>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44" t="s">
        <v>33</v>
      </c>
      <c r="D22" s="3145"/>
      <c r="E22" s="3145"/>
      <c r="F22" s="3145"/>
      <c r="G22" s="3145"/>
      <c r="H22" s="3145"/>
      <c r="I22" s="3145"/>
      <c r="J22" s="3145"/>
      <c r="K22" s="3145"/>
      <c r="L22" s="3145"/>
      <c r="M22" s="3145"/>
      <c r="N22" s="3145"/>
      <c r="O22" s="3145"/>
      <c r="P22" s="3145"/>
      <c r="Q22" s="3282"/>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65835</v>
      </c>
      <c r="C2" s="2" t="s">
        <v>133</v>
      </c>
      <c r="D2" s="243"/>
      <c r="E2" s="243"/>
      <c r="F2" s="243"/>
      <c r="G2" s="243"/>
    </row>
    <row r="3" spans="1:7" s="244" customFormat="1" ht="18" customHeight="1" thickBot="1">
      <c r="A3" s="247" t="s">
        <v>85</v>
      </c>
      <c r="B3" s="248">
        <f ca="1">ROUND(B2*10000/'数据-汇总表'!E3,0)</f>
        <v>10698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20601</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601</v>
      </c>
      <c r="D7" s="264"/>
      <c r="E7" s="262"/>
      <c r="F7" s="265">
        <f>'数据-取费表'!B48+'数据-取费表'!B49</f>
        <v>3.005E-2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1231</v>
      </c>
      <c r="D10" s="1035">
        <f>'数据-汇总表'!E6</f>
        <v>61537.21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1231</v>
      </c>
      <c r="D19" s="1039">
        <f>'数据-汇总表'!E3</f>
        <v>61537.21</v>
      </c>
      <c r="E19" s="255">
        <f>'数据-取费表'!B31</f>
        <v>200</v>
      </c>
      <c r="F19" s="275"/>
      <c r="G19" s="1" t="s">
        <v>1074</v>
      </c>
    </row>
    <row r="20" spans="1:7" s="258" customFormat="1" ht="13.5" customHeight="1">
      <c r="A20" s="951" t="s">
        <v>1057</v>
      </c>
      <c r="B20" s="254" t="s">
        <v>104</v>
      </c>
      <c r="C20" s="276">
        <f>ROUND((C5+C19)*F20,0)</f>
        <v>437</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2145</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120</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2227</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2227</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29173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31782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28959</v>
      </c>
      <c r="D34" s="261"/>
      <c r="E34" s="264"/>
      <c r="F34" s="301">
        <f>IF('数据-取费表'!B24=0,1,'数据-取费表'!N16)</f>
        <v>1</v>
      </c>
      <c r="G34" s="263" t="s">
        <v>116</v>
      </c>
    </row>
    <row r="35" spans="1:7" ht="13.5" customHeight="1">
      <c r="A35" s="954" t="s">
        <v>796</v>
      </c>
      <c r="B35" s="259" t="s">
        <v>60</v>
      </c>
      <c r="C35" s="264">
        <f>ROUND(C34*F35,0)</f>
        <v>1158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1231</v>
      </c>
      <c r="D37" s="261">
        <f>'数据-汇总表'!E3</f>
        <v>61537.21</v>
      </c>
      <c r="E37" s="293">
        <f>'数据-取费表'!B35</f>
        <v>200</v>
      </c>
      <c r="F37" s="303"/>
      <c r="G37" s="305" t="s">
        <v>119</v>
      </c>
    </row>
    <row r="38" spans="1:7" ht="13.5" customHeight="1">
      <c r="A38" s="954" t="s">
        <v>799</v>
      </c>
      <c r="B38" s="259" t="s">
        <v>63</v>
      </c>
      <c r="C38" s="264">
        <f>ROUND(C34*F38,0)</f>
        <v>434</v>
      </c>
      <c r="D38" s="264"/>
      <c r="E38" s="264"/>
      <c r="F38" s="303">
        <f>'数据-取费表'!B36</f>
        <v>1.4999999999999999E-2</v>
      </c>
      <c r="G38" s="263" t="s">
        <v>117</v>
      </c>
    </row>
    <row r="39" spans="1:7" s="258" customFormat="1" ht="13.5" customHeight="1">
      <c r="A39" s="951" t="s">
        <v>783</v>
      </c>
      <c r="B39" s="254" t="s">
        <v>104</v>
      </c>
      <c r="C39" s="276">
        <f>ROUND(C33*F20,0)</f>
        <v>636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1540</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1510</v>
      </c>
      <c r="D42" s="282"/>
      <c r="E42" s="282"/>
      <c r="F42" s="283"/>
      <c r="G42" s="3149" t="s">
        <v>121</v>
      </c>
    </row>
    <row r="43" spans="1:7" ht="13.5" customHeight="1">
      <c r="A43" s="954" t="s">
        <v>792</v>
      </c>
      <c r="B43" s="259" t="s">
        <v>1064</v>
      </c>
      <c r="C43" s="282">
        <f ca="1">ROUND(IF('数据-取费表'!B22&lt;=1,C39*F22*'数据-取费表'!B21/2,C39*(POWER((1+F22),'数据-取费表'!B21/2)-1)),0)</f>
        <v>30</v>
      </c>
      <c r="D43" s="282"/>
      <c r="E43" s="282"/>
      <c r="F43" s="283"/>
      <c r="G43" s="3150"/>
    </row>
    <row r="44" spans="1:7" ht="13.5" customHeight="1">
      <c r="A44" s="954" t="s">
        <v>793</v>
      </c>
      <c r="B44" s="259" t="s">
        <v>1066</v>
      </c>
      <c r="C44" s="282">
        <f ca="1">ROUND(IF('数据-取费表'!B22&lt;=1,C40*F22*'数据-取费表'!B21/2,C40*(POWER((1+F22),'数据-取费表'!B21/2)-1)),4)</f>
        <v>1.4E-3</v>
      </c>
      <c r="D44" s="282"/>
      <c r="E44" s="282"/>
      <c r="F44" s="283"/>
      <c r="G44" s="3151"/>
    </row>
    <row r="45" spans="1:7" s="258" customFormat="1" ht="13.5" customHeight="1">
      <c r="A45" s="951" t="s">
        <v>786</v>
      </c>
      <c r="B45" s="288" t="s">
        <v>112</v>
      </c>
      <c r="C45" s="289">
        <f>C46</f>
        <v>3242</v>
      </c>
      <c r="D45" s="279">
        <f>C47</f>
        <v>3.0000000000000001E-3</v>
      </c>
      <c r="E45" s="280" t="s">
        <v>129</v>
      </c>
      <c r="F45" s="290"/>
      <c r="G45" s="291" t="s">
        <v>1072</v>
      </c>
    </row>
    <row r="46" spans="1:7" s="258" customFormat="1" ht="13.5" customHeight="1">
      <c r="A46" s="954" t="s">
        <v>794</v>
      </c>
      <c r="B46" s="292" t="s">
        <v>1065</v>
      </c>
      <c r="C46" s="293">
        <f>ROUND((C33+C39)*F27,0)</f>
        <v>3242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40735</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36662</v>
      </c>
      <c r="D51" s="276"/>
      <c r="E51" s="276"/>
      <c r="F51" s="308"/>
      <c r="G51" s="278" t="s">
        <v>64</v>
      </c>
    </row>
    <row r="52" spans="1:7" s="252" customFormat="1" ht="16.5" thickBot="1">
      <c r="A52" s="309" t="s">
        <v>65</v>
      </c>
      <c r="B52" s="310"/>
      <c r="C52" s="311">
        <f ca="1">C31+C51</f>
        <v>65835</v>
      </c>
      <c r="D52" s="310"/>
      <c r="E52" s="310"/>
      <c r="F52" s="310"/>
      <c r="G52" s="312"/>
    </row>
    <row r="55" spans="1:7" ht="15">
      <c r="B55" s="314" t="s">
        <v>66</v>
      </c>
      <c r="C55" s="315"/>
    </row>
    <row r="56" spans="1:7">
      <c r="B56" s="317" t="s">
        <v>67</v>
      </c>
      <c r="C56" s="318">
        <f ca="1">ROUND(C51/C52,3)</f>
        <v>0.55700000000000005</v>
      </c>
    </row>
    <row r="57" spans="1:7">
      <c r="B57" s="317" t="s">
        <v>68</v>
      </c>
      <c r="C57" s="319">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61537.21</v>
      </c>
      <c r="C4" s="1047">
        <f>项目基本情况!C18</f>
        <v>23731.26</v>
      </c>
      <c r="D4" s="1047" t="e">
        <f ca="1">结果表!D118</f>
        <v>#REF!</v>
      </c>
      <c r="E4" s="1047" t="e">
        <f ca="1">结果表!E118</f>
        <v>#REF!</v>
      </c>
      <c r="F4" s="1047" t="e">
        <f ca="1">结果表!F118</f>
        <v>#REF!</v>
      </c>
      <c r="G4" s="1047" t="e">
        <f ca="1">结果表!G118</f>
        <v>#REF!</v>
      </c>
      <c r="H4" s="1047">
        <f ca="1">结果表!H118</f>
        <v>93406</v>
      </c>
      <c r="I4" s="1047">
        <f ca="1">结果表!I118</f>
        <v>15179</v>
      </c>
    </row>
    <row r="5" spans="1:9" ht="30" customHeight="1">
      <c r="A5" s="2978" t="s">
        <v>1640</v>
      </c>
      <c r="B5" s="2978"/>
      <c r="C5" s="2978"/>
      <c r="D5" s="2979" t="e">
        <f ca="1">结果表!D119</f>
        <v>#REF!</v>
      </c>
      <c r="E5" s="2979"/>
      <c r="F5" s="2979" t="e">
        <f ca="1">结果表!F119</f>
        <v>#REF!</v>
      </c>
      <c r="G5" s="2979"/>
      <c r="H5" s="2979" t="str">
        <f ca="1">结果表!H119</f>
        <v>玖亿叁仟肆佰零陆万元整</v>
      </c>
      <c r="I5" s="2979"/>
    </row>
    <row r="6" spans="1:9" ht="15.75">
      <c r="A6" s="2977" t="str">
        <f>结果表!A120</f>
        <v/>
      </c>
      <c r="B6" s="2977"/>
      <c r="C6" s="2977"/>
      <c r="D6" s="2977">
        <f>结果表!D120</f>
        <v>0</v>
      </c>
      <c r="E6" s="2977"/>
      <c r="F6" s="2977"/>
      <c r="G6" s="2977"/>
      <c r="H6" s="2977"/>
      <c r="I6" s="2977"/>
    </row>
    <row r="7" spans="1:9" ht="15">
      <c r="A7" s="2978" t="s">
        <v>1640</v>
      </c>
      <c r="B7" s="2978"/>
      <c r="C7" s="2978"/>
      <c r="D7" s="2980" t="str">
        <f>结果表!D121</f>
        <v>零元整</v>
      </c>
      <c r="E7" s="2981"/>
      <c r="F7" s="2981"/>
      <c r="G7" s="2981"/>
      <c r="H7" s="2981"/>
      <c r="I7" s="2982"/>
    </row>
    <row r="8" spans="1:9" ht="15.75">
      <c r="A8" s="2977" t="str">
        <f>结果表!A122</f>
        <v/>
      </c>
      <c r="B8" s="2977"/>
      <c r="C8" s="2977"/>
      <c r="D8" s="2977">
        <f ca="1">结果表!D122</f>
        <v>93406</v>
      </c>
      <c r="E8" s="2977"/>
      <c r="F8" s="2977"/>
      <c r="G8" s="2977"/>
      <c r="H8" s="2977"/>
      <c r="I8" s="2977"/>
    </row>
    <row r="9" spans="1:9" ht="15">
      <c r="A9" s="2978" t="s">
        <v>1640</v>
      </c>
      <c r="B9" s="2978"/>
      <c r="C9" s="2978"/>
      <c r="D9" s="2979" t="str">
        <f ca="1">结果表!D123</f>
        <v>玖亿叁仟肆佰零陆万元整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1640</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1662</v>
      </c>
      <c r="B1" s="2991"/>
      <c r="C1" s="2991"/>
      <c r="D1" s="2991"/>
    </row>
    <row r="2" spans="1:4" ht="18">
      <c r="A2" s="2992" t="s">
        <v>1646</v>
      </c>
      <c r="B2" s="2992"/>
      <c r="C2" s="2992"/>
      <c r="D2" s="2992"/>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92" t="s">
        <v>1652</v>
      </c>
      <c r="B6" s="2992"/>
      <c r="C6" s="2992"/>
      <c r="D6" s="299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3"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1656</v>
      </c>
      <c r="B16" s="2987"/>
      <c r="C16" s="2987"/>
      <c r="D16" s="2987"/>
    </row>
    <row r="17" spans="1:4" ht="144" customHeight="1">
      <c r="A17" s="2987" t="s">
        <v>1657</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1658</v>
      </c>
      <c r="B22" s="2989"/>
      <c r="C22" s="2989"/>
      <c r="D22" s="298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9" t="s">
        <v>1669</v>
      </c>
      <c r="B15" s="2994" t="s">
        <v>136</v>
      </c>
      <c r="C15" s="2995"/>
    </row>
    <row r="16" spans="1:7" ht="13.5">
      <c r="A16" s="3000"/>
      <c r="B16" s="2994" t="s">
        <v>69</v>
      </c>
      <c r="C16" s="2995"/>
    </row>
    <row r="17" spans="1:3" ht="13.5">
      <c r="A17" s="3000"/>
      <c r="B17" s="2997" t="s">
        <v>1670</v>
      </c>
      <c r="C17" s="2003" t="s">
        <v>1669</v>
      </c>
    </row>
    <row r="18" spans="1:3" ht="13.5">
      <c r="A18" s="3000"/>
      <c r="B18" s="2997"/>
      <c r="C18" s="2003" t="s">
        <v>1671</v>
      </c>
    </row>
    <row r="19" spans="1:3" ht="13.5">
      <c r="A19" s="3000"/>
      <c r="B19" s="2997"/>
      <c r="C19" s="2003" t="s">
        <v>1672</v>
      </c>
    </row>
    <row r="20" spans="1:3" ht="13.5">
      <c r="A20" s="3001"/>
      <c r="B20" s="2996" t="s">
        <v>1673</v>
      </c>
      <c r="C20" s="2995"/>
    </row>
    <row r="21" spans="1:3" ht="13.5">
      <c r="A21" s="2004" t="s">
        <v>1674</v>
      </c>
      <c r="B21" s="2005"/>
      <c r="C21" s="2006"/>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2003" t="s">
        <v>1680</v>
      </c>
    </row>
    <row r="26" spans="1:3" ht="13.5">
      <c r="A26" s="2998"/>
      <c r="B26" s="2997"/>
      <c r="C26" s="2003" t="s">
        <v>1681</v>
      </c>
    </row>
    <row r="27" spans="1:3" ht="13.5">
      <c r="A27" s="2998"/>
      <c r="B27" s="2997"/>
      <c r="C27" s="2003" t="s">
        <v>1682</v>
      </c>
    </row>
    <row r="28" spans="1:3" ht="13.5">
      <c r="A28" s="2998"/>
      <c r="B28" s="2997"/>
      <c r="C28" s="2003" t="s">
        <v>1683</v>
      </c>
    </row>
    <row r="29" spans="1:3" ht="13.5">
      <c r="A29" s="2998"/>
      <c r="B29" s="2997"/>
      <c r="C29" s="2003" t="s">
        <v>1684</v>
      </c>
    </row>
    <row r="30" spans="1:3" ht="13.5">
      <c r="A30" s="2998"/>
      <c r="B30" s="2997"/>
      <c r="C30" s="2003" t="s">
        <v>1685</v>
      </c>
    </row>
    <row r="31" spans="1:3" ht="13.5">
      <c r="A31" s="2998"/>
      <c r="B31" s="2997"/>
      <c r="C31" s="2003" t="s">
        <v>1686</v>
      </c>
    </row>
    <row r="32" spans="1:3" ht="13.5">
      <c r="A32" s="2998"/>
      <c r="B32" s="2997"/>
      <c r="C32" s="2003" t="s">
        <v>1687</v>
      </c>
    </row>
    <row r="33" spans="1:3" ht="13.5">
      <c r="A33" s="2998"/>
      <c r="B33" s="299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3050</v>
      </c>
      <c r="B12" s="1025">
        <v>1120110054</v>
      </c>
      <c r="C12" s="2946">
        <v>43937</v>
      </c>
      <c r="D12" s="1705" t="s">
        <v>3050</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收益法 (车位)</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(车位)'!Print_Area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2018-09-11T09:38:54Z</dcterms:modified>
</cp:coreProperties>
</file>