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租金" sheetId="80" r:id="rId44"/>
    <sheet name="办公面积明细" sheetId="77" r:id="rId45"/>
    <sheet name="典型户型修正" sheetId="31" r:id="rId46"/>
    <sheet name="案例" sheetId="78" r:id="rId47"/>
    <sheet name="租金案例" sheetId="81" r:id="rId48"/>
  </sheets>
  <externalReferences>
    <externalReference r:id="rId49"/>
    <externalReference r:id="rId50"/>
    <externalReference r:id="rId51"/>
  </externalReferences>
  <definedNames>
    <definedName name="_xlnm._FilterDatabase" localSheetId="21"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 localSheetId="43">[1]定义!$M$1:$M$6</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'比较法-办公租金'!$B$113:$M$113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C15" i="74"/>
  <c r="B16" i="74"/>
  <c r="B15" i="74"/>
  <c r="D16" i="74" l="1"/>
  <c r="G16" i="74" s="1"/>
  <c r="G15" i="74" l="1"/>
  <c r="D15" i="74"/>
  <c r="A90" i="31" l="1"/>
  <c r="A24" i="31"/>
  <c r="A89" i="31"/>
  <c r="D3" i="80"/>
  <c r="C7" i="80"/>
  <c r="F8" i="80"/>
  <c r="H8" i="80"/>
  <c r="U8" i="80" s="1"/>
  <c r="J8" i="80"/>
  <c r="S8" i="80"/>
  <c r="W8" i="80"/>
  <c r="AA8" i="80"/>
  <c r="AB8" i="80"/>
  <c r="AC8" i="80"/>
  <c r="Q9" i="80"/>
  <c r="Z9" i="80"/>
  <c r="F10" i="80"/>
  <c r="H10" i="80"/>
  <c r="J10" i="80"/>
  <c r="Q10" i="80"/>
  <c r="S10" i="80"/>
  <c r="U10" i="80"/>
  <c r="W10" i="80"/>
  <c r="Z10" i="80"/>
  <c r="AA10" i="80"/>
  <c r="AB10" i="80"/>
  <c r="AC10" i="80"/>
  <c r="F11" i="80"/>
  <c r="H11" i="80"/>
  <c r="J11" i="80"/>
  <c r="Q11" i="80"/>
  <c r="S11" i="80"/>
  <c r="U11" i="80"/>
  <c r="W11" i="80"/>
  <c r="Z11" i="80"/>
  <c r="AA11" i="80"/>
  <c r="AB11" i="80"/>
  <c r="AC11" i="80"/>
  <c r="Q12" i="80"/>
  <c r="Z12" i="80"/>
  <c r="Q13" i="80"/>
  <c r="Z13" i="80"/>
  <c r="Q14" i="80"/>
  <c r="Z14" i="80"/>
  <c r="C15" i="80"/>
  <c r="F15" i="80"/>
  <c r="H15" i="80"/>
  <c r="J15" i="80"/>
  <c r="Q15" i="80"/>
  <c r="S15" i="80"/>
  <c r="U15" i="80"/>
  <c r="W15" i="80"/>
  <c r="Z15" i="80"/>
  <c r="AA15" i="80"/>
  <c r="AB15" i="80"/>
  <c r="AC15" i="80"/>
  <c r="C17" i="80"/>
  <c r="F17" i="80"/>
  <c r="H17" i="80"/>
  <c r="J17" i="80"/>
  <c r="Q17" i="80"/>
  <c r="S17" i="80"/>
  <c r="U17" i="80"/>
  <c r="W17" i="80"/>
  <c r="Z17" i="80"/>
  <c r="AA17" i="80"/>
  <c r="AB17" i="80"/>
  <c r="AC17" i="80"/>
  <c r="C19" i="80"/>
  <c r="F19" i="80"/>
  <c r="H19" i="80"/>
  <c r="J19" i="80"/>
  <c r="Q19" i="80"/>
  <c r="S19" i="80"/>
  <c r="U19" i="80"/>
  <c r="W19" i="80"/>
  <c r="Z19" i="80"/>
  <c r="AA19" i="80"/>
  <c r="AB19" i="80"/>
  <c r="AC19" i="80"/>
  <c r="C21" i="80"/>
  <c r="F21" i="80"/>
  <c r="H21" i="80"/>
  <c r="J21" i="80"/>
  <c r="Q21" i="80"/>
  <c r="S21" i="80"/>
  <c r="U21" i="80"/>
  <c r="W21" i="80"/>
  <c r="Z21" i="80"/>
  <c r="AA21" i="80"/>
  <c r="AB21" i="80"/>
  <c r="AC21" i="80"/>
  <c r="C23" i="80"/>
  <c r="F23" i="80"/>
  <c r="H23" i="80"/>
  <c r="J23" i="80"/>
  <c r="Q23" i="80"/>
  <c r="S23" i="80"/>
  <c r="U23" i="80"/>
  <c r="W23" i="80"/>
  <c r="Z23" i="80"/>
  <c r="AA23" i="80"/>
  <c r="AB23" i="80"/>
  <c r="AC23" i="80"/>
  <c r="F25" i="80"/>
  <c r="H25" i="80"/>
  <c r="J25" i="80"/>
  <c r="Q25" i="80"/>
  <c r="S25" i="80"/>
  <c r="U25" i="80"/>
  <c r="W25" i="80"/>
  <c r="Z25" i="80"/>
  <c r="AA25" i="80"/>
  <c r="AB25" i="80"/>
  <c r="AC25" i="80"/>
  <c r="Q27" i="80"/>
  <c r="Z27" i="80"/>
  <c r="Q28" i="80"/>
  <c r="Z28" i="80"/>
  <c r="Q29" i="80"/>
  <c r="Z29" i="80"/>
  <c r="Q30" i="80"/>
  <c r="Z30" i="80"/>
  <c r="Q31" i="80"/>
  <c r="Z31" i="80"/>
  <c r="Q32" i="80"/>
  <c r="Z32" i="80"/>
  <c r="F33" i="80"/>
  <c r="H33" i="80"/>
  <c r="J33" i="80"/>
  <c r="Q33" i="80"/>
  <c r="S33" i="80"/>
  <c r="U33" i="80"/>
  <c r="W33" i="80"/>
  <c r="Z33" i="80"/>
  <c r="AA33" i="80"/>
  <c r="AB33" i="80"/>
  <c r="AC33" i="80"/>
  <c r="C34" i="80"/>
  <c r="F34" i="80" s="1"/>
  <c r="S34" i="80" s="1"/>
  <c r="H34" i="80"/>
  <c r="U34" i="80" s="1"/>
  <c r="Q34" i="80"/>
  <c r="Z34" i="80"/>
  <c r="F35" i="80"/>
  <c r="H35" i="80"/>
  <c r="J35" i="80"/>
  <c r="Q35" i="80"/>
  <c r="S35" i="80"/>
  <c r="U35" i="80"/>
  <c r="W35" i="80"/>
  <c r="Z35" i="80"/>
  <c r="AA35" i="80"/>
  <c r="AB35" i="80"/>
  <c r="AC35" i="80"/>
  <c r="F36" i="80"/>
  <c r="AA36" i="80" s="1"/>
  <c r="H36" i="80"/>
  <c r="U36" i="80" s="1"/>
  <c r="J36" i="80"/>
  <c r="W36" i="80" s="1"/>
  <c r="Q36" i="80"/>
  <c r="Z36" i="80"/>
  <c r="Q37" i="80"/>
  <c r="Z37" i="80"/>
  <c r="F38" i="80"/>
  <c r="H38" i="80"/>
  <c r="J38" i="80"/>
  <c r="Q38" i="80"/>
  <c r="S38" i="80"/>
  <c r="U38" i="80"/>
  <c r="W38" i="80"/>
  <c r="Z38" i="80"/>
  <c r="AA38" i="80"/>
  <c r="AB38" i="80"/>
  <c r="AC38" i="80"/>
  <c r="F39" i="80"/>
  <c r="H39" i="80"/>
  <c r="J39" i="80"/>
  <c r="Q39" i="80"/>
  <c r="S39" i="80"/>
  <c r="U39" i="80"/>
  <c r="W39" i="80"/>
  <c r="Z39" i="80"/>
  <c r="AA39" i="80"/>
  <c r="AB39" i="80"/>
  <c r="AC39" i="80"/>
  <c r="F40" i="80"/>
  <c r="H40" i="80"/>
  <c r="J40" i="80"/>
  <c r="Q40" i="80"/>
  <c r="S40" i="80"/>
  <c r="U40" i="80"/>
  <c r="W40" i="80"/>
  <c r="Z40" i="80"/>
  <c r="AA40" i="80"/>
  <c r="AB40" i="80"/>
  <c r="AC40" i="80"/>
  <c r="F41" i="80"/>
  <c r="H41" i="80"/>
  <c r="J41" i="80"/>
  <c r="Q41" i="80"/>
  <c r="S41" i="80"/>
  <c r="U41" i="80"/>
  <c r="W41" i="80"/>
  <c r="Z41" i="80"/>
  <c r="AA41" i="80"/>
  <c r="AB41" i="80"/>
  <c r="AC41" i="80"/>
  <c r="F42" i="80"/>
  <c r="H42" i="80"/>
  <c r="J42" i="80"/>
  <c r="Q42" i="80"/>
  <c r="S42" i="80"/>
  <c r="U42" i="80"/>
  <c r="W42" i="80"/>
  <c r="Z42" i="80"/>
  <c r="AA42" i="80"/>
  <c r="AB42" i="80"/>
  <c r="AC42" i="80"/>
  <c r="Q43" i="80"/>
  <c r="Z43" i="80"/>
  <c r="F44" i="80"/>
  <c r="H44" i="80"/>
  <c r="J44" i="80"/>
  <c r="Q44" i="80"/>
  <c r="S44" i="80"/>
  <c r="U44" i="80"/>
  <c r="W44" i="80"/>
  <c r="Z44" i="80"/>
  <c r="AA44" i="80"/>
  <c r="AB44" i="80"/>
  <c r="AC44" i="80"/>
  <c r="Q45" i="80"/>
  <c r="Z45" i="80" s="1"/>
  <c r="Q46" i="80"/>
  <c r="Z46" i="80"/>
  <c r="Q47" i="80"/>
  <c r="Z47" i="80"/>
  <c r="P48" i="80"/>
  <c r="R48" i="80"/>
  <c r="T48" i="80"/>
  <c r="V48" i="80"/>
  <c r="P49" i="80"/>
  <c r="P50" i="80"/>
  <c r="E55" i="80"/>
  <c r="F55" i="80" s="1"/>
  <c r="G55" i="80"/>
  <c r="H55" i="80" s="1"/>
  <c r="I55" i="80"/>
  <c r="J55" i="80" s="1"/>
  <c r="C59" i="80"/>
  <c r="C64" i="80"/>
  <c r="F67" i="80"/>
  <c r="G67" i="80" s="1"/>
  <c r="H67" i="80"/>
  <c r="I67" i="80" s="1"/>
  <c r="C68" i="80"/>
  <c r="D68" i="80"/>
  <c r="E68" i="80"/>
  <c r="F68" i="80"/>
  <c r="G68" i="80"/>
  <c r="H68" i="80"/>
  <c r="I68" i="80"/>
  <c r="J68" i="80"/>
  <c r="K68" i="80"/>
  <c r="L68" i="80"/>
  <c r="M68" i="80"/>
  <c r="D70" i="80"/>
  <c r="E70" i="80"/>
  <c r="F70" i="80" s="1"/>
  <c r="G70" i="80" s="1"/>
  <c r="H70" i="80" s="1"/>
  <c r="I70" i="80" s="1"/>
  <c r="J70" i="80" s="1"/>
  <c r="K70" i="80" s="1"/>
  <c r="L70" i="80" s="1"/>
  <c r="M70" i="80" s="1"/>
  <c r="B71" i="80"/>
  <c r="B73" i="80"/>
  <c r="B75" i="80"/>
  <c r="D78" i="80"/>
  <c r="E78" i="80" s="1"/>
  <c r="F78" i="80" s="1"/>
  <c r="G78" i="80" s="1"/>
  <c r="D80" i="80"/>
  <c r="E80" i="80" s="1"/>
  <c r="F80" i="80" s="1"/>
  <c r="G80" i="80" s="1"/>
  <c r="D82" i="80"/>
  <c r="E82" i="80" s="1"/>
  <c r="F82" i="80" s="1"/>
  <c r="G82" i="80" s="1"/>
  <c r="D84" i="80"/>
  <c r="E84" i="80" s="1"/>
  <c r="F84" i="80" s="1"/>
  <c r="G84" i="80" s="1"/>
  <c r="D86" i="80"/>
  <c r="E86" i="80" s="1"/>
  <c r="F86" i="80" s="1"/>
  <c r="G86" i="80" s="1"/>
  <c r="D88" i="80"/>
  <c r="E88" i="80" s="1"/>
  <c r="F88" i="80" s="1"/>
  <c r="G88" i="80" s="1"/>
  <c r="H88" i="80" s="1"/>
  <c r="I88" i="80" s="1"/>
  <c r="J88" i="80" s="1"/>
  <c r="K88" i="80" s="1"/>
  <c r="L88" i="80" s="1"/>
  <c r="M88" i="80" s="1"/>
  <c r="B89" i="80"/>
  <c r="D90" i="80"/>
  <c r="E90" i="80" s="1"/>
  <c r="F90" i="80" s="1"/>
  <c r="G90" i="80" s="1"/>
  <c r="H90" i="80" s="1"/>
  <c r="I90" i="80" s="1"/>
  <c r="J90" i="80" s="1"/>
  <c r="K90" i="80" s="1"/>
  <c r="L90" i="80" s="1"/>
  <c r="M90" i="80" s="1"/>
  <c r="B91" i="80"/>
  <c r="D92" i="80"/>
  <c r="E92" i="80" s="1"/>
  <c r="F92" i="80"/>
  <c r="G92" i="80" s="1"/>
  <c r="H92" i="80" s="1"/>
  <c r="I92" i="80" s="1"/>
  <c r="J92" i="80" s="1"/>
  <c r="K92" i="80" s="1"/>
  <c r="L92" i="80" s="1"/>
  <c r="M92" i="80" s="1"/>
  <c r="B93" i="80"/>
  <c r="B95" i="80"/>
  <c r="B97" i="80"/>
  <c r="B99" i="80"/>
  <c r="D102" i="80"/>
  <c r="E102" i="80" s="1"/>
  <c r="F102" i="80" s="1"/>
  <c r="G102" i="80" s="1"/>
  <c r="H102" i="80" s="1"/>
  <c r="I102" i="80" s="1"/>
  <c r="J102" i="80" s="1"/>
  <c r="K102" i="80" s="1"/>
  <c r="L102" i="80" s="1"/>
  <c r="M102" i="80" s="1"/>
  <c r="C103" i="80"/>
  <c r="D103" i="80"/>
  <c r="E103" i="80"/>
  <c r="F103" i="80"/>
  <c r="G103" i="80"/>
  <c r="H103" i="80"/>
  <c r="I103" i="80"/>
  <c r="J103" i="80"/>
  <c r="K103" i="80"/>
  <c r="L103" i="80"/>
  <c r="M103" i="80"/>
  <c r="D107" i="80"/>
  <c r="E107" i="80"/>
  <c r="F107" i="80" s="1"/>
  <c r="G107" i="80" s="1"/>
  <c r="H107" i="80" s="1"/>
  <c r="I107" i="80" s="1"/>
  <c r="J107" i="80" s="1"/>
  <c r="K107" i="80" s="1"/>
  <c r="L107" i="80" s="1"/>
  <c r="M107" i="80" s="1"/>
  <c r="D109" i="80"/>
  <c r="E109" i="80"/>
  <c r="F109" i="80" s="1"/>
  <c r="G109" i="80" s="1"/>
  <c r="H109" i="80" s="1"/>
  <c r="I109" i="80" s="1"/>
  <c r="J109" i="80" s="1"/>
  <c r="K109" i="80" s="1"/>
  <c r="L109" i="80" s="1"/>
  <c r="M109" i="80" s="1"/>
  <c r="C110" i="80"/>
  <c r="D110" i="80"/>
  <c r="E110" i="80"/>
  <c r="F110" i="80"/>
  <c r="G110" i="80"/>
  <c r="D112" i="80"/>
  <c r="E112" i="80" s="1"/>
  <c r="F112" i="80" s="1"/>
  <c r="G112" i="80" s="1"/>
  <c r="D114" i="80"/>
  <c r="E114" i="80" s="1"/>
  <c r="F114" i="80"/>
  <c r="G114" i="80" s="1"/>
  <c r="H114" i="80" s="1"/>
  <c r="I114" i="80" s="1"/>
  <c r="J114" i="80" s="1"/>
  <c r="K114" i="80" s="1"/>
  <c r="L114" i="80" s="1"/>
  <c r="M114" i="80" s="1"/>
  <c r="D116" i="80"/>
  <c r="E116" i="80" s="1"/>
  <c r="F116" i="80" s="1"/>
  <c r="G116" i="80" s="1"/>
  <c r="H116" i="80" s="1"/>
  <c r="I116" i="80" s="1"/>
  <c r="J116" i="80" s="1"/>
  <c r="K116" i="80" s="1"/>
  <c r="L116" i="80" s="1"/>
  <c r="M116" i="80" s="1"/>
  <c r="D118" i="80"/>
  <c r="E118" i="80" s="1"/>
  <c r="F118" i="80" s="1"/>
  <c r="G118" i="80" s="1"/>
  <c r="D120" i="80"/>
  <c r="E120" i="80" s="1"/>
  <c r="F120" i="80" s="1"/>
  <c r="G120" i="80" s="1"/>
  <c r="H120" i="80" s="1"/>
  <c r="I120" i="80" s="1"/>
  <c r="J120" i="80" s="1"/>
  <c r="K120" i="80" s="1"/>
  <c r="L120" i="80" s="1"/>
  <c r="M120" i="80" s="1"/>
  <c r="D124" i="80"/>
  <c r="E124" i="80" s="1"/>
  <c r="D126" i="80"/>
  <c r="E126" i="80" s="1"/>
  <c r="F126" i="80" s="1"/>
  <c r="G126" i="80" s="1"/>
  <c r="B127" i="80"/>
  <c r="B129" i="80"/>
  <c r="B131" i="80"/>
  <c r="H47" i="80" s="1"/>
  <c r="D2" i="80"/>
  <c r="AB34" i="80" l="1"/>
  <c r="J34" i="80"/>
  <c r="W34" i="80" s="1"/>
  <c r="AA34" i="80"/>
  <c r="AB36" i="80"/>
  <c r="S36" i="80"/>
  <c r="AC36" i="80"/>
  <c r="H43" i="80"/>
  <c r="F124" i="80"/>
  <c r="U47" i="80"/>
  <c r="AB47" i="80"/>
  <c r="F37" i="80"/>
  <c r="J37" i="80"/>
  <c r="H37" i="80"/>
  <c r="H112" i="80"/>
  <c r="I112" i="80" s="1"/>
  <c r="J112" i="80" s="1"/>
  <c r="K112" i="80" s="1"/>
  <c r="L112" i="80" s="1"/>
  <c r="M112" i="80" s="1"/>
  <c r="F45" i="80"/>
  <c r="J45" i="80"/>
  <c r="H45" i="80"/>
  <c r="H46" i="80"/>
  <c r="J46" i="80"/>
  <c r="F31" i="80"/>
  <c r="J31" i="80"/>
  <c r="H31" i="80"/>
  <c r="F29" i="80"/>
  <c r="J29" i="80"/>
  <c r="H29" i="80"/>
  <c r="H13" i="80"/>
  <c r="F13" i="80"/>
  <c r="J13" i="80"/>
  <c r="J7" i="80"/>
  <c r="D59" i="80"/>
  <c r="E59" i="80" s="1"/>
  <c r="F59" i="80" s="1"/>
  <c r="G59" i="80" s="1"/>
  <c r="H59" i="80" s="1"/>
  <c r="I59" i="80" s="1"/>
  <c r="J59" i="80" s="1"/>
  <c r="K59" i="80" s="1"/>
  <c r="L59" i="80" s="1"/>
  <c r="M59" i="80" s="1"/>
  <c r="N59" i="80" s="1"/>
  <c r="O59" i="80" s="1"/>
  <c r="H7" i="80" s="1"/>
  <c r="F47" i="80"/>
  <c r="J47" i="80"/>
  <c r="F27" i="80"/>
  <c r="J27" i="80"/>
  <c r="H27" i="80"/>
  <c r="F46" i="80"/>
  <c r="H32" i="80"/>
  <c r="F32" i="80"/>
  <c r="J32" i="80"/>
  <c r="H30" i="80"/>
  <c r="F30" i="80"/>
  <c r="J30" i="80"/>
  <c r="H28" i="80"/>
  <c r="F28" i="80"/>
  <c r="J28" i="80"/>
  <c r="F14" i="80"/>
  <c r="J14" i="80"/>
  <c r="H14" i="80"/>
  <c r="F12" i="80"/>
  <c r="J12" i="80"/>
  <c r="H12" i="80"/>
  <c r="H9" i="80"/>
  <c r="F9" i="80"/>
  <c r="J9" i="80"/>
  <c r="AC34" i="80" l="1"/>
  <c r="AB7" i="80"/>
  <c r="U7" i="80"/>
  <c r="W9" i="80"/>
  <c r="AC9" i="80"/>
  <c r="U9" i="80"/>
  <c r="AB9" i="80"/>
  <c r="W12" i="80"/>
  <c r="AC12" i="80"/>
  <c r="U14" i="80"/>
  <c r="AB14" i="80"/>
  <c r="S14" i="80"/>
  <c r="AA14" i="80"/>
  <c r="S28" i="80"/>
  <c r="AA28" i="80"/>
  <c r="W30" i="80"/>
  <c r="AC30" i="80"/>
  <c r="U30" i="80"/>
  <c r="AB30" i="80"/>
  <c r="S32" i="80"/>
  <c r="AA32" i="80"/>
  <c r="S46" i="80"/>
  <c r="AA46" i="80"/>
  <c r="W27" i="80"/>
  <c r="AC27" i="80"/>
  <c r="W47" i="80"/>
  <c r="AC47" i="80"/>
  <c r="F7" i="80"/>
  <c r="W13" i="80"/>
  <c r="AC13" i="80"/>
  <c r="U13" i="80"/>
  <c r="AB13" i="80"/>
  <c r="W29" i="80"/>
  <c r="AC29" i="80"/>
  <c r="U31" i="80"/>
  <c r="AB31" i="80"/>
  <c r="S31" i="80"/>
  <c r="AA31" i="80"/>
  <c r="U46" i="80"/>
  <c r="AB46" i="80"/>
  <c r="W45" i="80"/>
  <c r="AC45" i="80"/>
  <c r="W37" i="80"/>
  <c r="AC37" i="80"/>
  <c r="F43" i="80"/>
  <c r="J43" i="80"/>
  <c r="G124" i="80"/>
  <c r="H124" i="80" s="1"/>
  <c r="I124" i="80" s="1"/>
  <c r="J124" i="80" s="1"/>
  <c r="K124" i="80" s="1"/>
  <c r="L124" i="80" s="1"/>
  <c r="M124" i="80" s="1"/>
  <c r="S9" i="80"/>
  <c r="AA9" i="80"/>
  <c r="U12" i="80"/>
  <c r="AB12" i="80"/>
  <c r="S12" i="80"/>
  <c r="AA12" i="80"/>
  <c r="W14" i="80"/>
  <c r="AC14" i="80"/>
  <c r="W28" i="80"/>
  <c r="AC28" i="80"/>
  <c r="U28" i="80"/>
  <c r="AB28" i="80"/>
  <c r="S30" i="80"/>
  <c r="AA30" i="80"/>
  <c r="W32" i="80"/>
  <c r="AC32" i="80"/>
  <c r="U32" i="80"/>
  <c r="AB32" i="80"/>
  <c r="U27" i="80"/>
  <c r="AB27" i="80"/>
  <c r="S27" i="80"/>
  <c r="AA27" i="80"/>
  <c r="S47" i="80"/>
  <c r="AA47" i="80"/>
  <c r="W7" i="80"/>
  <c r="AC7" i="80"/>
  <c r="S13" i="80"/>
  <c r="AA13" i="80"/>
  <c r="U29" i="80"/>
  <c r="AB29" i="80"/>
  <c r="S29" i="80"/>
  <c r="AA29" i="80"/>
  <c r="W31" i="80"/>
  <c r="AC31" i="80"/>
  <c r="AC46" i="80"/>
  <c r="W46" i="80"/>
  <c r="U45" i="80"/>
  <c r="AB45" i="80"/>
  <c r="S45" i="80"/>
  <c r="AA45" i="80"/>
  <c r="U37" i="80"/>
  <c r="AB37" i="80"/>
  <c r="S37" i="80"/>
  <c r="AA37" i="80"/>
  <c r="U43" i="80"/>
  <c r="AB43" i="80"/>
  <c r="S43" i="80" l="1"/>
  <c r="AA43" i="80"/>
  <c r="W43" i="80"/>
  <c r="AC43" i="80"/>
  <c r="V49" i="80" s="1"/>
  <c r="I49" i="80" s="1"/>
  <c r="S7" i="80"/>
  <c r="AA7" i="80"/>
  <c r="R49" i="80" s="1"/>
  <c r="T49" i="80"/>
  <c r="G49" i="80" s="1"/>
  <c r="I53" i="80" l="1"/>
  <c r="J53" i="80" s="1"/>
  <c r="G53" i="80"/>
  <c r="H53" i="80" s="1"/>
  <c r="G54" i="80"/>
  <c r="H54" i="80" s="1"/>
  <c r="E49" i="80"/>
  <c r="I54" i="80" s="1"/>
  <c r="J54" i="80" s="1"/>
  <c r="R50" i="80"/>
  <c r="C49" i="80" l="1"/>
  <c r="C50" i="80"/>
  <c r="E53" i="80"/>
  <c r="F53" i="80" s="1"/>
  <c r="E54" i="80"/>
  <c r="F54" i="80" s="1"/>
  <c r="B2" i="80" l="1"/>
  <c r="B3" i="80"/>
  <c r="E48" i="34" l="1"/>
  <c r="I48" i="34"/>
  <c r="G48" i="34"/>
  <c r="B110" i="31" l="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109" i="31"/>
  <c r="A205" i="31"/>
  <c r="A197" i="31"/>
  <c r="A198" i="31"/>
  <c r="A199" i="31"/>
  <c r="A200" i="31"/>
  <c r="A201" i="31"/>
  <c r="A202" i="31"/>
  <c r="A203" i="31"/>
  <c r="A204" i="31"/>
  <c r="A188" i="31"/>
  <c r="A189" i="31"/>
  <c r="A190" i="31"/>
  <c r="A191" i="31"/>
  <c r="A192" i="31"/>
  <c r="A193" i="31"/>
  <c r="A194" i="31"/>
  <c r="A195" i="31"/>
  <c r="A196"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09" i="31"/>
  <c r="B91" i="31"/>
  <c r="B92" i="31"/>
  <c r="B93" i="31"/>
  <c r="B94" i="31"/>
  <c r="B95" i="31"/>
  <c r="B96" i="31"/>
  <c r="B97" i="31"/>
  <c r="B98" i="31"/>
  <c r="B99" i="31"/>
  <c r="B100" i="31"/>
  <c r="B101" i="31"/>
  <c r="B102" i="31"/>
  <c r="B103" i="31"/>
  <c r="B104" i="31"/>
  <c r="B105" i="31"/>
  <c r="B106" i="31"/>
  <c r="B107" i="31"/>
  <c r="B108" i="31"/>
  <c r="A108" i="31"/>
  <c r="A107" i="31"/>
  <c r="A106" i="31"/>
  <c r="A102" i="31"/>
  <c r="A103" i="31"/>
  <c r="A104" i="31"/>
  <c r="A105" i="31"/>
  <c r="A91" i="31"/>
  <c r="A92" i="31"/>
  <c r="A93" i="31"/>
  <c r="A94" i="31"/>
  <c r="A95" i="31"/>
  <c r="A96" i="31"/>
  <c r="A97" i="31"/>
  <c r="A98" i="31"/>
  <c r="A99" i="31"/>
  <c r="A100" i="31"/>
  <c r="A101" i="31"/>
  <c r="B90"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25" i="31"/>
  <c r="A87" i="31"/>
  <c r="A88" i="31"/>
  <c r="A82" i="31"/>
  <c r="A83" i="31"/>
  <c r="A84" i="31"/>
  <c r="A85" i="31"/>
  <c r="A8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26" i="31"/>
  <c r="A25" i="31"/>
  <c r="C34" i="34"/>
  <c r="Y6" i="1"/>
  <c r="N6" i="1"/>
  <c r="F20" i="6"/>
  <c r="F19" i="6"/>
  <c r="O18" i="3"/>
  <c r="K18" i="3"/>
  <c r="I13" i="3"/>
  <c r="A3" i="3"/>
  <c r="G45" i="77"/>
  <c r="G41" i="77"/>
  <c r="C188" i="77"/>
  <c r="C89" i="77"/>
  <c r="C68" i="77"/>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c r="F126" i="34"/>
  <c r="G126" i="34"/>
  <c r="D124" i="34"/>
  <c r="E124"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s="1"/>
  <c r="J23" i="34"/>
  <c r="F19" i="34"/>
  <c r="H17" i="34"/>
  <c r="U17" i="34" s="1"/>
  <c r="J15" i="34"/>
  <c r="AC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F36" i="43"/>
  <c r="F81" i="43"/>
  <c r="H83" i="43" s="1"/>
  <c r="F48" i="43"/>
  <c r="H52" i="43" s="1"/>
  <c r="N7" i="43"/>
  <c r="F70" i="43"/>
  <c r="H73" i="43" s="1"/>
  <c r="M11" i="43"/>
  <c r="F39" i="43"/>
  <c r="F35"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65" i="3"/>
  <c r="W12" i="33"/>
  <c r="AC12" i="33"/>
  <c r="AA32" i="36"/>
  <c r="S32" i="36"/>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AC39" i="34"/>
  <c r="W41" i="34"/>
  <c r="AC42" i="34"/>
  <c r="AB35" i="34"/>
  <c r="U39"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E63" i="40" s="1"/>
  <c r="F63" i="40" s="1"/>
  <c r="F65" i="40" s="1"/>
  <c r="M47" i="9"/>
  <c r="G19" i="43"/>
  <c r="M20" i="43" s="1"/>
  <c r="C19" i="43" s="1"/>
  <c r="C46" i="36"/>
  <c r="D46" i="36" s="1"/>
  <c r="C59" i="34"/>
  <c r="D59" i="34"/>
  <c r="E59" i="34" s="1"/>
  <c r="C52" i="37"/>
  <c r="D52" i="37"/>
  <c r="E52" i="37" s="1"/>
  <c r="A4" i="51"/>
  <c r="B6" i="72"/>
  <c r="C4" i="12"/>
  <c r="H62" i="43"/>
  <c r="H66" i="43"/>
  <c r="H61" i="43"/>
  <c r="H65" i="43"/>
  <c r="H60" i="43"/>
  <c r="H64" i="43"/>
  <c r="H59" i="43"/>
  <c r="H63" i="43"/>
  <c r="H67" i="43"/>
  <c r="H55" i="43"/>
  <c r="H51" i="43"/>
  <c r="H56" i="43"/>
  <c r="H76" i="43"/>
  <c r="H72" i="43"/>
  <c r="H77"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AQ9" i="1"/>
  <c r="E59" i="40"/>
  <c r="T9"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F58" i="21"/>
  <c r="F48" i="35"/>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34" i="11"/>
  <c r="F11" i="12"/>
  <c r="F34" i="68"/>
  <c r="C36" i="68" s="1"/>
  <c r="E65" i="40"/>
  <c r="C36" i="11"/>
  <c r="R8" i="1"/>
  <c r="G63" i="40"/>
  <c r="G65" i="40" s="1"/>
  <c r="AE7" i="1"/>
  <c r="AE8" i="1"/>
  <c r="AG6" i="1"/>
  <c r="H109" i="9"/>
  <c r="H110" i="9"/>
  <c r="D18" i="53" s="1"/>
  <c r="B35" i="72" s="1"/>
  <c r="D16" i="53"/>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F38" i="15"/>
  <c r="AO7" i="1"/>
  <c r="D2" i="37"/>
  <c r="AO13" i="1"/>
  <c r="M23" i="67"/>
  <c r="F6" i="73"/>
  <c r="F13" i="15"/>
  <c r="F42" i="67"/>
  <c r="E12" i="76"/>
  <c r="F36" i="15"/>
  <c r="F38" i="67"/>
  <c r="E13" i="76"/>
  <c r="M29" i="67"/>
  <c r="F41" i="67"/>
  <c r="M27" i="67"/>
  <c r="L47" i="67"/>
  <c r="F9" i="67"/>
  <c r="D7" i="73"/>
  <c r="M8" i="67"/>
  <c r="D2" i="21"/>
  <c r="B10" i="76"/>
  <c r="F26" i="15"/>
  <c r="E11" i="76"/>
  <c r="M9" i="67"/>
  <c r="M22" i="67"/>
  <c r="E2" i="68"/>
  <c r="M22" i="15"/>
  <c r="F37" i="15"/>
  <c r="M28" i="67"/>
  <c r="M8" i="15"/>
  <c r="F43" i="15"/>
  <c r="M27" i="15"/>
  <c r="F6" i="15"/>
  <c r="F8" i="15"/>
  <c r="B8" i="76"/>
  <c r="C76" i="15"/>
  <c r="D2" i="33"/>
  <c r="AO8" i="1"/>
  <c r="L48" i="67"/>
  <c r="F40" i="67"/>
  <c r="F6" i="67"/>
  <c r="J15" i="15"/>
  <c r="F37" i="67"/>
  <c r="F3" i="73"/>
  <c r="M6" i="15"/>
  <c r="J15" i="67"/>
  <c r="F9" i="15"/>
  <c r="F16" i="67"/>
  <c r="D35" i="9"/>
  <c r="C76" i="67"/>
  <c r="M28" i="15"/>
  <c r="M26" i="15"/>
  <c r="F7" i="67"/>
  <c r="L48" i="15"/>
  <c r="E2" i="69"/>
  <c r="M24" i="67"/>
  <c r="L47" i="15"/>
  <c r="D5" i="73"/>
  <c r="F7" i="15"/>
  <c r="M6" i="67"/>
  <c r="E10" i="76"/>
  <c r="D6" i="73"/>
  <c r="F26" i="67"/>
  <c r="AO10" i="1"/>
  <c r="F42" i="15"/>
  <c r="F36" i="67"/>
  <c r="F5" i="73"/>
  <c r="AO12" i="1"/>
  <c r="F40" i="15"/>
  <c r="M24" i="15"/>
  <c r="F43" i="67"/>
  <c r="F20" i="31"/>
  <c r="D3" i="73"/>
  <c r="M26" i="67"/>
  <c r="E9" i="76"/>
  <c r="F7" i="73"/>
  <c r="F8" i="67"/>
  <c r="D2" i="34"/>
  <c r="E8" i="76"/>
  <c r="AO9" i="1"/>
  <c r="B13" i="76"/>
  <c r="AO11" i="1"/>
  <c r="M9" i="15"/>
  <c r="D2" i="35"/>
  <c r="B9" i="76"/>
  <c r="F13" i="67"/>
  <c r="B7" i="76"/>
  <c r="M23" i="15"/>
  <c r="M21" i="67"/>
  <c r="D2" i="36"/>
  <c r="D4" i="73"/>
  <c r="F16" i="15"/>
  <c r="E7" i="76"/>
  <c r="F4" i="73"/>
  <c r="D34" i="9"/>
  <c r="F35" i="67"/>
  <c r="B12" i="76"/>
  <c r="M29" i="15"/>
  <c r="B11" i="76"/>
  <c r="AB23" i="34" l="1"/>
  <c r="S21" i="34"/>
  <c r="AB17" i="34"/>
  <c r="F78" i="34"/>
  <c r="G78" i="34" s="1"/>
  <c r="F15" i="34"/>
  <c r="F43" i="34"/>
  <c r="F124" i="34"/>
  <c r="AC36" i="34"/>
  <c r="F31" i="15"/>
  <c r="B7" i="49"/>
  <c r="U10" i="34"/>
  <c r="S27" i="34"/>
  <c r="W8" i="34"/>
  <c r="P61" i="15"/>
  <c r="J53" i="15"/>
  <c r="Q52" i="15" s="1"/>
  <c r="C94" i="9"/>
  <c r="C92" i="9"/>
  <c r="F54" i="9"/>
  <c r="F28" i="15"/>
  <c r="C28" i="15" s="1"/>
  <c r="F30" i="69"/>
  <c r="C48" i="69" s="1"/>
  <c r="F32" i="15"/>
  <c r="F60" i="15" s="1"/>
  <c r="M18" i="67"/>
  <c r="D68" i="9"/>
  <c r="C30" i="69"/>
  <c r="M18" i="15"/>
  <c r="F32" i="67"/>
  <c r="F60" i="67" s="1"/>
  <c r="F31" i="12"/>
  <c r="C31" i="12" s="1"/>
  <c r="F28" i="67"/>
  <c r="C28" i="67" s="1"/>
  <c r="F30" i="11"/>
  <c r="F30" i="68"/>
  <c r="C40" i="69"/>
  <c r="T8" i="1"/>
  <c r="AR8" i="1"/>
  <c r="BA19" i="3"/>
  <c r="BA20" i="3"/>
  <c r="AZ20" i="3" s="1"/>
  <c r="E8" i="6"/>
  <c r="F27" i="6" s="1"/>
  <c r="E13" i="6"/>
  <c r="E15" i="6"/>
  <c r="E2" i="70"/>
  <c r="F30" i="6"/>
  <c r="BL19" i="3"/>
  <c r="AZ19" i="3" s="1"/>
  <c r="G30" i="6"/>
  <c r="G31" i="6" s="1"/>
  <c r="E12" i="6"/>
  <c r="E62" i="39" s="1"/>
  <c r="AZ557" i="3"/>
  <c r="AZ550" i="3"/>
  <c r="G5" i="3"/>
  <c r="B3" i="3" s="1"/>
  <c r="E415" i="3" s="1"/>
  <c r="E57" i="40"/>
  <c r="AZ399" i="3"/>
  <c r="BA5" i="3"/>
  <c r="AZ400" i="3"/>
  <c r="AZ413" i="3"/>
  <c r="AZ424" i="3"/>
  <c r="AZ429" i="3"/>
  <c r="AZ439" i="3"/>
  <c r="AZ444" i="3"/>
  <c r="E28" i="6"/>
  <c r="E29" i="6"/>
  <c r="K15" i="1" s="1"/>
  <c r="BL15" i="3"/>
  <c r="AZ15" i="3" s="1"/>
  <c r="AZ5" i="3" s="1"/>
  <c r="AY6" i="3" s="1"/>
  <c r="AZ453" i="3"/>
  <c r="AZ455" i="3"/>
  <c r="AZ460" i="3"/>
  <c r="AZ471" i="3"/>
  <c r="AZ476" i="3"/>
  <c r="AZ478" i="3"/>
  <c r="AZ484" i="3"/>
  <c r="AZ492" i="3"/>
  <c r="AZ395" i="3"/>
  <c r="AZ208" i="3"/>
  <c r="AZ211" i="3"/>
  <c r="AZ219" i="3"/>
  <c r="AZ236" i="3"/>
  <c r="AZ252" i="3"/>
  <c r="AZ272" i="3"/>
  <c r="AZ276" i="3"/>
  <c r="AZ289" i="3"/>
  <c r="AZ294" i="3"/>
  <c r="AZ300" i="3"/>
  <c r="AZ118" i="3"/>
  <c r="AZ121" i="3"/>
  <c r="AZ134" i="3"/>
  <c r="AZ56" i="3"/>
  <c r="AZ137" i="3"/>
  <c r="AZ145" i="3"/>
  <c r="AZ161" i="3"/>
  <c r="AZ177" i="3"/>
  <c r="AZ193" i="3"/>
  <c r="AZ34" i="3"/>
  <c r="AZ38" i="3"/>
  <c r="AZ44" i="3"/>
  <c r="AZ48" i="3"/>
  <c r="AZ60" i="3"/>
  <c r="AZ64" i="3"/>
  <c r="AZ78" i="3"/>
  <c r="AZ91" i="3"/>
  <c r="AZ98" i="3"/>
  <c r="AZ104" i="3"/>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5" i="43" s="1"/>
  <c r="E101" i="43"/>
  <c r="E105" i="43" s="1"/>
  <c r="AH11" i="43"/>
  <c r="AH13" i="43" s="1"/>
  <c r="AD11" i="43"/>
  <c r="AD13" i="43" s="1"/>
  <c r="Z11" i="43"/>
  <c r="Z13" i="43" s="1"/>
  <c r="AG11" i="43"/>
  <c r="AG13" i="43" s="1"/>
  <c r="AC11" i="43"/>
  <c r="AC13" i="43" s="1"/>
  <c r="Y11" i="43"/>
  <c r="Y13" i="43" s="1"/>
  <c r="J22" i="43"/>
  <c r="E30" i="6"/>
  <c r="P7" i="1"/>
  <c r="Q16" i="1"/>
  <c r="F28" i="12" s="1"/>
  <c r="C29" i="12" s="1"/>
  <c r="D28" i="12" s="1"/>
  <c r="I103" i="43"/>
  <c r="I106" i="43"/>
  <c r="I102" i="43"/>
  <c r="T13" i="1"/>
  <c r="AQ13" i="1"/>
  <c r="AR10" i="1"/>
  <c r="E56" i="40"/>
  <c r="E16" i="6"/>
  <c r="C36" i="69"/>
  <c r="M11" i="1"/>
  <c r="H16" i="1"/>
  <c r="L109" i="43"/>
  <c r="L106" i="43"/>
  <c r="L107" i="43"/>
  <c r="L103" i="43"/>
  <c r="O9" i="1"/>
  <c r="P9" i="1" s="1"/>
  <c r="O8" i="1"/>
  <c r="P8" i="1" s="1"/>
  <c r="L105" i="43"/>
  <c r="K14" i="1"/>
  <c r="H102" i="43"/>
  <c r="H103" i="43"/>
  <c r="H104" i="43"/>
  <c r="H109" i="43"/>
  <c r="D9" i="11"/>
  <c r="C9" i="11" s="1"/>
  <c r="D19" i="12"/>
  <c r="C19" i="12" s="1"/>
  <c r="AQ11" i="1"/>
  <c r="T11" i="1"/>
  <c r="AR11" i="1"/>
  <c r="P12" i="1"/>
  <c r="G10" i="1"/>
  <c r="G8" i="1"/>
  <c r="T35" i="4"/>
  <c r="A19" i="51" s="1"/>
  <c r="B14" i="72" s="1"/>
  <c r="E7" i="49"/>
  <c r="B15" i="49"/>
  <c r="E10" i="49"/>
  <c r="B6" i="49"/>
  <c r="E14" i="49"/>
  <c r="B34" i="72"/>
  <c r="D17" i="53"/>
  <c r="B36" i="72" s="1"/>
  <c r="D12" i="52"/>
  <c r="D127" i="9"/>
  <c r="D13" i="52" s="1"/>
  <c r="M49" i="9"/>
  <c r="D124" i="9"/>
  <c r="H63" i="40"/>
  <c r="O19" i="43"/>
  <c r="H49" i="43"/>
  <c r="J17" i="43"/>
  <c r="I17" i="43"/>
  <c r="E17" i="43"/>
  <c r="M6" i="43"/>
  <c r="H113" i="43"/>
  <c r="N4" i="43"/>
  <c r="N2" i="43"/>
  <c r="G16" i="1"/>
  <c r="F10" i="39" s="1"/>
  <c r="G52" i="33"/>
  <c r="H52" i="33" s="1"/>
  <c r="E48" i="33"/>
  <c r="R49" i="33"/>
  <c r="U7" i="33"/>
  <c r="AC7" i="33"/>
  <c r="V48" i="33" s="1"/>
  <c r="I48" i="33" s="1"/>
  <c r="J58" i="21"/>
  <c r="K58" i="21" s="1"/>
  <c r="L58" i="21" s="1"/>
  <c r="M58" i="21" s="1"/>
  <c r="N58" i="21" s="1"/>
  <c r="O58" i="21" s="1"/>
  <c r="H7" i="21"/>
  <c r="F59" i="34"/>
  <c r="F52" i="37"/>
  <c r="E46" i="36"/>
  <c r="G48" i="35"/>
  <c r="C70" i="39"/>
  <c r="D68" i="39"/>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4" i="67"/>
  <c r="C17" i="15"/>
  <c r="C16" i="67"/>
  <c r="C14" i="15"/>
  <c r="C17" i="67"/>
  <c r="G1" i="73"/>
  <c r="C16" i="15"/>
  <c r="S15" i="34" l="1"/>
  <c r="AA15" i="34"/>
  <c r="G124" i="34"/>
  <c r="H124" i="34" s="1"/>
  <c r="I124" i="34" s="1"/>
  <c r="J124" i="34" s="1"/>
  <c r="K124" i="34" s="1"/>
  <c r="L124" i="34" s="1"/>
  <c r="M124" i="34" s="1"/>
  <c r="J43" i="34"/>
  <c r="H43" i="34"/>
  <c r="AA43" i="34"/>
  <c r="S43" i="34"/>
  <c r="F1" i="15"/>
  <c r="C48" i="68"/>
  <c r="C30" i="68"/>
  <c r="C30" i="11"/>
  <c r="C48" i="11"/>
  <c r="F31" i="6"/>
  <c r="M107" i="43"/>
  <c r="M104" i="43"/>
  <c r="D107" i="43"/>
  <c r="E56" i="39"/>
  <c r="E51" i="40"/>
  <c r="E27" i="6"/>
  <c r="E31" i="6" s="1"/>
  <c r="E58" i="40"/>
  <c r="E63" i="39"/>
  <c r="E60" i="40"/>
  <c r="E65" i="39"/>
  <c r="D103" i="43"/>
  <c r="E107" i="43"/>
  <c r="BL5" i="3"/>
  <c r="E426" i="3"/>
  <c r="E53" i="3"/>
  <c r="E125" i="3"/>
  <c r="E175" i="3"/>
  <c r="E217" i="3"/>
  <c r="E319" i="3"/>
  <c r="E366" i="3"/>
  <c r="E530" i="3"/>
  <c r="E526" i="3"/>
  <c r="E501" i="3"/>
  <c r="E553" i="3"/>
  <c r="E343" i="3"/>
  <c r="E268" i="3"/>
  <c r="E153" i="3"/>
  <c r="E282" i="3"/>
  <c r="E305" i="3"/>
  <c r="E322" i="3"/>
  <c r="N6" i="3"/>
  <c r="E508" i="3"/>
  <c r="AJ6" i="3"/>
  <c r="E328" i="3"/>
  <c r="E69" i="3"/>
  <c r="E237" i="3"/>
  <c r="E114" i="3"/>
  <c r="E261" i="3"/>
  <c r="E278" i="3"/>
  <c r="E304" i="3"/>
  <c r="E528" i="3"/>
  <c r="E563" i="3"/>
  <c r="E565" i="3"/>
  <c r="E395" i="3"/>
  <c r="E183" i="3"/>
  <c r="E172" i="3"/>
  <c r="E213" i="3"/>
  <c r="E260" i="3"/>
  <c r="E361" i="3"/>
  <c r="E445" i="3"/>
  <c r="E17" i="3"/>
  <c r="E550" i="3"/>
  <c r="E503" i="3"/>
  <c r="E535" i="3"/>
  <c r="E302" i="3"/>
  <c r="E239" i="3"/>
  <c r="E388" i="3"/>
  <c r="E509" i="3"/>
  <c r="E347"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329"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09" i="43"/>
  <c r="M106" i="43"/>
  <c r="M102" i="43"/>
  <c r="M103" i="43"/>
  <c r="G105" i="43"/>
  <c r="G103" i="43"/>
  <c r="G106" i="43"/>
  <c r="G109" i="43"/>
  <c r="G102" i="43"/>
  <c r="G107" i="43"/>
  <c r="G104" i="43"/>
  <c r="K103" i="43"/>
  <c r="K107" i="43"/>
  <c r="K104" i="43"/>
  <c r="K105" i="43"/>
  <c r="K102" i="43"/>
  <c r="K106" i="43"/>
  <c r="K109" i="43"/>
  <c r="I109" i="43"/>
  <c r="I107" i="43"/>
  <c r="I104" i="43"/>
  <c r="I105" i="43"/>
  <c r="L102" i="43"/>
  <c r="L104" i="43"/>
  <c r="C104" i="43"/>
  <c r="C106" i="43"/>
  <c r="C105" i="43"/>
  <c r="C109" i="43"/>
  <c r="C107" i="43"/>
  <c r="C103" i="43"/>
  <c r="C102" i="43"/>
  <c r="F104" i="43"/>
  <c r="F107" i="43"/>
  <c r="F106" i="43"/>
  <c r="F105" i="43"/>
  <c r="F102" i="43"/>
  <c r="F103" i="43"/>
  <c r="F109" i="43"/>
  <c r="E104" i="43"/>
  <c r="E102" i="43"/>
  <c r="E103" i="43"/>
  <c r="E109" i="43"/>
  <c r="E106" i="43"/>
  <c r="H107" i="43"/>
  <c r="H105" i="43"/>
  <c r="H106" i="43"/>
  <c r="J104" i="43"/>
  <c r="J103" i="43"/>
  <c r="J105" i="43"/>
  <c r="J107" i="43"/>
  <c r="J102" i="43"/>
  <c r="J106" i="43"/>
  <c r="J109" i="43"/>
  <c r="N102" i="43"/>
  <c r="N103" i="43"/>
  <c r="N106" i="43"/>
  <c r="N104" i="43"/>
  <c r="N105" i="43"/>
  <c r="N107" i="43"/>
  <c r="N109" i="43"/>
  <c r="D22" i="43"/>
  <c r="D109" i="43"/>
  <c r="D105" i="43"/>
  <c r="D102" i="43"/>
  <c r="D106" i="4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E3" i="6"/>
  <c r="D3" i="33" s="1"/>
  <c r="F27" i="69"/>
  <c r="F27" i="11"/>
  <c r="F27" i="68"/>
  <c r="C18" i="15"/>
  <c r="C15" i="15"/>
  <c r="M14" i="1"/>
  <c r="C34" i="69"/>
  <c r="D3" i="34"/>
  <c r="E6" i="6"/>
  <c r="D37" i="11"/>
  <c r="C37" i="11" s="1"/>
  <c r="D3" i="21"/>
  <c r="D3" i="37"/>
  <c r="L18" i="9"/>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80" i="3"/>
  <c r="AY464" i="3"/>
  <c r="AY449" i="3"/>
  <c r="AY454" i="3"/>
  <c r="AY43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7" i="3"/>
  <c r="AY139" i="3"/>
  <c r="AY123" i="3"/>
  <c r="AY252" i="3"/>
  <c r="AY489" i="3"/>
  <c r="AY43" i="3"/>
  <c r="AY379" i="3"/>
  <c r="AY436" i="3"/>
  <c r="AY540" i="3"/>
  <c r="AY69" i="3"/>
  <c r="AY198" i="3"/>
  <c r="AY141" i="3"/>
  <c r="AY255" i="3"/>
  <c r="AY384" i="3"/>
  <c r="BB6" i="3"/>
  <c r="AY181" i="3"/>
  <c r="AY258" i="3"/>
  <c r="AY309"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74" i="3"/>
  <c r="AY204" i="3"/>
  <c r="AY363" i="3"/>
  <c r="AY412" i="3"/>
  <c r="AY229" i="3"/>
  <c r="AY326" i="3"/>
  <c r="AY557" i="3"/>
  <c r="AY105" i="3"/>
  <c r="AY52" i="3"/>
  <c r="AY162" i="3"/>
  <c r="AY291" i="3"/>
  <c r="AY238" i="3"/>
  <c r="AY368" i="3"/>
  <c r="AY72" i="3"/>
  <c r="AY121" i="3"/>
  <c r="AY370" i="3"/>
  <c r="AY483" i="3"/>
  <c r="AY462"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O11" i="1"/>
  <c r="P11" i="1" s="1"/>
  <c r="M16" i="1"/>
  <c r="F10" i="40"/>
  <c r="AA10" i="40" s="1"/>
  <c r="J10" i="39"/>
  <c r="W10" i="39" s="1"/>
  <c r="D10" i="52"/>
  <c r="H14" i="74"/>
  <c r="B7" i="74" s="1"/>
  <c r="D125" i="9"/>
  <c r="D11" i="52" s="1"/>
  <c r="H10" i="40"/>
  <c r="J10" i="40"/>
  <c r="H10" i="39"/>
  <c r="C16" i="43"/>
  <c r="H65" i="40"/>
  <c r="I63" i="40"/>
  <c r="L65" i="9"/>
  <c r="M65" i="9" s="1"/>
  <c r="L64" i="9"/>
  <c r="M64" i="9" s="1"/>
  <c r="L67" i="9"/>
  <c r="M67" i="9" s="1"/>
  <c r="L68" i="9"/>
  <c r="M68" i="9" s="1"/>
  <c r="L66" i="9"/>
  <c r="M66" i="9" s="1"/>
  <c r="L63" i="9"/>
  <c r="M63" i="9" s="1"/>
  <c r="M69" i="9" s="1"/>
  <c r="N69" i="9" s="1"/>
  <c r="K4" i="4"/>
  <c r="B46" i="48" s="1"/>
  <c r="B4" i="72" s="1"/>
  <c r="B4" i="62"/>
  <c r="B71" i="72" s="1"/>
  <c r="D70" i="39"/>
  <c r="E68" i="39"/>
  <c r="F7" i="21"/>
  <c r="J7" i="21"/>
  <c r="E53" i="33"/>
  <c r="F53" i="33" s="1"/>
  <c r="E52" i="33"/>
  <c r="F52" i="33" s="1"/>
  <c r="AC10" i="39"/>
  <c r="S10" i="39"/>
  <c r="AA10" i="39"/>
  <c r="H48" i="35"/>
  <c r="F46" i="36"/>
  <c r="G52" i="37"/>
  <c r="H52" i="37" s="1"/>
  <c r="I52" i="37" s="1"/>
  <c r="J52" i="37" s="1"/>
  <c r="K52" i="37" s="1"/>
  <c r="L52" i="37" s="1"/>
  <c r="M52" i="37" s="1"/>
  <c r="N52" i="37" s="1"/>
  <c r="O52" i="37" s="1"/>
  <c r="H7" i="37"/>
  <c r="G59" i="34"/>
  <c r="H59" i="34" s="1"/>
  <c r="I59" i="34" s="1"/>
  <c r="J59" i="34" s="1"/>
  <c r="K59" i="34" s="1"/>
  <c r="L59" i="34" s="1"/>
  <c r="M59" i="34" s="1"/>
  <c r="N59" i="34" s="1"/>
  <c r="O59" i="34" s="1"/>
  <c r="F7" i="34"/>
  <c r="H7" i="34"/>
  <c r="U7" i="21"/>
  <c r="AB7" i="21"/>
  <c r="T48" i="21" s="1"/>
  <c r="G48" i="21" s="1"/>
  <c r="I52" i="33"/>
  <c r="J52" i="33" s="1"/>
  <c r="I53" i="33"/>
  <c r="J53" i="33" s="1"/>
  <c r="C49" i="33"/>
  <c r="C48" i="33"/>
  <c r="G53" i="33"/>
  <c r="H53"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C43" i="34" l="1"/>
  <c r="W43" i="34"/>
  <c r="AB43" i="34"/>
  <c r="U43" i="34"/>
  <c r="S10" i="40"/>
  <c r="K25" i="6"/>
  <c r="M25" i="6" s="1"/>
  <c r="I25" i="6" s="1"/>
  <c r="S25" i="6" s="1"/>
  <c r="K24" i="6"/>
  <c r="M24" i="6" s="1"/>
  <c r="I24" i="6" s="1"/>
  <c r="S24" i="6" s="1"/>
  <c r="K26" i="6"/>
  <c r="M26" i="6" s="1"/>
  <c r="I26" i="6" s="1"/>
  <c r="S26" i="6" s="1"/>
  <c r="K19" i="6"/>
  <c r="S6" i="1" s="1"/>
  <c r="K21" i="6"/>
  <c r="M21" i="6" s="1"/>
  <c r="I21" i="6" s="1"/>
  <c r="S21" i="6" s="1"/>
  <c r="K22" i="6"/>
  <c r="M22" i="6" s="1"/>
  <c r="I22" i="6" s="1"/>
  <c r="S22" i="6" s="1"/>
  <c r="K23" i="6"/>
  <c r="M23" i="6" s="1"/>
  <c r="I23" i="6" s="1"/>
  <c r="S23" i="6" s="1"/>
  <c r="K20" i="6"/>
  <c r="E66" i="39"/>
  <c r="AC6" i="3"/>
  <c r="H6" i="3"/>
  <c r="M18" i="9"/>
  <c r="B118" i="9" s="1"/>
  <c r="B14" i="74" s="1"/>
  <c r="B1" i="74" s="1"/>
  <c r="C8" i="74" s="1"/>
  <c r="D19" i="11"/>
  <c r="C19" i="11" s="1"/>
  <c r="D14" i="12"/>
  <c r="D17" i="12" s="1"/>
  <c r="C17" i="12" s="1"/>
  <c r="C17" i="4"/>
  <c r="B4" i="52" s="1"/>
  <c r="B43" i="72" s="1"/>
  <c r="B2" i="33"/>
  <c r="B3" i="33" s="1"/>
  <c r="E6" i="3"/>
  <c r="C19" i="15"/>
  <c r="C20" i="15" s="1"/>
  <c r="C26" i="15" s="1"/>
  <c r="S4" i="43"/>
  <c r="S5" i="43"/>
  <c r="C23" i="43"/>
  <c r="C21" i="43" s="1"/>
  <c r="S2" i="43"/>
  <c r="S6" i="43"/>
  <c r="S7" i="43"/>
  <c r="S3" i="43"/>
  <c r="D113" i="43"/>
  <c r="C29" i="68"/>
  <c r="D27" i="68" s="1"/>
  <c r="C47" i="68"/>
  <c r="D45" i="68" s="1"/>
  <c r="C47" i="69"/>
  <c r="D45" i="69" s="1"/>
  <c r="C29" i="69"/>
  <c r="D27" i="69" s="1"/>
  <c r="C47" i="11"/>
  <c r="D45" i="11" s="1"/>
  <c r="C29" i="11"/>
  <c r="D27" i="11" s="1"/>
  <c r="N16" i="1"/>
  <c r="L16" i="1"/>
  <c r="C34" i="11"/>
  <c r="C34" i="68"/>
  <c r="D25" i="6"/>
  <c r="D15" i="6"/>
  <c r="D22" i="6"/>
  <c r="D21" i="6"/>
  <c r="D24" i="6"/>
  <c r="D20" i="6"/>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D10" i="11"/>
  <c r="C10" i="11" s="1"/>
  <c r="D20" i="12"/>
  <c r="C20" i="12" s="1"/>
  <c r="C18" i="12" s="1"/>
  <c r="D10" i="68"/>
  <c r="D10" i="69"/>
  <c r="O14" i="1"/>
  <c r="O16" i="1" s="1"/>
  <c r="C20" i="11"/>
  <c r="C28" i="11" s="1"/>
  <c r="C27" i="11" s="1"/>
  <c r="C38" i="69"/>
  <c r="C35" i="69"/>
  <c r="U10" i="39"/>
  <c r="AB10" i="39"/>
  <c r="U10" i="40"/>
  <c r="AB10" i="40"/>
  <c r="C7" i="74"/>
  <c r="D7" i="74"/>
  <c r="I65" i="40"/>
  <c r="J63" i="40"/>
  <c r="C5" i="43"/>
  <c r="D5" i="43"/>
  <c r="W10" i="40"/>
  <c r="AC10" i="40"/>
  <c r="S7" i="34"/>
  <c r="AA7" i="34"/>
  <c r="R49" i="34" s="1"/>
  <c r="G52" i="21"/>
  <c r="H52" i="21" s="1"/>
  <c r="U7" i="34"/>
  <c r="AB7" i="34"/>
  <c r="T49" i="34" s="1"/>
  <c r="G49" i="34" s="1"/>
  <c r="J7" i="37"/>
  <c r="G46" i="36"/>
  <c r="I48" i="35"/>
  <c r="AC7" i="21"/>
  <c r="V48" i="21" s="1"/>
  <c r="I48" i="21" s="1"/>
  <c r="W7" i="21"/>
  <c r="J7" i="34"/>
  <c r="U7" i="37"/>
  <c r="AB7" i="37"/>
  <c r="T42" i="37" s="1"/>
  <c r="G42" i="37" s="1"/>
  <c r="S7" i="21"/>
  <c r="AA7" i="21"/>
  <c r="R48" i="21" s="1"/>
  <c r="F68" i="39"/>
  <c r="E70" i="39"/>
  <c r="F7" i="37"/>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4" i="12" l="1"/>
  <c r="F69" i="15"/>
  <c r="J29" i="15"/>
  <c r="M20" i="6"/>
  <c r="I20" i="6" s="1"/>
  <c r="S7" i="1"/>
  <c r="AQ6" i="1"/>
  <c r="S16" i="1"/>
  <c r="T6" i="1"/>
  <c r="AR6" i="1"/>
  <c r="M19" i="6"/>
  <c r="K27" i="6"/>
  <c r="D16" i="6"/>
  <c r="R25" i="6"/>
  <c r="C10" i="68"/>
  <c r="D19" i="68"/>
  <c r="R23" i="6"/>
  <c r="C4" i="52"/>
  <c r="B45" i="72" s="1"/>
  <c r="A10" i="51"/>
  <c r="B9" i="72" s="1"/>
  <c r="A7" i="51"/>
  <c r="B7" i="72" s="1"/>
  <c r="D27" i="6"/>
  <c r="D31" i="6" s="1"/>
  <c r="R24" i="6"/>
  <c r="R22" i="6"/>
  <c r="C35" i="68"/>
  <c r="C38" i="68"/>
  <c r="P14" i="1"/>
  <c r="P16" i="1" s="1"/>
  <c r="C11" i="12" s="1"/>
  <c r="C10" i="69"/>
  <c r="C8" i="69" s="1"/>
  <c r="C5" i="69" s="1"/>
  <c r="D19" i="69"/>
  <c r="R26" i="6"/>
  <c r="R21" i="6"/>
  <c r="C38" i="11"/>
  <c r="C35" i="11"/>
  <c r="F50" i="69"/>
  <c r="F50" i="11"/>
  <c r="F50" i="68"/>
  <c r="C37" i="43"/>
  <c r="C38" i="43"/>
  <c r="C34" i="43"/>
  <c r="C39" i="43"/>
  <c r="C35" i="43"/>
  <c r="C36" i="43"/>
  <c r="C33" i="43"/>
  <c r="J65" i="40"/>
  <c r="K63" i="40"/>
  <c r="T16" i="43"/>
  <c r="V16" i="43" s="1"/>
  <c r="T12" i="43"/>
  <c r="V12" i="43" s="1"/>
  <c r="T3" i="43"/>
  <c r="V3" i="43" s="1"/>
  <c r="T2" i="43"/>
  <c r="V2" i="43" s="1"/>
  <c r="T15" i="43"/>
  <c r="V15" i="43" s="1"/>
  <c r="T10" i="43"/>
  <c r="V10" i="43" s="1"/>
  <c r="T6" i="43"/>
  <c r="V6" i="43" s="1"/>
  <c r="T14" i="43"/>
  <c r="V14" i="43" s="1"/>
  <c r="T7" i="43"/>
  <c r="V7" i="43" s="1"/>
  <c r="T13" i="43"/>
  <c r="V13" i="43" s="1"/>
  <c r="T4" i="43"/>
  <c r="V4" i="43" s="1"/>
  <c r="T11" i="43"/>
  <c r="V11" i="43" s="1"/>
  <c r="T9" i="43"/>
  <c r="V9" i="43" s="1"/>
  <c r="T8" i="43"/>
  <c r="V8" i="43" s="1"/>
  <c r="T5" i="43"/>
  <c r="V5" i="43" s="1"/>
  <c r="C29" i="43"/>
  <c r="G68" i="39"/>
  <c r="F70" i="39"/>
  <c r="E48" i="21"/>
  <c r="R49" i="21"/>
  <c r="G46" i="37"/>
  <c r="H46" i="37" s="1"/>
  <c r="AC7" i="34"/>
  <c r="V49" i="34" s="1"/>
  <c r="I49" i="34" s="1"/>
  <c r="G54" i="34" s="1"/>
  <c r="H54" i="34" s="1"/>
  <c r="W7" i="34"/>
  <c r="I52" i="21"/>
  <c r="J52" i="21" s="1"/>
  <c r="I53" i="21"/>
  <c r="J53" i="21" s="1"/>
  <c r="J48" i="35"/>
  <c r="H46" i="36"/>
  <c r="G53" i="34"/>
  <c r="H53" i="34" s="1"/>
  <c r="G53" i="21"/>
  <c r="H53" i="21" s="1"/>
  <c r="R50" i="34"/>
  <c r="E49" i="34"/>
  <c r="S7" i="37"/>
  <c r="AA7" i="37"/>
  <c r="R42" i="37" s="1"/>
  <c r="AC7" i="37"/>
  <c r="V42" i="37" s="1"/>
  <c r="I42" i="37" s="1"/>
  <c r="W7" i="37"/>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S20" i="6" l="1"/>
  <c r="H20" i="6"/>
  <c r="R20" i="6" s="1"/>
  <c r="R7" i="1" s="1"/>
  <c r="AQ7" i="1"/>
  <c r="T7" i="1"/>
  <c r="T16" i="1" s="1"/>
  <c r="AR7" i="1"/>
  <c r="C33" i="11"/>
  <c r="C42" i="11" s="1"/>
  <c r="I19" i="6"/>
  <c r="M27" i="6"/>
  <c r="C19" i="69"/>
  <c r="C24" i="69" s="1"/>
  <c r="D37" i="69"/>
  <c r="C37" i="69" s="1"/>
  <c r="C33" i="69" s="1"/>
  <c r="C15" i="12"/>
  <c r="C12" i="12"/>
  <c r="C19" i="68"/>
  <c r="D37" i="68"/>
  <c r="C37" i="68" s="1"/>
  <c r="C33" i="68" s="1"/>
  <c r="C20" i="69"/>
  <c r="C25" i="69" s="1"/>
  <c r="I6" i="6"/>
  <c r="I5" i="6"/>
  <c r="E36" i="43"/>
  <c r="G36" i="43"/>
  <c r="I36" i="43" s="1"/>
  <c r="E39" i="43"/>
  <c r="G39" i="43"/>
  <c r="I39" i="43" s="1"/>
  <c r="G38" i="43"/>
  <c r="I38" i="43" s="1"/>
  <c r="E38" i="43"/>
  <c r="E29" i="43"/>
  <c r="C30" i="43"/>
  <c r="E30" i="43" s="1"/>
  <c r="L63" i="40"/>
  <c r="K65" i="40"/>
  <c r="G33" i="43"/>
  <c r="I33" i="43" s="1"/>
  <c r="E33" i="43"/>
  <c r="E35" i="43"/>
  <c r="G35" i="43"/>
  <c r="I35" i="43" s="1"/>
  <c r="G34" i="43"/>
  <c r="I34" i="43" s="1"/>
  <c r="E34" i="43"/>
  <c r="G37" i="43"/>
  <c r="I37" i="43" s="1"/>
  <c r="E37" i="43"/>
  <c r="I46" i="37"/>
  <c r="J46" i="37" s="1"/>
  <c r="C49" i="34"/>
  <c r="C50" i="34"/>
  <c r="B2" i="34" s="1"/>
  <c r="I46" i="36"/>
  <c r="G47" i="37"/>
  <c r="H47" i="37" s="1"/>
  <c r="C48" i="21"/>
  <c r="C49" i="21"/>
  <c r="B2" i="21" s="1"/>
  <c r="B3" i="21" s="1"/>
  <c r="H68" i="39"/>
  <c r="G70" i="39"/>
  <c r="E42" i="37"/>
  <c r="R43" i="37"/>
  <c r="E54" i="34"/>
  <c r="F54" i="34" s="1"/>
  <c r="E53" i="34"/>
  <c r="F53" i="34" s="1"/>
  <c r="K48" i="35"/>
  <c r="I53" i="34"/>
  <c r="J53" i="34" s="1"/>
  <c r="I54" i="34"/>
  <c r="J54" i="34" s="1"/>
  <c r="E52" i="21"/>
  <c r="F52" i="21" s="1"/>
  <c r="E53" i="21"/>
  <c r="F53" i="21" s="1"/>
  <c r="J19" i="15"/>
  <c r="Q49" i="15"/>
  <c r="C33" i="15"/>
  <c r="C36" i="15"/>
  <c r="C57" i="15"/>
  <c r="J14" i="15"/>
  <c r="C13" i="15"/>
  <c r="J59" i="15"/>
  <c r="J60" i="15" s="1"/>
  <c r="C22" i="11"/>
  <c r="C31" i="11" s="1"/>
  <c r="C33" i="67"/>
  <c r="C31" i="67" s="1"/>
  <c r="J14" i="67"/>
  <c r="C57" i="67"/>
  <c r="C13" i="67"/>
  <c r="J19" i="67"/>
  <c r="J17" i="67" s="1"/>
  <c r="Q49" i="67"/>
  <c r="C36" i="67"/>
  <c r="J59" i="67"/>
  <c r="J60" i="67" s="1"/>
  <c r="C19" i="9"/>
  <c r="C102" i="9" l="1"/>
  <c r="C21" i="9"/>
  <c r="B3" i="34"/>
  <c r="C22" i="69"/>
  <c r="C39" i="11"/>
  <c r="C43" i="11" s="1"/>
  <c r="C41" i="11" s="1"/>
  <c r="S19" i="6"/>
  <c r="S27" i="6" s="1"/>
  <c r="H19" i="6"/>
  <c r="I27" i="6"/>
  <c r="C16" i="12"/>
  <c r="C21" i="12" s="1"/>
  <c r="C39" i="68"/>
  <c r="C43" i="68" s="1"/>
  <c r="C42" i="68"/>
  <c r="C28" i="69"/>
  <c r="C27" i="69" s="1"/>
  <c r="C31" i="69" s="1"/>
  <c r="C39" i="69"/>
  <c r="C42" i="69"/>
  <c r="C20" i="68"/>
  <c r="C24" i="68"/>
  <c r="C22" i="12"/>
  <c r="C27" i="12" s="1"/>
  <c r="C25" i="12" s="1"/>
  <c r="C46" i="11"/>
  <c r="C45" i="11" s="1"/>
  <c r="C27" i="43"/>
  <c r="L65" i="40"/>
  <c r="M63" i="40"/>
  <c r="C26" i="43"/>
  <c r="E47" i="37"/>
  <c r="F47" i="37" s="1"/>
  <c r="E46" i="37"/>
  <c r="F46" i="37" s="1"/>
  <c r="I68" i="39"/>
  <c r="H70" i="39"/>
  <c r="L48" i="35"/>
  <c r="C42" i="37"/>
  <c r="C43" i="37"/>
  <c r="B2" i="37" s="1"/>
  <c r="B3" i="37" s="1"/>
  <c r="J46" i="36"/>
  <c r="I47" i="37"/>
  <c r="J47" i="37"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C20" i="9"/>
  <c r="C103" i="9" l="1"/>
  <c r="C41" i="68"/>
  <c r="C49" i="11"/>
  <c r="C51" i="11" s="1"/>
  <c r="C52" i="11" s="1"/>
  <c r="B2" i="11" s="1"/>
  <c r="B3" i="11" s="1"/>
  <c r="H27" i="6"/>
  <c r="R19" i="6"/>
  <c r="C30" i="12"/>
  <c r="C28" i="12" s="1"/>
  <c r="C32" i="12" s="1"/>
  <c r="B2" i="12" s="1"/>
  <c r="B3" i="12" s="1"/>
  <c r="C28" i="68"/>
  <c r="C27" i="68" s="1"/>
  <c r="C25" i="68"/>
  <c r="C22" i="68" s="1"/>
  <c r="C46" i="69"/>
  <c r="C45" i="69" s="1"/>
  <c r="C43" i="69"/>
  <c r="C41" i="69" s="1"/>
  <c r="C46" i="68"/>
  <c r="C45" i="68" s="1"/>
  <c r="E2" i="76"/>
  <c r="B2" i="43"/>
  <c r="M65" i="40"/>
  <c r="N63" i="40"/>
  <c r="K46" i="36"/>
  <c r="M48" i="35"/>
  <c r="J68" i="39"/>
  <c r="I70" i="39"/>
  <c r="J16" i="67"/>
  <c r="J25" i="67" s="1"/>
  <c r="C40" i="67"/>
  <c r="Q69" i="67"/>
  <c r="Q68" i="67" s="1"/>
  <c r="C58" i="67"/>
  <c r="C67" i="67" s="1"/>
  <c r="C68" i="67" s="1"/>
  <c r="C80" i="67"/>
  <c r="C79" i="67" s="1"/>
  <c r="L51" i="67"/>
  <c r="B6" i="76"/>
  <c r="C31" i="68" l="1"/>
  <c r="C49" i="68"/>
  <c r="C51" i="68" s="1"/>
  <c r="C56" i="11"/>
  <c r="C57" i="11" s="1"/>
  <c r="C49" i="69"/>
  <c r="C51" i="69" s="1"/>
  <c r="C52" i="69" s="1"/>
  <c r="B2" i="69" s="1"/>
  <c r="B3" i="69" s="1"/>
  <c r="R27" i="6"/>
  <c r="R6" i="1"/>
  <c r="B2" i="76"/>
  <c r="B3" i="76" s="1"/>
  <c r="O63" i="40"/>
  <c r="O65" i="40" s="1"/>
  <c r="N65" i="40"/>
  <c r="B3" i="43"/>
  <c r="K68" i="39"/>
  <c r="J70" i="39"/>
  <c r="N48" i="35"/>
  <c r="L46" i="36"/>
  <c r="Q67" i="67"/>
  <c r="L57" i="67"/>
  <c r="L60" i="67" s="1"/>
  <c r="C71" i="67"/>
  <c r="C45" i="67"/>
  <c r="C46" i="67" s="1"/>
  <c r="Q56" i="67"/>
  <c r="Q47" i="67"/>
  <c r="Q53" i="67" s="1"/>
  <c r="Q65" i="67"/>
  <c r="C43" i="67"/>
  <c r="D2" i="67"/>
  <c r="C83" i="67"/>
  <c r="C82" i="67" s="1"/>
  <c r="M21" i="15"/>
  <c r="F35" i="15"/>
  <c r="C52" i="68" l="1"/>
  <c r="C57" i="68" s="1"/>
  <c r="C56" i="68" s="1"/>
  <c r="C57" i="69"/>
  <c r="C56" i="69" s="1"/>
  <c r="B2" i="68"/>
  <c r="B3" i="68" s="1"/>
  <c r="J20" i="15"/>
  <c r="J17" i="15" s="1"/>
  <c r="J16" i="15" s="1"/>
  <c r="J25" i="15" s="1"/>
  <c r="C34" i="15"/>
  <c r="C31" i="15" s="1"/>
  <c r="C30" i="15" s="1"/>
  <c r="C39" i="15" s="1"/>
  <c r="F63" i="15"/>
  <c r="C62" i="15" s="1"/>
  <c r="C59" i="15" s="1"/>
  <c r="C58" i="15" s="1"/>
  <c r="C67" i="15" s="1"/>
  <c r="C68" i="15" s="1"/>
  <c r="R16" i="1"/>
  <c r="F7" i="40"/>
  <c r="J7" i="40"/>
  <c r="H7" i="40"/>
  <c r="O48" i="35"/>
  <c r="J7" i="35"/>
  <c r="L68" i="39"/>
  <c r="K70" i="39"/>
  <c r="M46" i="36"/>
  <c r="N46" i="36" s="1"/>
  <c r="O46" i="36" s="1"/>
  <c r="H7" i="36" s="1"/>
  <c r="F7" i="36"/>
  <c r="J7" i="36"/>
  <c r="Q66" i="67"/>
  <c r="Q75" i="67" s="1"/>
  <c r="Q57" i="67"/>
  <c r="Q62" i="67" s="1"/>
  <c r="B2" i="67"/>
  <c r="B3" i="67"/>
  <c r="L51" i="15"/>
  <c r="L57" i="15" l="1"/>
  <c r="L60" i="15" s="1"/>
  <c r="Q67" i="15"/>
  <c r="Q69" i="15"/>
  <c r="Q68" i="15" s="1"/>
  <c r="C40" i="15"/>
  <c r="C46" i="15" s="1"/>
  <c r="C80" i="15"/>
  <c r="C79" i="15" s="1"/>
  <c r="C71" i="15"/>
  <c r="W7" i="40"/>
  <c r="AC7" i="40"/>
  <c r="V42" i="40" s="1"/>
  <c r="I42" i="40" s="1"/>
  <c r="U7" i="40"/>
  <c r="AB7" i="40"/>
  <c r="T42" i="40" s="1"/>
  <c r="G42" i="40" s="1"/>
  <c r="AA7" i="40"/>
  <c r="R42" i="40" s="1"/>
  <c r="S7" i="40"/>
  <c r="U7" i="36"/>
  <c r="AB7" i="36"/>
  <c r="T36" i="36" s="1"/>
  <c r="G36" i="36" s="1"/>
  <c r="W7" i="36"/>
  <c r="AC7" i="36"/>
  <c r="V36" i="36" s="1"/>
  <c r="I36" i="36" s="1"/>
  <c r="AC7" i="35"/>
  <c r="V38" i="35" s="1"/>
  <c r="I38" i="35" s="1"/>
  <c r="W7" i="35"/>
  <c r="S7" i="36"/>
  <c r="AA7" i="36"/>
  <c r="R36" i="36" s="1"/>
  <c r="M68" i="39"/>
  <c r="L70" i="39"/>
  <c r="F7" i="35"/>
  <c r="H7" i="35"/>
  <c r="Q47" i="15" l="1"/>
  <c r="Q53" i="15" s="1"/>
  <c r="C83" i="15"/>
  <c r="C82" i="15" s="1"/>
  <c r="Q65" i="15"/>
  <c r="C43" i="15"/>
  <c r="Q56" i="15"/>
  <c r="L46" i="15"/>
  <c r="B2" i="15" s="1"/>
  <c r="Q57" i="15"/>
  <c r="Q66" i="15"/>
  <c r="G46" i="40"/>
  <c r="H46" i="40" s="1"/>
  <c r="G47" i="40"/>
  <c r="H47" i="40" s="1"/>
  <c r="I46" i="40"/>
  <c r="J46" i="40" s="1"/>
  <c r="R43" i="40"/>
  <c r="E42" i="40"/>
  <c r="AB7" i="35"/>
  <c r="T38" i="35" s="1"/>
  <c r="G38" i="35" s="1"/>
  <c r="U7" i="35"/>
  <c r="E36" i="36"/>
  <c r="R37" i="36"/>
  <c r="I41" i="36"/>
  <c r="J41" i="36" s="1"/>
  <c r="I40" i="36"/>
  <c r="J40" i="36" s="1"/>
  <c r="G40" i="36"/>
  <c r="H40" i="36" s="1"/>
  <c r="G41" i="36"/>
  <c r="H41" i="36" s="1"/>
  <c r="AA7" i="35"/>
  <c r="R38" i="35" s="1"/>
  <c r="S7" i="35"/>
  <c r="N68" i="39"/>
  <c r="M70" i="39"/>
  <c r="I42" i="35"/>
  <c r="J42" i="35" s="1"/>
  <c r="D19" i="9"/>
  <c r="AO6" i="1"/>
  <c r="D102" i="9" l="1"/>
  <c r="D22" i="9"/>
  <c r="G19" i="9"/>
  <c r="D21" i="9"/>
  <c r="Q75" i="15"/>
  <c r="B6" i="70"/>
  <c r="B2" i="70" s="1"/>
  <c r="B3" i="70" s="1"/>
  <c r="B3" i="15"/>
  <c r="Q62" i="15"/>
  <c r="E47" i="40"/>
  <c r="F47" i="40" s="1"/>
  <c r="E46" i="40"/>
  <c r="F46" i="40" s="1"/>
  <c r="I47" i="40"/>
  <c r="J47" i="40" s="1"/>
  <c r="C43" i="40"/>
  <c r="C42" i="40"/>
  <c r="C36" i="36"/>
  <c r="C37" i="36"/>
  <c r="B2" i="36" s="1"/>
  <c r="B3" i="36" s="1"/>
  <c r="O68" i="39"/>
  <c r="O70" i="39" s="1"/>
  <c r="N70" i="39"/>
  <c r="E38" i="35"/>
  <c r="R39" i="35"/>
  <c r="E40" i="36"/>
  <c r="F40" i="36" s="1"/>
  <c r="E41" i="36"/>
  <c r="F41" i="36" s="1"/>
  <c r="G42" i="35"/>
  <c r="H42" i="35" s="1"/>
  <c r="G43" i="35"/>
  <c r="H43" i="35" s="1"/>
  <c r="D20" i="9"/>
  <c r="G20" i="9" l="1"/>
  <c r="R24" i="31" s="1"/>
  <c r="D103" i="9"/>
  <c r="C32" i="9"/>
  <c r="G21"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E43" i="35"/>
  <c r="F43" i="35" s="1"/>
  <c r="E42" i="35"/>
  <c r="F42" i="35" s="1"/>
  <c r="I43" i="35"/>
  <c r="J43" i="35" s="1"/>
  <c r="F7" i="39"/>
  <c r="H7" i="39"/>
  <c r="J7" i="39"/>
  <c r="R109" i="31" l="1"/>
  <c r="S109"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S24" i="31"/>
  <c r="R107" i="31"/>
  <c r="S107" i="31" s="1"/>
  <c r="R103" i="31"/>
  <c r="S103" i="31" s="1"/>
  <c r="R99" i="31"/>
  <c r="S99" i="31" s="1"/>
  <c r="R95" i="31"/>
  <c r="S95" i="31" s="1"/>
  <c r="R91" i="31"/>
  <c r="S91" i="31" s="1"/>
  <c r="R106" i="31"/>
  <c r="S106" i="31" s="1"/>
  <c r="R102" i="31"/>
  <c r="S102" i="31" s="1"/>
  <c r="R98" i="31"/>
  <c r="S98" i="31" s="1"/>
  <c r="R94" i="31"/>
  <c r="S94" i="31" s="1"/>
  <c r="R90" i="31"/>
  <c r="S90"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5" i="31"/>
  <c r="S105" i="31" s="1"/>
  <c r="R101" i="31"/>
  <c r="S101" i="31" s="1"/>
  <c r="R97" i="31"/>
  <c r="S97" i="31" s="1"/>
  <c r="R93" i="31"/>
  <c r="S93" i="31" s="1"/>
  <c r="R108" i="31"/>
  <c r="S108" i="31" s="1"/>
  <c r="R104" i="31"/>
  <c r="S104" i="31" s="1"/>
  <c r="R100" i="31"/>
  <c r="S100" i="31" s="1"/>
  <c r="R96" i="31"/>
  <c r="S96" i="31" s="1"/>
  <c r="R92" i="31"/>
  <c r="S92"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35" i="9"/>
  <c r="F118" i="9" s="1"/>
  <c r="H118" i="9"/>
  <c r="W7" i="39"/>
  <c r="AC7" i="39"/>
  <c r="V47" i="39" s="1"/>
  <c r="I47" i="39" s="1"/>
  <c r="AA7" i="39"/>
  <c r="R47" i="39" s="1"/>
  <c r="S7" i="39"/>
  <c r="AB7" i="39"/>
  <c r="T47" i="39" s="1"/>
  <c r="G47" i="39" s="1"/>
  <c r="U7" i="39"/>
  <c r="C34" i="9" l="1"/>
  <c r="D118" i="9" s="1"/>
  <c r="D4" i="52" s="1"/>
  <c r="B47" i="72" s="1"/>
  <c r="S22" i="31"/>
  <c r="R22" i="31" s="1"/>
  <c r="B21" i="31" s="1"/>
  <c r="H119" i="9"/>
  <c r="H5" i="52" s="1"/>
  <c r="C104" i="9"/>
  <c r="I118" i="9"/>
  <c r="H101" i="9"/>
  <c r="H4" i="52"/>
  <c r="F4" i="52"/>
  <c r="B51" i="72" s="1"/>
  <c r="G118" i="9"/>
  <c r="G4" i="52" s="1"/>
  <c r="B52" i="72" s="1"/>
  <c r="F119" i="9"/>
  <c r="F5" i="52" s="1"/>
  <c r="B53" i="72" s="1"/>
  <c r="I51" i="39"/>
  <c r="J51" i="39" s="1"/>
  <c r="G52" i="39"/>
  <c r="H52" i="39" s="1"/>
  <c r="G51" i="39"/>
  <c r="H51" i="39" s="1"/>
  <c r="R48" i="39"/>
  <c r="E47" i="39"/>
  <c r="D119" i="9" l="1"/>
  <c r="D5" i="52" s="1"/>
  <c r="B49" i="72" s="1"/>
  <c r="B20" i="31"/>
  <c r="D14" i="74" s="1"/>
  <c r="G14" i="74" s="1"/>
  <c r="I4" i="52"/>
  <c r="E118" i="9"/>
  <c r="E4" i="52" s="1"/>
  <c r="B48" i="72" s="1"/>
  <c r="C105" i="9"/>
  <c r="H102" i="9"/>
  <c r="D7" i="53" s="1"/>
  <c r="B21" i="72" s="1"/>
  <c r="D45" i="9"/>
  <c r="M48" i="9"/>
  <c r="H107" i="9"/>
  <c r="D5" i="53"/>
  <c r="B5" i="74"/>
  <c r="E14" i="74"/>
  <c r="F14" i="74"/>
  <c r="E51" i="39"/>
  <c r="F51" i="39" s="1"/>
  <c r="E52" i="39"/>
  <c r="F52" i="39" s="1"/>
  <c r="I52" i="39"/>
  <c r="J52" i="39" s="1"/>
  <c r="C48" i="39"/>
  <c r="C47" i="39"/>
  <c r="B20" i="72" l="1"/>
  <c r="D6" i="53"/>
  <c r="B22" i="72" s="1"/>
  <c r="D5" i="74"/>
  <c r="C5" i="74"/>
  <c r="H108" i="9"/>
  <c r="D15" i="53" s="1"/>
  <c r="B31" i="72" s="1"/>
  <c r="D122" i="9"/>
  <c r="D13" i="53"/>
  <c r="D55" i="9"/>
  <c r="M53" i="9" s="1"/>
  <c r="C93" i="9"/>
  <c r="C86" i="9" s="1"/>
  <c r="C78" i="9"/>
  <c r="C73" i="9" s="1"/>
  <c r="D53" i="9"/>
  <c r="C64" i="9"/>
  <c r="C63" i="9" s="1"/>
  <c r="C67" i="9" s="1"/>
  <c r="C68" i="9" s="1"/>
  <c r="D54" i="9" s="1"/>
  <c r="D52" i="9"/>
  <c r="C85" i="9"/>
  <c r="C7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5" i="9" l="1"/>
  <c r="C96" i="9" s="1"/>
  <c r="E96" i="9" s="1"/>
  <c r="E97" i="9" s="1"/>
  <c r="C79" i="9"/>
  <c r="C80" i="9" s="1"/>
  <c r="E80" i="9" s="1"/>
  <c r="E81" i="9" s="1"/>
  <c r="D123" i="9"/>
  <c r="D9" i="52" s="1"/>
  <c r="B6" i="74"/>
  <c r="D8" i="52"/>
  <c r="D14" i="53"/>
  <c r="B32" i="72" s="1"/>
  <c r="B30" i="72"/>
  <c r="C97" i="9" l="1"/>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<sst xmlns="http://schemas.openxmlformats.org/spreadsheetml/2006/main" count="8240" uniqueCount="3447">
  <si>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</si>
  <si>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</si>
  <si>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</si>
  <si>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</si>
  <si>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</si>
  <si>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</si>
  <si>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</si>
  <si>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</si>
  <si>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</si>
  <si>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</si>
  <si>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</si>
  <si>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</si>
  <si>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</si>
  <si>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</si>
  <si>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</si>
  <si>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</si>
  <si>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</si>
  <si>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</si>
  <si>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</si>
  <si>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</si>
  <si>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</si>
  <si>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</si>
  <si>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</si>
  <si>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</si>
  <si>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</si>
  <si>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</si>
  <si>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</si>
  <si>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</si>
  <si>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</si>
  <si>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</si>
  <si>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</si>
  <si>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</si>
  <si>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</si>
  <si>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</si>
  <si>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</si>
  <si>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</si>
  <si>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</si>
  <si>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</si>
  <si>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</si>
  <si>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</si>
  <si>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</si>
  <si>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</si>
  <si>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</si>
  <si>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</si>
  <si>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</si>
  <si>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</si>
  <si>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</si>
  <si>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</si>
  <si>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</si>
  <si>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</si>
  <si>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</si>
  <si>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</si>
  <si>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</si>
  <si>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</si>
  <si>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</si>
  <si>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</si>
  <si>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</si>
  <si>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</si>
  <si>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</si>
  <si>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</si>
  <si>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</si>
  <si>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</si>
  <si>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</si>
  <si>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</si>
  <si>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</si>
  <si>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</si>
  <si>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</si>
  <si>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</si>
  <si>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</si>
  <si>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</si>
  <si>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</si>
  <si>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</si>
  <si>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</si>
  <si>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</si>
  <si>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</si>
  <si>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</si>
  <si>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</si>
  <si>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</si>
  <si>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</si>
  <si>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</si>
  <si>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</si>
  <si>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</si>
  <si>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</si>
  <si>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</si>
  <si>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</si>
  <si>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</si>
  <si>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</si>
  <si>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</si>
  <si>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</si>
  <si>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</si>
  <si>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</si>
  <si>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</si>
  <si>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</si>
  <si>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</si>
  <si>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</si>
  <si>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</si>
  <si>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</si>
  <si>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</si>
  <si>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</si>
  <si>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</si>
  <si>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</si>
  <si>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</si>
  <si>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</si>
  <si>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</si>
  <si>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</si>
  <si>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</si>
  <si>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</si>
  <si>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</si>
  <si>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</si>
  <si>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</si>
  <si>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</si>
  <si>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</si>
  <si>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</si>
  <si>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</si>
  <si>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</si>
  <si>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</si>
  <si>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</si>
  <si>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</si>
  <si>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</si>
  <si>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</si>
  <si>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</si>
  <si>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</si>
  <si>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</si>
  <si>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</si>
  <si>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</si>
  <si>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</si>
  <si>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</si>
  <si>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</si>
  <si>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</si>
  <si>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</si>
  <si>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</si>
  <si>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</si>
  <si>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</si>
  <si>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</si>
  <si>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</si>
  <si>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</si>
  <si>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</si>
  <si>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</si>
  <si>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</si>
  <si>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</si>
  <si>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</si>
  <si>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</si>
  <si>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</si>
  <si>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</si>
  <si>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</si>
  <si>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</si>
  <si>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</si>
  <si>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</si>
  <si>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</si>
  <si>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</si>
  <si>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</si>
  <si>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</si>
  <si>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</si>
  <si>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</si>
  <si>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</si>
  <si>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</si>
  <si>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</si>
  <si>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</si>
  <si>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</si>
  <si>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</si>
  <si>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</si>
  <si>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</si>
  <si>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</si>
  <si>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</si>
  <si>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</si>
  <si>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</si>
  <si>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</si>
  <si>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</si>
  <si>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</si>
  <si>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</si>
  <si>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</si>
  <si>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</si>
  <si>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</si>
  <si>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</si>
  <si>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</si>
  <si>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</si>
  <si>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</si>
  <si>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</si>
  <si>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</si>
  <si>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</si>
  <si>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</si>
  <si>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</si>
  <si>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</si>
  <si>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</si>
  <si>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</si>
  <si>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</si>
  <si>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</si>
  <si>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</si>
  <si>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</si>
  <si>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</si>
  <si>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</si>
  <si>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</si>
  <si>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</si>
  <si>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</si>
  <si>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</si>
  <si>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</si>
  <si>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</si>
  <si>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</si>
  <si>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</si>
  <si>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</si>
  <si>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</si>
  <si>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</si>
  <si>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</si>
  <si>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</si>
  <si>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</si>
  <si>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</si>
  <si>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</si>
  <si>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</si>
  <si>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</si>
  <si>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</si>
  <si>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</si>
  <si>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</si>
  <si>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</si>
  <si>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</si>
  <si>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</si>
  <si>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</si>
  <si>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</si>
  <si>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</si>
  <si>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</si>
  <si>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</si>
  <si>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</si>
  <si>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</si>
  <si>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</si>
  <si>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</si>
  <si>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</si>
  <si>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</si>
  <si>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</si>
  <si>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</si>
  <si>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</si>
  <si>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</si>
  <si>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</si>
  <si>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</si>
  <si>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</si>
  <si>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</si>
  <si>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</si>
  <si>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</si>
  <si>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</si>
  <si>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</si>
  <si>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</si>
  <si>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</si>
  <si>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</si>
  <si>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</si>
  <si>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</si>
  <si>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</si>
  <si>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</si>
  <si>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</si>
  <si>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</si>
  <si>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</si>
  <si>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</si>
  <si>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</si>
  <si>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</si>
  <si>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</si>
  <si>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</si>
  <si>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</si>
  <si>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</si>
  <si>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</si>
  <si>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</si>
  <si>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</si>
  <si>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</si>
  <si>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</si>
  <si>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</si>
  <si>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</si>
  <si>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</si>
  <si>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</si>
  <si>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</si>
  <si>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</si>
  <si>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</si>
  <si>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</si>
  <si>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</si>
  <si>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</si>
  <si>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</si>
  <si>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</si>
  <si>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</si>
  <si>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</si>
  <si>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</si>
  <si>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</si>
  <si>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</si>
  <si>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</si>
  <si>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</si>
  <si>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</si>
  <si>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</si>
  <si>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</si>
  <si>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</si>
  <si>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</si>
  <si>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</si>
  <si>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</si>
  <si>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</si>
  <si>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</si>
  <si>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</si>
  <si>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</si>
  <si>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</si>
  <si>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</si>
  <si>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</si>
  <si>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</si>
  <si>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</si>
  <si>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</si>
  <si>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</si>
  <si>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</si>
  <si>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</si>
  <si>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</si>
  <si>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</si>
  <si>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</si>
  <si>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</si>
  <si>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</si>
  <si>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</si>
  <si>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</si>
  <si>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</si>
  <si>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</si>
  <si>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</si>
  <si>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</si>
  <si>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</si>
  <si>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</si>
  <si>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</si>
  <si>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</si>
  <si>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</si>
  <si>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</si>
  <si>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</si>
  <si>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</si>
  <si>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</si>
  <si>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</si>
  <si>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</si>
  <si>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</si>
  <si>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</si>
  <si>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</si>
  <si>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</si>
  <si>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</si>
  <si>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</si>
  <si>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</si>
  <si>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</si>
  <si>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</si>
  <si>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</si>
  <si>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</si>
  <si>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</si>
  <si>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</si>
  <si>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</si>
  <si>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</si>
  <si>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</si>
  <si>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</si>
  <si>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</si>
  <si>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</si>
  <si>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</si>
  <si>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</si>
  <si>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</si>
  <si>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</si>
  <si>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</si>
  <si>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</si>
  <si>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</si>
  <si>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</si>
  <si>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</si>
  <si>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</si>
  <si>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</si>
  <si>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</si>
  <si>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</si>
  <si>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</si>
  <si>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</si>
  <si>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</si>
  <si>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</si>
  <si>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</si>
  <si>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</si>
  <si>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</si>
  <si>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</si>
  <si>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</si>
  <si>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</si>
  <si>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</si>
  <si>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</si>
  <si>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</si>
  <si>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</si>
  <si>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</si>
  <si>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</si>
  <si>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</si>
  <si>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</si>
  <si>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</si>
  <si>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</si>
  <si>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</si>
  <si>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</si>
  <si>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</si>
  <si>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</si>
  <si>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</si>
  <si>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</si>
  <si>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</si>
  <si>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</si>
  <si>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</si>
  <si>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</si>
  <si>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</si>
  <si>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</si>
  <si>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</si>
  <si>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</si>
  <si>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</si>
  <si>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</si>
  <si>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</si>
  <si>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</si>
  <si>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</si>
  <si>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</si>
  <si>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</si>
  <si>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</si>
  <si>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</si>
  <si>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</si>
  <si>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</si>
  <si>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</si>
  <si>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</si>
  <si>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</si>
  <si>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</si>
  <si>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</si>
  <si>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</si>
  <si>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</si>
  <si>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</si>
  <si>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</si>
  <si>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</si>
  <si>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</si>
  <si>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</si>
  <si>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</si>
  <si>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</si>
  <si>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</si>
  <si>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</si>
  <si>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</si>
  <si>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</si>
  <si>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</si>
  <si>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</si>
  <si>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</si>
  <si>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</si>
  <si>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</si>
  <si>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</si>
  <si>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</si>
  <si>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</si>
  <si>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</si>
  <si>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</si>
  <si>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</si>
  <si>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</si>
  <si>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</si>
  <si>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</si>
  <si>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</si>
  <si>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</si>
  <si>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</si>
  <si>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</si>
  <si>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</si>
  <si>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</si>
  <si>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</si>
  <si>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</si>
  <si>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</si>
  <si>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</si>
  <si>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</si>
  <si>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</si>
  <si>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</si>
  <si>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</si>
  <si>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</si>
  <si>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</si>
  <si>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</si>
  <si>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</si>
  <si>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</si>
  <si>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</si>
  <si>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</si>
  <si>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</si>
  <si>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</si>
  <si>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</si>
  <si>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</si>
  <si>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</si>
  <si>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</si>
  <si>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</si>
  <si>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</si>
  <si>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</si>
  <si>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</si>
  <si>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</si>
  <si>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</si>
  <si>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</si>
  <si>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</si>
  <si>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</si>
  <si>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</si>
  <si>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</si>
  <si>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</si>
  <si>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</si>
  <si>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</si>
  <si>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</si>
  <si>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</si>
  <si>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</si>
  <si>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</si>
  <si>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</si>
  <si>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</si>
  <si>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</si>
  <si>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</si>
  <si>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</si>
  <si>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</si>
  <si>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</si>
  <si>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</si>
  <si>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</si>
  <si>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</si>
  <si>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</si>
  <si>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</si>
  <si>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</si>
  <si>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</si>
  <si>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</si>
  <si>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</si>
  <si>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</si>
  <si>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</si>
  <si>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</si>
  <si>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</si>
  <si>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</si>
  <si>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</si>
  <si>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</si>
  <si>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</si>
  <si>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</si>
  <si>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</si>
  <si>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</si>
  <si>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</si>
  <si>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</si>
  <si>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</si>
  <si>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</si>
  <si>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</si>
  <si>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</si>
  <si>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</si>
  <si>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</si>
  <si>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</si>
  <si>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</si>
  <si>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</si>
  <si>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</si>
  <si>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</si>
  <si>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</si>
  <si>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</si>
  <si>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</si>
  <si>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</si>
  <si>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</si>
  <si>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</si>
  <si>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</si>
  <si>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</si>
  <si>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</si>
  <si>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</si>
  <si>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</si>
  <si>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</si>
  <si>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</si>
  <si>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</si>
  <si>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</si>
  <si>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</si>
  <si>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</si>
  <si>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</si>
  <si>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</si>
  <si>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</si>
  <si>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</si>
  <si>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</si>
  <si>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</si>
  <si>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</si>
  <si>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</si>
  <si>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</si>
  <si>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</si>
  <si>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</si>
  <si>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</si>
  <si>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</si>
  <si>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</si>
  <si>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</si>
  <si>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</si>
  <si>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</si>
  <si>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</si>
  <si>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</si>
  <si>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</si>
  <si>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</si>
  <si>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</si>
  <si>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</si>
  <si>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</si>
  <si>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</si>
  <si>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</si>
  <si>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</si>
  <si>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</si>
  <si>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</si>
  <si>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</si>
  <si>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</si>
  <si>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</si>
  <si>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</si>
  <si>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</si>
  <si>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</si>
  <si>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</si>
  <si>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</si>
  <si>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</si>
  <si>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</si>
  <si>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</si>
  <si>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</si>
  <si>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</si>
  <si>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</si>
  <si>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</si>
  <si>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</si>
  <si>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</si>
  <si>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</si>
  <si>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</si>
  <si>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</si>
  <si>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</si>
  <si>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</si>
  <si>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</si>
  <si>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</si>
  <si>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</si>
  <si>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</si>
  <si>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</si>
  <si>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</si>
  <si>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</si>
  <si>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</si>
  <si>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</si>
  <si>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</si>
  <si>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</si>
  <si>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</si>
  <si>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</si>
  <si>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</si>
  <si>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</si>
  <si>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</si>
  <si>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</si>
  <si>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</si>
  <si>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</si>
  <si>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</si>
  <si>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</si>
  <si>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</si>
  <si>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</si>
  <si>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</si>
  <si>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</si>
  <si>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</si>
  <si>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</si>
  <si>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</si>
  <si>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</si>
  <si>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</si>
  <si>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</si>
  <si>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</si>
  <si>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</si>
  <si>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</si>
  <si>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</si>
  <si>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</si>
  <si>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</si>
  <si>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</si>
  <si>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</si>
  <si>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</si>
  <si>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</si>
  <si>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</si>
  <si>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</si>
  <si>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</si>
  <si>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</si>
  <si>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</si>
  <si>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</si>
  <si>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</si>
  <si>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</si>
  <si>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</si>
  <si>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</si>
  <si>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</si>
  <si>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</si>
  <si>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</si>
  <si>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</si>
  <si>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</si>
  <si>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</si>
  <si>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</si>
  <si>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</si>
  <si>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</si>
  <si>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</si>
  <si>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</si>
  <si>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</si>
  <si>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</si>
  <si>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</si>
  <si>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</si>
  <si>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</si>
  <si>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</si>
  <si>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</si>
  <si>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</si>
  <si>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</si>
  <si>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</si>
  <si>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</si>
  <si>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</si>
  <si>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</si>
  <si>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</si>
  <si>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</si>
  <si>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</si>
  <si>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</si>
  <si>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</si>
  <si>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</si>
  <si>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</si>
  <si>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</si>
  <si>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</si>
  <si>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</si>
  <si>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</si>
  <si>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</si>
  <si>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</si>
  <si>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</si>
  <si>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</si>
  <si>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</si>
  <si>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</si>
  <si>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</si>
  <si>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</si>
  <si>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</si>
  <si>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</si>
  <si>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</si>
  <si>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</si>
  <si>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</si>
  <si>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</si>
  <si>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</si>
  <si>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</si>
  <si>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</si>
  <si>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</si>
  <si>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</si>
  <si>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</si>
  <si>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</si>
  <si>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</si>
  <si>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</si>
  <si>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</si>
  <si>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</si>
  <si>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</si>
  <si>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</si>
  <si>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</si>
  <si>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</si>
  <si>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</si>
  <si>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</si>
  <si>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</si>
  <si>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</si>
  <si>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</si>
  <si>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</si>
  <si>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</si>
  <si>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</si>
  <si>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</si>
  <si>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</si>
  <si>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</si>
  <si>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</si>
  <si>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</si>
  <si>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</si>
  <si>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</si>
  <si>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</si>
  <si>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</si>
  <si>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</si>
  <si>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</si>
  <si>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</si>
  <si>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</si>
  <si>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</si>
  <si>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</si>
  <si>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</si>
  <si>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</si>
  <si>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</si>
  <si>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</si>
  <si>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</si>
  <si>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</si>
  <si>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</si>
  <si>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</si>
  <si>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</si>
  <si>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</si>
  <si>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</si>
  <si>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</si>
  <si>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</si>
  <si>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</si>
  <si>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</si>
  <si>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</si>
  <si>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</si>
  <si>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</si>
  <si>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</si>
  <si>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</si>
  <si>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</si>
  <si>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</si>
  <si>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</si>
  <si>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</si>
  <si>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</si>
  <si>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</si>
  <si>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</si>
  <si>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</si>
  <si>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</si>
  <si>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</si>
  <si>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</si>
  <si>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</si>
  <si>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</si>
  <si>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</si>
  <si>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</si>
  <si>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</si>
  <si>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</si>
  <si>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</si>
  <si>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</si>
  <si>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</si>
  <si>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</si>
  <si>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</si>
  <si>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</si>
  <si>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</si>
  <si>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</si>
  <si>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</si>
  <si>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</si>
  <si>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</si>
  <si>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</si>
  <si>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</si>
  <si>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</si>
  <si>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</si>
  <si>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</si>
  <si>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</si>
  <si>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</si>
  <si>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</si>
  <si>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</si>
  <si>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</si>
  <si>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</si>
  <si>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</si>
  <si>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</si>
  <si>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</si>
  <si>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</si>
  <si>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</si>
  <si>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</si>
  <si>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</si>
  <si>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</si>
  <si>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</si>
  <si>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</si>
  <si>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</si>
  <si>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</si>
  <si>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</si>
  <si>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</si>
  <si>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</si>
  <si>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</si>
  <si>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</si>
  <si>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</si>
  <si>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</si>
  <si>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</si>
  <si>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</si>
  <si>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</si>
  <si>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</si>
  <si>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</si>
  <si>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</si>
  <si>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</si>
  <si>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</si>
  <si>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</si>
  <si>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</si>
  <si>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</si>
  <si>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</si>
  <si>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</si>
  <si>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</si>
  <si>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</si>
  <si>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</si>
  <si>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</si>
  <si>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</si>
  <si>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</si>
  <si>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</si>
  <si>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</si>
  <si>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</si>
  <si>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</si>
  <si>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</si>
  <si>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</si>
  <si>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</si>
  <si>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</si>
  <si>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</si>
  <si>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</si>
  <si>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</si>
  <si>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</si>
  <si>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</si>
  <si>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</si>
  <si>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</si>
  <si>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</si>
  <si>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</si>
  <si>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</si>
  <si>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</si>
  <si>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</si>
  <si>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</si>
  <si>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</si>
  <si>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</si>
  <si>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</si>
  <si>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</si>
  <si>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</si>
  <si>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</si>
  <si>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</si>
  <si>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</si>
  <si>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</si>
  <si>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</si>
  <si>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</si>
  <si>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</si>
  <si>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</si>
  <si>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</si>
  <si>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</si>
  <si>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</si>
  <si>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</si>
  <si>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</si>
  <si>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</si>
  <si>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</si>
  <si>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</si>
  <si>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</si>
  <si>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</si>
  <si>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</si>
  <si>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</si>
  <si>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</si>
  <si>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</si>
  <si>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</si>
  <si>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</si>
  <si>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</si>
  <si>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</si>
  <si>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</si>
  <si>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</si>
  <si>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</si>
  <si>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</si>
  <si>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</si>
  <si>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</si>
  <si>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</si>
  <si>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</si>
  <si>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</si>
  <si>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</si>
  <si>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</si>
  <si>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</si>
  <si>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</si>
  <si>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</si>
  <si>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</si>
  <si>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</si>
  <si>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</si>
  <si>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</si>
  <si>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</si>
  <si>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</si>
  <si>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</si>
  <si>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</si>
  <si>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</si>
  <si>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</si>
  <si>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</si>
  <si>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</si>
  <si>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</si>
  <si>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</si>
  <si>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</si>
  <si>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</si>
  <si>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</si>
  <si>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</si>
  <si>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</si>
  <si>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</si>
  <si>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</si>
  <si>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</si>
  <si>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</si>
  <si>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</si>
  <si>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</si>
  <si>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</si>
  <si>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</si>
  <si>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</si>
  <si>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</si>
  <si>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</si>
  <si>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</si>
  <si>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</si>
  <si>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</si>
  <si>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</si>
  <si>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</si>
  <si>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</si>
  <si>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</si>
  <si>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</si>
  <si>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</si>
  <si>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</si>
  <si>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</si>
  <si>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</si>
  <si>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</si>
  <si>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</si>
  <si>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</si>
  <si>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</si>
  <si>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</si>
  <si>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</si>
  <si>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</si>
  <si>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</si>
  <si>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</si>
  <si>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</si>
  <si>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</si>
  <si>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</si>
  <si>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</si>
  <si>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</si>
  <si>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</si>
  <si>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</si>
  <si>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</si>
  <si>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</si>
  <si>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</si>
  <si>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</si>
  <si>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</si>
  <si>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</si>
  <si>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</si>
  <si>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</si>
  <si>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</si>
  <si>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</si>
  <si>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</si>
  <si>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</si>
  <si>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</si>
  <si>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</si>
  <si>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</si>
  <si>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</si>
  <si>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</si>
  <si>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</si>
  <si>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</si>
  <si>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</si>
  <si>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</si>
  <si>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</si>
  <si>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</si>
  <si>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</si>
  <si>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</si>
  <si>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</si>
  <si>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</si>
  <si>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</si>
  <si>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</si>
  <si>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</si>
  <si>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</si>
  <si>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</si>
  <si>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</si>
  <si>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</si>
  <si>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</si>
  <si>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</si>
  <si>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</si>
  <si>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</si>
  <si>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</si>
  <si>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</si>
  <si>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</si>
  <si>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</si>
  <si>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</si>
  <si>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</si>
  <si>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</si>
  <si>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</si>
  <si>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</si>
  <si>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</si>
  <si>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</si>
  <si>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</si>
  <si>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</si>
  <si>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</si>
  <si>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</si>
  <si>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</si>
  <si>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</si>
  <si>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</si>
  <si>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</si>
  <si>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</si>
  <si>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</si>
  <si>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</si>
  <si>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</si>
  <si>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</si>
  <si>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</si>
  <si>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</si>
  <si>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</si>
  <si>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</si>
  <si>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</si>
  <si>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</si>
  <si>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</si>
  <si>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</si>
  <si>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</si>
  <si>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</si>
  <si>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</si>
  <si>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</si>
  <si>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</si>
  <si>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</si>
  <si>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</si>
  <si>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</si>
  <si>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</si>
  <si>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</si>
  <si>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</si>
  <si>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</si>
  <si>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</si>
  <si>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</si>
  <si>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</si>
  <si>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</si>
  <si>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</si>
  <si>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</si>
  <si>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</si>
  <si>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</si>
  <si>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</si>
  <si>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</si>
  <si>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</si>
  <si>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</si>
  <si>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</si>
  <si>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</si>
  <si>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</si>
  <si>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</si>
  <si>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</si>
  <si>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</si>
  <si>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</si>
  <si>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</si>
  <si>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</si>
  <si>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</si>
  <si>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</si>
  <si>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</si>
  <si>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</si>
  <si>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</si>
  <si>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</si>
  <si>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</si>
  <si>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</si>
  <si>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</si>
  <si>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</si>
  <si>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</si>
  <si>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</si>
  <si>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</si>
  <si>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</si>
  <si>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</si>
  <si>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</si>
  <si>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</si>
  <si>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</si>
  <si>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</si>
  <si>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</si>
  <si>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</si>
  <si>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</si>
  <si>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</si>
  <si>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</si>
  <si>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</si>
  <si>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</si>
  <si>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</si>
  <si>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</si>
  <si>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</si>
  <si>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</si>
  <si>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</si>
  <si>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</si>
  <si>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</si>
  <si>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</si>
  <si>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</si>
  <si>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</si>
  <si>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</si>
  <si>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</si>
  <si>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</si>
  <si>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</si>
  <si>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</si>
  <si>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</si>
  <si>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</si>
  <si>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</si>
  <si>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</si>
  <si>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</si>
  <si>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</si>
  <si>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</si>
  <si>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</si>
  <si>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</si>
  <si>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</si>
  <si>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</si>
  <si>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</si>
  <si>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</si>
  <si>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</si>
  <si>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</si>
  <si>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</si>
  <si>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</si>
  <si>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</si>
  <si>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</si>
  <si>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</si>
  <si>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</si>
  <si>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</si>
  <si>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</si>
  <si>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</si>
  <si>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</si>
  <si>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</si>
  <si>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</si>
  <si>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</si>
  <si>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</si>
  <si>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</si>
  <si>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</si>
  <si>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</si>
  <si>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</si>
  <si>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</si>
  <si>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</si>
  <si>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</si>
  <si>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</si>
  <si>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</si>
  <si>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</si>
  <si>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</si>
  <si>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</si>
  <si>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</si>
  <si>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</si>
  <si>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</si>
  <si>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</si>
  <si>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</si>
  <si>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</si>
  <si>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</si>
  <si>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</si>
  <si>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</si>
  <si>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</si>
  <si>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</si>
  <si>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</si>
  <si>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</si>
  <si>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</si>
  <si>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</si>
  <si>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</si>
  <si>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</si>
  <si>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</si>
  <si>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</si>
  <si>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</si>
  <si>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</si>
  <si>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</si>
  <si>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</si>
  <si>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</si>
  <si>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</si>
  <si>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</si>
  <si>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</si>
  <si>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</si>
  <si>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</si>
  <si>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</si>
  <si>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</si>
  <si>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</si>
  <si>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</si>
  <si>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</si>
  <si>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</si>
  <si>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</si>
  <si>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</si>
  <si>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</si>
  <si>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</si>
  <si>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</si>
  <si>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</si>
  <si>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</si>
  <si>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</si>
  <si>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</si>
  <si>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</si>
  <si>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</si>
  <si>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</si>
  <si>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</si>
  <si>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</si>
  <si>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</si>
  <si>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</si>
  <si>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</si>
  <si>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</si>
  <si>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</si>
  <si>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</si>
  <si>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</si>
  <si>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</si>
  <si>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</si>
  <si>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</si>
  <si>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</si>
  <si>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</si>
  <si>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</si>
  <si>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</si>
  <si>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</si>
  <si>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</si>
  <si>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</si>
  <si>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</si>
  <si>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</si>
  <si>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</si>
  <si>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</si>
  <si>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</si>
  <si>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</si>
  <si>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</si>
  <si>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</si>
  <si>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</si>
  <si>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</si>
  <si>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</si>
  <si>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</si>
  <si>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</si>
  <si>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</si>
  <si>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</si>
  <si>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</si>
  <si>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</si>
  <si>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</si>
  <si>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</si>
  <si>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</si>
  <si>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</si>
  <si>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</si>
  <si>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</si>
  <si>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</si>
  <si>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</si>
  <si>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</si>
  <si>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</si>
  <si>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</si>
  <si>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</si>
  <si>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</si>
  <si>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</si>
  <si>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</si>
  <si>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</si>
  <si>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</si>
  <si>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</si>
  <si>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</si>
  <si>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</si>
  <si>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</si>
  <si>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</si>
  <si>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</si>
  <si>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</si>
  <si>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</si>
  <si>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</si>
  <si>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</si>
  <si>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</si>
  <si>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</si>
  <si>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</si>
  <si>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</si>
  <si>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</si>
  <si>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</si>
  <si>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</si>
  <si>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</si>
  <si>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</si>
  <si>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</si>
  <si>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</si>
  <si>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</si>
  <si>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</si>
  <si>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</si>
  <si>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</si>
  <si>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</si>
  <si>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</si>
  <si>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</si>
  <si>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</si>
  <si>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</si>
  <si>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</si>
  <si>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</si>
  <si>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</si>
  <si>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</si>
  <si>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</si>
  <si>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</si>
  <si>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</si>
  <si>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</si>
  <si>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</si>
  <si>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</si>
  <si>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</si>
  <si>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</si>
  <si>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</si>
  <si>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</si>
  <si>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</si>
  <si>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</si>
  <si>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</si>
  <si>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</si>
  <si>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</si>
  <si>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</si>
  <si>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</si>
  <si>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</si>
  <si>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</si>
  <si>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</si>
  <si>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</si>
  <si>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</si>
  <si>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</si>
  <si>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</si>
  <si>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</si>
  <si>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</si>
  <si>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</si>
  <si>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</si>
  <si>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</si>
  <si>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</si>
  <si>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</si>
  <si>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</si>
  <si>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</si>
  <si>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</si>
  <si>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</si>
  <si>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</si>
  <si>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</si>
  <si>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</si>
  <si>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</si>
  <si>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</si>
  <si>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</si>
  <si>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</si>
  <si>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</si>
  <si>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</si>
  <si>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</si>
  <si>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</si>
  <si>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</si>
  <si>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</si>
  <si>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</si>
  <si>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</si>
  <si>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</si>
  <si>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</si>
  <si>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</si>
  <si>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</si>
  <si>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</si>
  <si>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</si>
  <si>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</si>
  <si>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</si>
  <si>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</si>
  <si>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</si>
  <si>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</si>
  <si>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</si>
  <si>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</si>
  <si>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</si>
  <si>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</si>
  <si>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</si>
  <si>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</si>
  <si>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</si>
  <si>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</si>
  <si>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</si>
  <si>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</si>
  <si>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</si>
  <si>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</si>
  <si>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</si>
  <si>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</si>
  <si>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</si>
  <si>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</si>
  <si>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</si>
  <si>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</si>
  <si>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</si>
  <si>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</si>
  <si>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</si>
  <si>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</si>
  <si>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</si>
  <si>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</si>
  <si>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</si>
  <si>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</si>
  <si>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</si>
  <si>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</si>
  <si>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</si>
  <si>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</si>
  <si>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</si>
  <si>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</si>
  <si>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</si>
  <si>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</si>
  <si>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</si>
  <si>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</si>
  <si>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</si>
  <si>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</si>
  <si>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</si>
  <si>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</si>
  <si>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</si>
  <si>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</si>
  <si>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</si>
  <si>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</si>
  <si>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</si>
  <si>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</si>
  <si>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</si>
  <si>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</si>
  <si>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</si>
  <si>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</si>
  <si>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</si>
  <si>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</si>
  <si>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</si>
  <si>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</si>
  <si>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</si>
  <si>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</si>
  <si>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</si>
  <si>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</si>
  <si>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</si>
  <si>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</si>
  <si>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</si>
  <si>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</si>
  <si>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</si>
  <si>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</si>
  <si>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</si>
  <si>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</si>
  <si>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</si>
  <si>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</si>
  <si>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</si>
  <si>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</si>
  <si>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</si>
  <si>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</si>
  <si>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</si>
  <si>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</si>
  <si>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</si>
  <si>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</si>
  <si>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</si>
  <si>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</si>
  <si>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</si>
  <si>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</si>
  <si>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</si>
  <si>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</si>
  <si>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</si>
  <si>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</si>
  <si>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</si>
  <si>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</si>
  <si>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</si>
  <si>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</si>
  <si>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</si>
  <si>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</si>
  <si>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</si>
  <si>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</si>
  <si>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</si>
  <si>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</si>
  <si>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</si>
  <si>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</si>
  <si>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</si>
  <si>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</si>
  <si>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</si>
  <si>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</si>
  <si>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</si>
  <si>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</si>
  <si>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</si>
  <si>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</si>
  <si>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</si>
  <si>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</si>
  <si>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</si>
  <si>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</si>
  <si>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</si>
  <si>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</si>
  <si>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</si>
  <si>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</si>
  <si>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</si>
  <si>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</si>
  <si>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</si>
  <si>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</si>
  <si>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</si>
  <si>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</si>
  <si>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</si>
  <si>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</si>
  <si>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</si>
  <si>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</si>
  <si>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</si>
  <si>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</si>
  <si>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</si>
  <si>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</si>
  <si>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</si>
  <si>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</si>
  <si>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</si>
  <si>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</si>
  <si>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</si>
  <si>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</si>
  <si>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</si>
  <si>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</si>
  <si>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</si>
  <si>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</si>
  <si>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</si>
  <si>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</si>
  <si>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</si>
  <si>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</si>
  <si>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</si>
  <si>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</si>
  <si>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</si>
  <si>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</si>
  <si>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</si>
  <si>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</si>
  <si>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</si>
  <si>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</si>
  <si>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</si>
  <si>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</si>
  <si>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</si>
  <si>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</si>
  <si>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</si>
  <si>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</si>
  <si>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</si>
  <si>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</si>
  <si>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</si>
  <si>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</si>
  <si>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</si>
  <si>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</si>
  <si>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</si>
  <si>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</si>
  <si>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</si>
  <si>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</si>
  <si>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</si>
  <si>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</si>
  <si>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</si>
  <si>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</si>
  <si>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</si>
  <si>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</si>
  <si>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</si>
  <si>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</si>
  <si>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</si>
  <si>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</si>
  <si>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</si>
  <si>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</si>
  <si>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</si>
  <si>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</si>
  <si>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</si>
  <si>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</si>
  <si>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</si>
  <si>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</si>
  <si>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</si>
  <si>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</si>
  <si>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</si>
  <si>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</si>
  <si>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</si>
  <si>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</si>
  <si>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</si>
  <si>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</si>
  <si>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</si>
  <si>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</si>
  <si>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</si>
  <si>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</si>
  <si>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</si>
  <si>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</si>
  <si>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</si>
  <si>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</si>
  <si>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</si>
  <si>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</si>
  <si>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</si>
  <si>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</si>
  <si>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</si>
  <si>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</si>
  <si>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</si>
  <si>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</si>
  <si>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</si>
  <si>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</si>
  <si>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</si>
  <si>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</si>
  <si>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</si>
  <si>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</si>
  <si>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</si>
  <si>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</si>
  <si>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</si>
  <si>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</si>
  <si>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</si>
  <si>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</si>
  <si>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</si>
  <si>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</si>
  <si>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</si>
  <si>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</si>
  <si>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</si>
  <si>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</si>
  <si>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</si>
  <si>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</si>
  <si>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</si>
  <si>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</si>
  <si>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</si>
  <si>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</si>
  <si>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</si>
  <si>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</si>
  <si>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</si>
  <si>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</si>
  <si>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</si>
  <si>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</si>
  <si>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</si>
  <si>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</si>
  <si>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</si>
  <si>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</si>
  <si>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</si>
  <si>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</si>
  <si>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</si>
  <si>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</si>
  <si>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</si>
  <si>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</si>
  <si>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</si>
  <si>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</si>
  <si>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</si>
  <si>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</si>
  <si>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</si>
  <si>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</si>
  <si>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</si>
  <si>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</si>
  <si>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</si>
  <si>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</si>
  <si>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</si>
  <si>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</si>
  <si>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</si>
  <si>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</si>
  <si>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</si>
  <si>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</si>
  <si>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</si>
  <si>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</si>
  <si>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</si>
  <si>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</si>
  <si>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</si>
  <si>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</si>
  <si>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</si>
  <si>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</si>
  <si>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</si>
  <si>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</si>
  <si>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</si>
  <si>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</si>
  <si>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</si>
  <si>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</si>
  <si>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</si>
  <si>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</si>
  <si>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</si>
  <si>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</si>
  <si>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</si>
  <si>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</si>
  <si>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</si>
  <si>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</si>
  <si>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</si>
  <si>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</si>
  <si>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</si>
  <si>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</si>
  <si>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</si>
  <si>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</si>
  <si>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</si>
  <si>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</si>
  <si>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</si>
  <si>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</si>
  <si>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</si>
  <si>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</si>
  <si>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</si>
  <si>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</si>
  <si>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</si>
  <si>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</si>
  <si>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</si>
  <si>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</si>
  <si>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</si>
  <si>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</si>
  <si>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</si>
  <si>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</si>
  <si>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</si>
  <si>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</si>
  <si>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</si>
  <si>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</si>
  <si>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</si>
  <si>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</si>
  <si>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</si>
  <si>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</si>
  <si>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</si>
  <si>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</si>
  <si>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</si>
  <si>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</si>
  <si>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</si>
  <si>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</si>
  <si>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</si>
  <si>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</si>
  <si>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</si>
  <si>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</si>
  <si>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</si>
  <si>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</si>
  <si>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</si>
  <si>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</si>
  <si>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</si>
  <si>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</si>
  <si>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</si>
  <si>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</si>
  <si>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</si>
  <si>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</si>
  <si>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</si>
  <si>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</si>
  <si>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</si>
  <si>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</si>
  <si>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</si>
  <si>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</si>
  <si>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</si>
  <si>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</si>
  <si>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</si>
  <si>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</si>
  <si>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</si>
  <si>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</si>
  <si>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</si>
  <si>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</si>
  <si>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</si>
  <si>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</si>
  <si>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</si>
  <si>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</si>
  <si>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</si>
  <si>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</si>
  <si>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</si>
  <si>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</si>
  <si>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</si>
  <si>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</si>
  <si>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</si>
  <si>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</si>
  <si>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</si>
  <si>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</si>
  <si>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</si>
  <si>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</si>
  <si>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</si>
  <si>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</si>
  <si>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</si>
  <si>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</si>
  <si>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</si>
  <si>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</si>
  <si>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</si>
  <si>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</si>
  <si>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</si>
  <si>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</si>
  <si>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</si>
  <si>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</si>
  <si>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</si>
  <si>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</si>
  <si>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</si>
  <si>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</si>
  <si>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</si>
  <si>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</si>
  <si>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</si>
  <si>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</si>
  <si>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</si>
  <si>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</si>
  <si>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</si>
  <si>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</si>
  <si>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</si>
  <si>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</si>
  <si>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</si>
  <si>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</si>
  <si>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</si>
  <si>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</si>
  <si>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</si>
  <si>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</si>
  <si>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</si>
  <si>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</si>
  <si>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</si>
  <si>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</si>
  <si>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</si>
  <si>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</si>
  <si>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</si>
  <si>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</si>
  <si>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</si>
  <si>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</si>
  <si>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</si>
  <si>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</si>
  <si>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</si>
  <si>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</si>
  <si>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</si>
  <si>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</si>
  <si>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</si>
  <si>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</si>
  <si>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</si>
  <si>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</si>
  <si>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</si>
  <si>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</si>
  <si>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</si>
  <si>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</si>
  <si>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</si>
  <si>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</si>
  <si>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</si>
  <si>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</si>
  <si>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</si>
  <si>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</si>
  <si>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</si>
  <si>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</si>
  <si>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</si>
  <si>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</si>
  <si>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</si>
  <si>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</si>
  <si>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</si>
  <si>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</si>
  <si>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</si>
  <si>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</si>
  <si>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</si>
  <si>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</si>
  <si>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</si>
  <si>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</si>
  <si>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</si>
  <si>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</si>
  <si>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</si>
  <si>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</si>
  <si>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</si>
  <si>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</si>
  <si>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</si>
  <si>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</si>
  <si>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</si>
  <si>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</si>
  <si>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</si>
  <si>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</si>
  <si>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</si>
  <si>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</si>
  <si>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</si>
  <si>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</si>
  <si>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</si>
  <si>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</si>
  <si>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</si>
  <si>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</si>
  <si>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</si>
  <si>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</si>
  <si>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</si>
  <si>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</si>
  <si>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</si>
  <si>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</si>
  <si>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</si>
  <si>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</si>
  <si>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</si>
  <si>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</si>
  <si>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</si>
  <si>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</si>
  <si>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</si>
  <si>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</si>
  <si>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</si>
  <si>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</si>
  <si>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</si>
  <si>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</si>
  <si>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</si>
  <si>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</si>
  <si>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</si>
  <si>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</si>
  <si>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</si>
  <si>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</si>
  <si>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</si>
  <si>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</si>
  <si>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</si>
  <si>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</si>
  <si>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</si>
  <si>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</si>
  <si>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</si>
  <si>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</si>
  <si>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</si>
  <si>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</si>
  <si>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</si>
  <si>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</si>
  <si>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</si>
  <si>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</si>
  <si>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</si>
  <si>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</si>
  <si>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</si>
  <si>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</si>
  <si>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</si>
  <si>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</si>
  <si>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</si>
  <si>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</si>
  <si>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</si>
  <si>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</si>
  <si>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</si>
  <si>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</si>
  <si>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</si>
  <si>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</si>
  <si>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</si>
  <si>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</si>
  <si>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</si>
  <si>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</si>
  <si>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</si>
  <si>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</si>
  <si>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</si>
  <si>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</si>
  <si>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</si>
  <si>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</si>
  <si>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</si>
  <si>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</si>
  <si>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</si>
  <si>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</si>
  <si>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</si>
  <si>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</si>
  <si>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</si>
  <si>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</si>
  <si>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</si>
  <si>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</si>
  <si>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</si>
  <si>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</si>
  <si>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</si>
  <si>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</si>
  <si>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</si>
  <si>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</si>
  <si>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</si>
  <si>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</si>
  <si>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</si>
  <si>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</si>
  <si>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</si>
  <si>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</si>
  <si>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</si>
  <si>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</si>
  <si>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</si>
  <si>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</si>
  <si>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</si>
  <si>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</si>
  <si>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</si>
  <si>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</si>
  <si>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</si>
  <si>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</si>
  <si>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</si>
  <si>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</si>
  <si>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</si>
  <si>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</si>
  <si>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</si>
  <si>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</si>
  <si>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</si>
  <si>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</si>
  <si>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</si>
  <si>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</si>
  <si>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</si>
  <si>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</si>
  <si>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</si>
  <si>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</si>
  <si>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</si>
  <si>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</si>
  <si>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</si>
  <si>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</si>
  <si>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</si>
  <si>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</si>
  <si>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</si>
  <si>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</si>
  <si>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</si>
  <si>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</si>
  <si>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</si>
  <si>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</si>
  <si>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</si>
  <si>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</si>
  <si>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</si>
  <si>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</si>
  <si>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</si>
  <si>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</si>
  <si>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</si>
  <si>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</si>
  <si>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</si>
  <si>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</si>
  <si>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</si>
  <si>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</si>
  <si>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</si>
  <si>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</si>
  <si>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</si>
  <si>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</si>
  <si>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</si>
  <si>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</si>
  <si>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</si>
  <si>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</si>
  <si>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</si>
  <si>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</si>
  <si>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</si>
  <si>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</si>
  <si>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</si>
  <si>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</si>
  <si>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</si>
  <si>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</si>
  <si>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</si>
  <si>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</si>
  <si>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</si>
  <si>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</si>
  <si>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</si>
  <si>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</si>
  <si>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</si>
  <si>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</si>
  <si>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</si>
  <si>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</si>
  <si>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</si>
  <si>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</si>
  <si>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</si>
  <si>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</si>
  <si>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</si>
  <si>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</si>
  <si>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</si>
  <si>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</si>
  <si>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</si>
  <si>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</si>
  <si>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</si>
  <si>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</si>
  <si>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</si>
  <si>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</si>
  <si>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</si>
  <si>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</si>
  <si>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</si>
  <si>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</si>
  <si>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</si>
  <si>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</si>
  <si>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</si>
  <si>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</si>
  <si>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</si>
  <si>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</si>
  <si>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</si>
  <si>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</si>
  <si>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</si>
  <si>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</si>
  <si>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</si>
  <si>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</si>
  <si>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</si>
  <si>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</si>
  <si>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</si>
  <si>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</si>
  <si>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</si>
  <si>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</si>
  <si>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</si>
  <si>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</si>
  <si>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</si>
  <si>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</si>
  <si>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</si>
  <si>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</si>
  <si>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</si>
  <si>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</si>
  <si>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</si>
  <si>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</si>
  <si>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</si>
  <si>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</si>
  <si>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</si>
  <si>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</si>
  <si>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</si>
  <si>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</si>
  <si>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</si>
  <si>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</si>
  <si>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</si>
  <si>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</si>
  <si>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</si>
  <si>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</si>
  <si>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</si>
  <si>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</si>
  <si>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</si>
  <si>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</si>
  <si>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</si>
  <si>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</si>
  <si>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</si>
  <si>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</si>
  <si>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</si>
  <si>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</si>
  <si>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</si>
  <si>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</si>
  <si>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</si>
  <si>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</si>
  <si>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</si>
  <si>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</si>
  <si>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</si>
  <si>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</si>
  <si>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</si>
  <si>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</si>
  <si>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</si>
  <si>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</si>
  <si>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</si>
  <si>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</si>
  <si>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</si>
  <si>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</si>
  <si>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</si>
  <si>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</si>
  <si>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</si>
  <si>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</si>
  <si>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</si>
  <si>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</si>
  <si>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</si>
  <si>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</si>
  <si>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</si>
  <si>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</si>
  <si>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</si>
  <si>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</si>
  <si>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</si>
  <si>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</si>
  <si>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</si>
  <si>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</si>
  <si>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</si>
  <si>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</si>
  <si>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</si>
  <si>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</si>
  <si>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</si>
  <si>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</si>
  <si>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</si>
  <si>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</si>
  <si>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</si>
  <si>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</si>
  <si>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</si>
  <si>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</si>
  <si>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</si>
  <si>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</si>
  <si>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</si>
  <si>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</si>
  <si>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</si>
  <si>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</si>
  <si>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</si>
  <si>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</si>
  <si>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</si>
  <si>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</si>
  <si>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</si>
  <si>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</si>
  <si>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</si>
  <si>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</si>
  <si>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</si>
  <si>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</si>
  <si>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</si>
  <si>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</si>
  <si>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</si>
  <si>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</si>
  <si>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</si>
  <si>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</si>
  <si>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</si>
  <si>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</si>
  <si>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</si>
  <si>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</si>
  <si>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</si>
  <si>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</si>
  <si>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</si>
  <si>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</si>
  <si>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</si>
  <si>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</si>
  <si>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</si>
  <si>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</si>
  <si>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</si>
  <si>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</si>
  <si>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</si>
  <si>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</si>
  <si>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</si>
  <si>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</si>
  <si>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</si>
  <si>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</si>
  <si>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</si>
  <si>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</si>
  <si>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</si>
  <si>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</si>
  <si>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</si>
  <si>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</si>
  <si>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</si>
  <si>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</si>
  <si>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</si>
  <si>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</si>
  <si>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</si>
  <si>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</si>
  <si>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</si>
  <si>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</si>
  <si>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</si>
  <si>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</si>
  <si>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</si>
  <si>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</si>
  <si>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</si>
  <si>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</si>
  <si>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</si>
  <si>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</si>
  <si>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</si>
  <si>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</si>
  <si>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</si>
  <si>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</si>
  <si>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</si>
  <si>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</si>
  <si>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</si>
  <si>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</si>
  <si>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</si>
  <si>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</si>
  <si>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</si>
  <si>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</si>
  <si>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</si>
  <si>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</si>
  <si>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</si>
  <si>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</si>
  <si>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</si>
  <si>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</si>
  <si>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</si>
  <si>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</si>
  <si>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</si>
  <si>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</si>
  <si>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</si>
  <si>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</si>
  <si>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</si>
  <si>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</si>
  <si>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</si>
  <si>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</si>
  <si>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</si>
  <si>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</si>
  <si>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</si>
  <si>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</si>
  <si>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</si>
  <si>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</si>
  <si>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</si>
  <si>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</si>
  <si>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</si>
  <si>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</si>
  <si>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</si>
  <si>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</si>
  <si>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</si>
  <si>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</si>
  <si>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</si>
  <si>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</si>
  <si>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</si>
  <si>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</si>
  <si>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</si>
  <si>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</si>
  <si>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</si>
  <si>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</si>
  <si>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</si>
  <si>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</si>
  <si>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</si>
  <si>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</si>
  <si>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</si>
  <si>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</si>
  <si>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</si>
  <si>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</si>
  <si>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</si>
  <si>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</si>
  <si>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</si>
  <si>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</si>
  <si>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</si>
  <si>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</si>
  <si>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</si>
  <si>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</si>
  <si>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</si>
  <si>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</si>
  <si>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</si>
  <si>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</si>
  <si>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</si>
  <si>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</si>
  <si>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</si>
  <si>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</si>
  <si>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</si>
  <si>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</si>
  <si>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</si>
  <si>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</si>
  <si>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</si>
  <si>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</si>
  <si>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</si>
  <si>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</si>
  <si>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</si>
  <si>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</si>
  <si>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</si>
  <si>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</si>
  <si>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</si>
  <si>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</si>
  <si>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</si>
  <si>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</si>
  <si>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</si>
  <si>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</si>
  <si>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</si>
  <si>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</si>
  <si>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</si>
  <si>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</si>
  <si>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</si>
  <si>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</si>
  <si>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</si>
  <si>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</si>
  <si>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</si>
  <si>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</si>
  <si>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</si>
  <si>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</si>
  <si>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</si>
  <si>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</si>
  <si>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</si>
  <si>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</si>
  <si>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</si>
  <si>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</si>
  <si>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</si>
  <si>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</si>
  <si>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</si>
  <si>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</si>
  <si>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</si>
  <si>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</si>
  <si>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</si>
  <si>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</si>
  <si>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</si>
  <si>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</si>
  <si>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</si>
  <si>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</si>
  <si>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</si>
  <si>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</si>
  <si>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</si>
  <si>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</si>
  <si>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</si>
  <si>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</si>
  <si>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</si>
  <si>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</si>
  <si>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</si>
  <si>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</si>
  <si>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</si>
  <si>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</si>
  <si>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</si>
  <si>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</si>
  <si>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</si>
  <si>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</si>
  <si>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</si>
  <si>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</si>
  <si>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</si>
  <si>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</si>
  <si>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</si>
  <si>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</si>
  <si>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</si>
  <si>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</si>
  <si>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</si>
  <si>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</si>
  <si>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</si>
  <si>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</si>
  <si>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</si>
  <si>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</si>
  <si>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</si>
  <si>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</si>
  <si>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</si>
  <si>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</si>
  <si>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</si>
  <si>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</si>
  <si>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</si>
  <si>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</si>
  <si>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</si>
  <si>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</si>
  <si>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</si>
  <si>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</si>
  <si>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</si>
  <si>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</si>
  <si>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</si>
  <si>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</si>
  <si>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</si>
  <si>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</si>
  <si>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</si>
  <si>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</si>
  <si>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</si>
  <si>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</si>
  <si>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</si>
  <si>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</si>
  <si>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</si>
  <si>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</si>
  <si>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</si>
  <si>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</si>
  <si>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</si>
  <si>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</si>
  <si>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</si>
  <si>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</si>
  <si>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</si>
  <si>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</si>
  <si>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</si>
  <si>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</si>
  <si>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</si>
  <si>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</si>
  <si>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</si>
  <si>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</si>
  <si>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</si>
  <si>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</si>
  <si>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</si>
  <si>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</si>
  <si>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</si>
  <si>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</si>
  <si>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</si>
  <si>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</si>
  <si>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</si>
  <si>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</si>
  <si>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</si>
  <si>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</si>
  <si>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</si>
  <si>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</si>
  <si>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</si>
  <si>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</si>
  <si>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</si>
  <si>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</si>
  <si>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</si>
  <si>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</si>
  <si>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</si>
  <si>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</si>
  <si>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</si>
  <si>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</si>
  <si>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</si>
  <si>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</si>
  <si>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</si>
  <si>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</si>
  <si>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</si>
  <si>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</si>
  <si>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</si>
  <si>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</si>
  <si>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</si>
  <si>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</si>
  <si>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</si>
  <si>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</si>
  <si>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</si>
  <si>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</si>
  <si>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</si>
  <si>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</si>
  <si>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</si>
  <si>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</si>
  <si>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</si>
  <si>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</si>
  <si>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</si>
  <si>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</si>
  <si>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</si>
  <si>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</si>
  <si>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</si>
  <si>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</si>
  <si>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</si>
  <si>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</si>
  <si>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</si>
  <si>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</si>
  <si>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</si>
  <si>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</si>
  <si>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</si>
  <si>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</si>
  <si>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</si>
  <si>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</si>
  <si>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</si>
  <si>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</si>
  <si>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</si>
  <si>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</si>
  <si>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</si>
  <si>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</si>
  <si>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</si>
  <si>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</si>
  <si>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</si>
  <si>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</si>
  <si>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</si>
  <si>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</si>
  <si>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</si>
  <si>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</si>
  <si>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</si>
  <si>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</si>
  <si>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</si>
  <si>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</si>
  <si>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</si>
  <si>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</si>
  <si>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</si>
  <si>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</si>
  <si>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</si>
  <si>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</si>
  <si>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</si>
  <si>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</si>
  <si>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</si>
  <si>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</si>
  <si>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</si>
  <si>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</si>
  <si>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</si>
  <si>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</si>
  <si>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</si>
  <si>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</si>
  <si>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</si>
  <si>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</si>
  <si>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</si>
  <si>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</si>
  <si>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</si>
  <si>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</si>
  <si>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</si>
  <si>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</si>
  <si>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</si>
  <si>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</si>
  <si>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</si>
  <si>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</si>
  <si>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</si>
  <si>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</si>
  <si>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</si>
  <si>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</si>
  <si>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</si>
  <si>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</si>
  <si>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</si>
  <si>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</si>
  <si>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</si>
  <si>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</si>
  <si>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</si>
  <si>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</si>
  <si>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</si>
  <si>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</si>
  <si>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</si>
  <si>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</si>
  <si>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</si>
  <si>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</si>
  <si>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</si>
  <si>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</si>
  <si>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</si>
  <si>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</si>
  <si>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</si>
  <si>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</si>
  <si>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</si>
  <si>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</si>
  <si>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</si>
  <si>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</si>
  <si>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</si>
  <si>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</si>
  <si>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</si>
  <si>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</si>
  <si>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</si>
  <si>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</si>
  <si>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</si>
  <si>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</si>
  <si>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</si>
  <si>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</si>
  <si>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</si>
  <si>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</si>
  <si>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</si>
  <si>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</si>
  <si>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</si>
  <si>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</si>
  <si>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</si>
  <si>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</si>
  <si>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</si>
  <si>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</si>
  <si>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</si>
  <si>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</si>
  <si>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</si>
  <si>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</si>
  <si>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</si>
  <si>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</si>
  <si>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</si>
  <si>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</si>
  <si>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</si>
  <si>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</si>
  <si>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</si>
  <si>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</si>
  <si>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</si>
  <si>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</si>
  <si>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</si>
  <si>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</si>
  <si>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</si>
  <si>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</si>
  <si>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</si>
  <si>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</si>
  <si>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</si>
  <si>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</si>
  <si>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</si>
  <si>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</si>
  <si>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</si>
  <si>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</si>
  <si>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</si>
  <si>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</si>
  <si>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</si>
  <si>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</si>
  <si>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</si>
  <si>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</si>
  <si>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</si>
  <si>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</si>
  <si>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</si>
  <si>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</si>
  <si>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</si>
  <si>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</si>
  <si>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</si>
  <si>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</si>
  <si>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</si>
  <si>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</si>
  <si>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</si>
  <si>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</si>
  <si>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</si>
  <si>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</si>
  <si>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</si>
  <si>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</si>
  <si>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</si>
  <si>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</si>
  <si>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</si>
  <si>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</si>
  <si>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</si>
  <si>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</si>
  <si>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</si>
  <si>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</si>
  <si>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</si>
  <si>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</si>
  <si>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</si>
  <si>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</si>
  <si>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</si>
  <si>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</si>
  <si>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</si>
  <si>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</si>
  <si>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</si>
  <si>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</si>
  <si>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</si>
  <si>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</si>
  <si>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</si>
  <si>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</si>
  <si>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</si>
  <si>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</si>
  <si>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</si>
  <si>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</si>
  <si>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</si>
  <si>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</si>
  <si>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</si>
  <si>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</si>
  <si>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</si>
  <si>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</si>
  <si>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</si>
  <si>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</si>
  <si>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</si>
  <si>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</si>
  <si>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</si>
  <si>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</si>
  <si>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</si>
  <si>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</si>
  <si>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</si>
  <si>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</si>
  <si>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</si>
  <si>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</si>
  <si>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</si>
  <si>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</si>
  <si>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</si>
  <si>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</si>
  <si>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</si>
  <si>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</si>
  <si>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</si>
  <si>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</si>
  <si>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</si>
  <si>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</si>
  <si>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</si>
  <si>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</si>
  <si>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</si>
  <si>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</si>
  <si>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</si>
  <si>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</si>
  <si>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</si>
  <si>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</si>
  <si>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</si>
  <si>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</si>
  <si>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</si>
  <si>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</si>
  <si>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</si>
  <si>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</si>
  <si>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</si>
  <si>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</si>
  <si>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</si>
  <si>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</si>
  <si>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</si>
  <si>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</si>
  <si>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</si>
  <si>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</si>
  <si>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</si>
  <si>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</si>
  <si>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</si>
  <si>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</si>
  <si>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</si>
  <si>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</si>
  <si>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</si>
  <si>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</si>
  <si>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</si>
  <si>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</si>
  <si>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</si>
  <si>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</si>
  <si>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</si>
  <si>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</si>
  <si>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</si>
  <si>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</si>
  <si>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</si>
  <si>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</si>
  <si>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</si>
  <si>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</si>
  <si>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</si>
  <si>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</si>
  <si>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</si>
  <si>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</si>
  <si>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</si>
  <si>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</si>
  <si>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</si>
  <si>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</si>
  <si>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</si>
  <si>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</si>
  <si>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</si>
  <si>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</si>
  <si>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</si>
  <si>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</si>
  <si>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</si>
  <si>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</si>
  <si>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</si>
  <si>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</si>
  <si>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</si>
  <si>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</si>
  <si>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</si>
  <si>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</si>
  <si>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</si>
  <si>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</si>
  <si>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</si>
  <si>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</si>
  <si>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</si>
  <si>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</si>
  <si>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</si>
  <si>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</si>
  <si>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</si>
  <si>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</si>
  <si>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</si>
  <si>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</si>
  <si>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</si>
  <si>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</si>
  <si>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</si>
  <si>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</si>
  <si>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</si>
  <si>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</si>
  <si>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</si>
  <si>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</si>
  <si>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</si>
  <si>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</si>
  <si>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</si>
  <si>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</si>
  <si>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</si>
  <si>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</si>
  <si>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</si>
  <si>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</si>
  <si>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</si>
  <si>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</si>
  <si>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</si>
  <si>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</si>
  <si>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</si>
  <si>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</si>
  <si>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</si>
  <si>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</si>
  <si>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</si>
  <si>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</si>
  <si>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</si>
  <si>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</si>
  <si>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</si>
  <si>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</si>
  <si>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</si>
  <si>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</si>
  <si>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</si>
  <si>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</si>
  <si>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</si>
  <si>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</si>
  <si>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</si>
  <si>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</si>
  <si>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</si>
  <si>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</si>
  <si>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</si>
  <si>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</si>
  <si>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</si>
  <si>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</si>
  <si>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</si>
  <si>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</si>
  <si>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</si>
  <si>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</si>
  <si>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</si>
  <si>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</si>
  <si>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</si>
  <si>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</si>
  <si>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</si>
  <si>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</si>
  <si>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</si>
  <si>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</si>
  <si>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</si>
  <si>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</si>
  <si>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</si>
  <si>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</si>
  <si>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</si>
  <si>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</si>
  <si>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</si>
  <si>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</si>
  <si>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</si>
  <si>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</si>
  <si>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</si>
  <si>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</si>
  <si>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</si>
  <si>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</si>
  <si>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</si>
  <si>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</si>
  <si>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</si>
  <si>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</si>
  <si>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</si>
  <si>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</si>
  <si>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</si>
  <si>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</si>
  <si>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</si>
  <si>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</si>
  <si>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</si>
  <si>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</si>
  <si>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</si>
  <si>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</si>
  <si>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</si>
  <si>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</si>
  <si>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</si>
  <si>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</si>
  <si>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</si>
  <si>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</si>
  <si>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</si>
  <si>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</si>
  <si>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</si>
  <si>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</si>
  <si>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</si>
  <si>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</si>
  <si>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</si>
  <si>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</si>
  <si>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</si>
  <si>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</si>
  <si>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</si>
  <si>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</si>
  <si>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</si>
  <si>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</si>
  <si>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</si>
  <si>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</si>
  <si>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</si>
  <si>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</si>
  <si>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</si>
  <si>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</si>
  <si>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</si>
  <si>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</si>
  <si>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</si>
  <si>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</si>
  <si>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</si>
  <si>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</si>
  <si>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</si>
  <si>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</si>
  <si>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</si>
  <si>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</si>
  <si>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</si>
  <si>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</si>
  <si>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</si>
  <si>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</si>
  <si>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</si>
  <si>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</si>
  <si>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</si>
  <si>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</si>
  <si>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</si>
  <si>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</si>
  <si>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</si>
  <si>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</si>
  <si>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</si>
  <si>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</si>
  <si>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</si>
  <si>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</si>
  <si>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</si>
  <si>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</si>
  <si>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</si>
  <si>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</si>
  <si>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</si>
  <si>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</si>
  <si>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</si>
  <si>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</si>
  <si>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</si>
  <si>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</si>
  <si>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</si>
  <si>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</si>
  <si>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</si>
  <si>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</si>
  <si>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</si>
  <si>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</si>
  <si>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</si>
  <si>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</si>
  <si>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</si>
  <si>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</si>
  <si>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</si>
  <si>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</si>
  <si>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</si>
  <si>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</si>
  <si>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</si>
  <si>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</si>
  <si>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</si>
  <si>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</si>
  <si>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</si>
  <si>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</si>
  <si>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</si>
  <si>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</si>
  <si>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</si>
  <si>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</si>
  <si>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</si>
  <si>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</si>
  <si>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</si>
  <si>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</si>
  <si>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</si>
  <si>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</si>
  <si>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</si>
  <si>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</si>
  <si>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</si>
  <si>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</si>
  <si>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</si>
  <si>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</si>
  <si>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</si>
  <si>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</si>
  <si>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</si>
  <si>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</si>
  <si>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</si>
  <si>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</si>
  <si>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</si>
  <si>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</si>
  <si>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</si>
  <si>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</si>
  <si>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</si>
  <si>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</si>
  <si>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</si>
  <si>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</si>
  <si>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</si>
  <si>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</si>
  <si>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</si>
  <si>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</si>
  <si>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</si>
  <si>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</si>
  <si>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</si>
  <si>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</si>
  <si>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</si>
  <si>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</si>
  <si>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</si>
  <si>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</si>
  <si>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</si>
  <si>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</si>
  <si>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</si>
  <si>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</si>
  <si>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</si>
  <si>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</si>
  <si>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</si>
  <si>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</si>
  <si>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</si>
  <si>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</si>
  <si>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</si>
  <si>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</si>
  <si>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</si>
  <si>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</si>
  <si>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</si>
  <si>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</si>
  <si>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</si>
  <si>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</si>
  <si>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</si>
  <si>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</si>
  <si>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</si>
  <si>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</si>
  <si>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</si>
  <si>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</si>
  <si>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</si>
  <si>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</si>
  <si>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</si>
  <si>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</si>
  <si>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</si>
  <si>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</si>
  <si>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</si>
  <si>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</si>
  <si>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</si>
  <si>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</si>
  <si>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</si>
  <si>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</si>
  <si>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</si>
  <si>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</si>
  <si>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</si>
  <si>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</si>
  <si>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</si>
  <si>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</si>
  <si>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</si>
  <si>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</si>
  <si>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</si>
  <si>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</si>
  <si>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</si>
  <si>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</si>
  <si>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</si>
  <si>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</si>
  <si>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</si>
  <si>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</si>
  <si>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</si>
  <si>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</si>
  <si>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</si>
  <si>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</si>
  <si>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</si>
  <si>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</si>
  <si>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</si>
  <si>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</si>
  <si>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</si>
  <si>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</si>
  <si>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</si>
  <si>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</si>
  <si>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</si>
  <si>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</si>
  <si>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</si>
  <si>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</si>
  <si>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</si>
  <si>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</si>
  <si>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</si>
  <si>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</si>
  <si>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</si>
  <si>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</si>
  <si>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</si>
  <si>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</si>
  <si>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</si>
  <si>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</si>
  <si>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</si>
  <si>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</si>
  <si>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</si>
  <si>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</si>
  <si>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</si>
  <si>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</si>
  <si>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</si>
  <si>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</si>
  <si>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</si>
  <si>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</si>
  <si>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</si>
  <si>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</si>
  <si>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</si>
  <si>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</si>
  <si>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</si>
  <si>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</si>
  <si>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</si>
  <si>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</si>
  <si>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</si>
  <si>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</si>
  <si>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</si>
  <si>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</si>
  <si>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</si>
  <si>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</si>
  <si>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</si>
  <si>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</si>
  <si>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</si>
  <si>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</si>
  <si>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</si>
  <si>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</si>
  <si>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</si>
  <si>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</si>
  <si>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</si>
  <si>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</si>
  <si>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</si>
  <si>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</si>
  <si>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</si>
  <si>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</si>
  <si>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</si>
  <si>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</si>
  <si>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</si>
  <si>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</si>
  <si>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</si>
  <si>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</si>
  <si>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</si>
  <si>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</si>
  <si>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</si>
  <si>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</si>
  <si>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</si>
  <si>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</si>
  <si>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</si>
  <si>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</si>
  <si>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</si>
  <si>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</si>
  <si>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</si>
  <si>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</si>
  <si>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</si>
  <si>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</si>
  <si>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</si>
  <si>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</si>
  <si>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</si>
  <si>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</si>
  <si>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</si>
  <si>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</si>
  <si>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</si>
  <si>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</si>
  <si>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</si>
  <si>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</si>
  <si>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</si>
  <si>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</si>
  <si>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</si>
  <si>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</si>
  <si>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</si>
  <si>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</si>
  <si>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</si>
  <si>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</si>
  <si>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</si>
  <si>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</si>
  <si>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</si>
  <si>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</si>
  <si>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</si>
  <si>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</si>
  <si>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</si>
  <si>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</si>
  <si>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</si>
  <si>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</si>
  <si>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</si>
  <si>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</si>
  <si>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</si>
  <si>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</si>
  <si>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</si>
  <si>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</si>
  <si>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</si>
  <si>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</si>
  <si>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</si>
  <si>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</si>
  <si>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</si>
  <si>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</si>
  <si>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</si>
  <si>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</si>
  <si>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</si>
  <si>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</si>
  <si>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</si>
  <si>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</si>
  <si>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</si>
  <si>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</si>
  <si>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</si>
  <si>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</si>
  <si>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</si>
  <si>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</si>
  <si>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</si>
  <si>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</si>
  <si>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</si>
  <si>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</si>
  <si>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2018-4</t>
    <phoneticPr fontId="14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</si>
  <si>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</si>
  <si>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</si>
  <si>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</si>
  <si>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</si>
  <si>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</si>
  <si>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</si>
  <si>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吴薇</t>
  </si>
  <si>
    <t>刘梅</t>
  </si>
  <si>
    <t>北京昌平科技园发展有限公司</t>
    <phoneticPr fontId="4" type="noConversion"/>
  </si>
  <si>
    <t>核定资产</t>
  </si>
  <si>
    <t>北京市</t>
  </si>
  <si>
    <t>企业</t>
  </si>
  <si>
    <r>
      <rPr>
        <sz val="12"/>
        <color theme="9" tint="-0.249977111117893"/>
        <rFont val="宋体"/>
        <family val="3"/>
        <charset val="134"/>
      </rPr>
      <t>昌平区北七家镇</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7</t>
    </r>
    <phoneticPr fontId="7" type="noConversion"/>
  </si>
  <si>
    <t>现房</t>
  </si>
  <si>
    <t>通路</t>
  </si>
  <si>
    <t>通电</t>
  </si>
  <si>
    <t>通讯</t>
  </si>
  <si>
    <t>通上水</t>
  </si>
  <si>
    <t>通下水</t>
  </si>
  <si>
    <t>综合项目（商业、办公）</t>
  </si>
  <si>
    <t>出让</t>
  </si>
  <si>
    <t>办公、商业、地下车库、地下商业</t>
    <phoneticPr fontId="7" type="noConversion"/>
  </si>
  <si>
    <t>是</t>
  </si>
  <si>
    <t>序号</t>
    <phoneticPr fontId="144" type="noConversion"/>
  </si>
  <si>
    <t>房间号</t>
  </si>
  <si>
    <t>建筑面积</t>
  </si>
  <si>
    <t>1号楼3层301</t>
    <phoneticPr fontId="144" type="noConversion"/>
  </si>
  <si>
    <t>1号楼3层303</t>
  </si>
  <si>
    <t>1号楼3层305</t>
  </si>
  <si>
    <t>1号楼3层307</t>
  </si>
  <si>
    <t>1号楼3层309</t>
  </si>
  <si>
    <t>1号楼3层310</t>
  </si>
  <si>
    <t>1号楼4层401</t>
    <phoneticPr fontId="144" type="noConversion"/>
  </si>
  <si>
    <t>1号楼4层402</t>
  </si>
  <si>
    <t>1号楼4层403</t>
  </si>
  <si>
    <t>1号楼4层404</t>
  </si>
  <si>
    <t>1号楼4层405</t>
  </si>
  <si>
    <t>1号楼4层406</t>
  </si>
  <si>
    <t>1号楼4层407</t>
  </si>
  <si>
    <t>1号楼4层408</t>
  </si>
  <si>
    <t>1号楼4层409</t>
  </si>
  <si>
    <t>1号楼4层410</t>
  </si>
  <si>
    <t>1号楼5层501</t>
    <phoneticPr fontId="144" type="noConversion"/>
  </si>
  <si>
    <t>1号楼5层502</t>
  </si>
  <si>
    <t>1号楼5层503</t>
  </si>
  <si>
    <t>1号楼5层504</t>
  </si>
  <si>
    <t>1号楼5层505</t>
  </si>
  <si>
    <t>1号楼5层506</t>
  </si>
  <si>
    <t>1号楼5层507</t>
  </si>
  <si>
    <t>1号楼5层508</t>
  </si>
  <si>
    <t>1号楼5层509</t>
  </si>
  <si>
    <t>1号楼5层510</t>
  </si>
  <si>
    <t>1号楼6层601</t>
    <phoneticPr fontId="144" type="noConversion"/>
  </si>
  <si>
    <t>1号楼6层602</t>
  </si>
  <si>
    <t>1号楼6层603</t>
  </si>
  <si>
    <t>1号楼6层604</t>
  </si>
  <si>
    <t>1号楼6层605</t>
  </si>
  <si>
    <t>1号楼6层606</t>
  </si>
  <si>
    <t>1号楼6层607</t>
  </si>
  <si>
    <t>1号楼6层608</t>
  </si>
  <si>
    <t>1号楼6层609</t>
  </si>
  <si>
    <t>1号楼6层610</t>
  </si>
  <si>
    <t>小计</t>
    <phoneticPr fontId="144" type="noConversion"/>
  </si>
  <si>
    <t>小计</t>
    <phoneticPr fontId="144" type="noConversion"/>
  </si>
  <si>
    <t>小计</t>
    <phoneticPr fontId="144" type="noConversion"/>
  </si>
  <si>
    <t>1号楼3层302</t>
    <phoneticPr fontId="144" type="noConversion"/>
  </si>
  <si>
    <r>
      <t>1号楼3层304</t>
    </r>
    <r>
      <rPr>
        <sz val="11"/>
        <color theme="1"/>
        <rFont val="宋体"/>
        <family val="2"/>
        <charset val="134"/>
        <scheme val="minor"/>
      </rPr>
      <t/>
    </r>
  </si>
  <si>
    <r>
      <t>1号楼3层306</t>
    </r>
    <r>
      <rPr>
        <sz val="11"/>
        <color theme="1"/>
        <rFont val="宋体"/>
        <family val="2"/>
        <charset val="134"/>
        <scheme val="minor"/>
      </rPr>
      <t/>
    </r>
  </si>
  <si>
    <r>
      <t>1号楼3层308</t>
    </r>
    <r>
      <rPr>
        <sz val="11"/>
        <color theme="1"/>
        <rFont val="宋体"/>
        <family val="2"/>
        <charset val="134"/>
        <scheme val="minor"/>
      </rPr>
      <t/>
    </r>
  </si>
  <si>
    <t>1号楼7层701</t>
    <phoneticPr fontId="144" type="noConversion"/>
  </si>
  <si>
    <r>
      <t>1号楼7层702</t>
    </r>
    <r>
      <rPr>
        <sz val="11"/>
        <color theme="1"/>
        <rFont val="宋体"/>
        <family val="2"/>
        <charset val="134"/>
        <scheme val="minor"/>
      </rPr>
      <t/>
    </r>
  </si>
  <si>
    <r>
      <t>1号楼7层703</t>
    </r>
    <r>
      <rPr>
        <sz val="11"/>
        <color theme="1"/>
        <rFont val="宋体"/>
        <family val="2"/>
        <charset val="134"/>
        <scheme val="minor"/>
      </rPr>
      <t/>
    </r>
  </si>
  <si>
    <r>
      <t>1号楼7层704</t>
    </r>
    <r>
      <rPr>
        <sz val="11"/>
        <color theme="1"/>
        <rFont val="宋体"/>
        <family val="2"/>
        <charset val="134"/>
        <scheme val="minor"/>
      </rPr>
      <t/>
    </r>
  </si>
  <si>
    <r>
      <t>1号楼7层705</t>
    </r>
    <r>
      <rPr>
        <sz val="11"/>
        <color theme="1"/>
        <rFont val="宋体"/>
        <family val="2"/>
        <charset val="134"/>
        <scheme val="minor"/>
      </rPr>
      <t/>
    </r>
  </si>
  <si>
    <r>
      <t>1号楼7层706</t>
    </r>
    <r>
      <rPr>
        <sz val="11"/>
        <color theme="1"/>
        <rFont val="宋体"/>
        <family val="2"/>
        <charset val="134"/>
        <scheme val="minor"/>
      </rPr>
      <t/>
    </r>
  </si>
  <si>
    <r>
      <t>1号楼7层707</t>
    </r>
    <r>
      <rPr>
        <sz val="11"/>
        <color theme="1"/>
        <rFont val="宋体"/>
        <family val="2"/>
        <charset val="134"/>
        <scheme val="minor"/>
      </rPr>
      <t/>
    </r>
  </si>
  <si>
    <r>
      <t>1号楼7层708</t>
    </r>
    <r>
      <rPr>
        <sz val="11"/>
        <color theme="1"/>
        <rFont val="宋体"/>
        <family val="2"/>
        <charset val="134"/>
        <scheme val="minor"/>
      </rPr>
      <t/>
    </r>
  </si>
  <si>
    <r>
      <t>1号楼7层709</t>
    </r>
    <r>
      <rPr>
        <sz val="11"/>
        <color theme="1"/>
        <rFont val="宋体"/>
        <family val="2"/>
        <charset val="134"/>
        <scheme val="minor"/>
      </rPr>
      <t/>
    </r>
  </si>
  <si>
    <r>
      <t>1号楼7层710</t>
    </r>
    <r>
      <rPr>
        <sz val="11"/>
        <color theme="1"/>
        <rFont val="宋体"/>
        <family val="2"/>
        <charset val="134"/>
        <scheme val="minor"/>
      </rPr>
      <t/>
    </r>
  </si>
  <si>
    <t>1号楼8层801</t>
    <phoneticPr fontId="144" type="noConversion"/>
  </si>
  <si>
    <r>
      <t>1号楼8层802</t>
    </r>
    <r>
      <rPr>
        <sz val="11"/>
        <color theme="1"/>
        <rFont val="宋体"/>
        <family val="2"/>
        <charset val="134"/>
        <scheme val="minor"/>
      </rPr>
      <t/>
    </r>
  </si>
  <si>
    <r>
      <t>1号楼8层803</t>
    </r>
    <r>
      <rPr>
        <sz val="11"/>
        <color theme="1"/>
        <rFont val="宋体"/>
        <family val="2"/>
        <charset val="134"/>
        <scheme val="minor"/>
      </rPr>
      <t/>
    </r>
  </si>
  <si>
    <r>
      <t>1号楼8层804</t>
    </r>
    <r>
      <rPr>
        <sz val="11"/>
        <color theme="1"/>
        <rFont val="宋体"/>
        <family val="2"/>
        <charset val="134"/>
        <scheme val="minor"/>
      </rPr>
      <t/>
    </r>
  </si>
  <si>
    <r>
      <t>1号楼8层805</t>
    </r>
    <r>
      <rPr>
        <sz val="11"/>
        <color theme="1"/>
        <rFont val="宋体"/>
        <family val="2"/>
        <charset val="134"/>
        <scheme val="minor"/>
      </rPr>
      <t/>
    </r>
  </si>
  <si>
    <r>
      <t>1号楼8层806</t>
    </r>
    <r>
      <rPr>
        <sz val="11"/>
        <color theme="1"/>
        <rFont val="宋体"/>
        <family val="2"/>
        <charset val="134"/>
        <scheme val="minor"/>
      </rPr>
      <t/>
    </r>
  </si>
  <si>
    <r>
      <t>1号楼8层807</t>
    </r>
    <r>
      <rPr>
        <sz val="11"/>
        <color theme="1"/>
        <rFont val="宋体"/>
        <family val="2"/>
        <charset val="134"/>
        <scheme val="minor"/>
      </rPr>
      <t/>
    </r>
  </si>
  <si>
    <r>
      <t>1号楼8层808</t>
    </r>
    <r>
      <rPr>
        <sz val="11"/>
        <color theme="1"/>
        <rFont val="宋体"/>
        <family val="2"/>
        <charset val="134"/>
        <scheme val="minor"/>
      </rPr>
      <t/>
    </r>
  </si>
  <si>
    <r>
      <t>1号楼8层809</t>
    </r>
    <r>
      <rPr>
        <sz val="11"/>
        <color theme="1"/>
        <rFont val="宋体"/>
        <family val="2"/>
        <charset val="134"/>
        <scheme val="minor"/>
      </rPr>
      <t/>
    </r>
  </si>
  <si>
    <r>
      <t>1号楼8层810</t>
    </r>
    <r>
      <rPr>
        <sz val="11"/>
        <color theme="1"/>
        <rFont val="宋体"/>
        <family val="2"/>
        <charset val="134"/>
        <scheme val="minor"/>
      </rPr>
      <t/>
    </r>
  </si>
  <si>
    <t>1号楼9层901</t>
    <phoneticPr fontId="144" type="noConversion"/>
  </si>
  <si>
    <r>
      <t>1号楼9层902</t>
    </r>
    <r>
      <rPr>
        <sz val="11"/>
        <color theme="1"/>
        <rFont val="宋体"/>
        <family val="2"/>
        <charset val="134"/>
        <scheme val="minor"/>
      </rPr>
      <t/>
    </r>
  </si>
  <si>
    <r>
      <t>1号楼9层903</t>
    </r>
    <r>
      <rPr>
        <sz val="11"/>
        <color theme="1"/>
        <rFont val="宋体"/>
        <family val="2"/>
        <charset val="134"/>
        <scheme val="minor"/>
      </rPr>
      <t/>
    </r>
  </si>
  <si>
    <r>
      <t>1号楼9层904</t>
    </r>
    <r>
      <rPr>
        <sz val="11"/>
        <color theme="1"/>
        <rFont val="宋体"/>
        <family val="2"/>
        <charset val="134"/>
        <scheme val="minor"/>
      </rPr>
      <t/>
    </r>
  </si>
  <si>
    <r>
      <t>1号楼9层905</t>
    </r>
    <r>
      <rPr>
        <sz val="11"/>
        <color theme="1"/>
        <rFont val="宋体"/>
        <family val="2"/>
        <charset val="134"/>
        <scheme val="minor"/>
      </rPr>
      <t/>
    </r>
  </si>
  <si>
    <r>
      <t>1号楼9层906</t>
    </r>
    <r>
      <rPr>
        <sz val="11"/>
        <color theme="1"/>
        <rFont val="宋体"/>
        <family val="2"/>
        <charset val="134"/>
        <scheme val="minor"/>
      </rPr>
      <t/>
    </r>
  </si>
  <si>
    <t>2号办公</t>
    <phoneticPr fontId="144" type="noConversion"/>
  </si>
  <si>
    <t>4号办公、商业</t>
    <phoneticPr fontId="144" type="noConversion"/>
  </si>
  <si>
    <t>1号办公、商业</t>
    <phoneticPr fontId="144" type="noConversion"/>
  </si>
  <si>
    <t>7号会所</t>
    <phoneticPr fontId="144" type="noConversion"/>
  </si>
  <si>
    <t>车位</t>
    <phoneticPr fontId="144" type="noConversion"/>
  </si>
  <si>
    <t>食堂</t>
    <phoneticPr fontId="144" type="noConversion"/>
  </si>
  <si>
    <t>总建筑面积</t>
    <phoneticPr fontId="144" type="noConversion"/>
  </si>
  <si>
    <t>总土地面积</t>
    <phoneticPr fontId="144" type="noConversion"/>
  </si>
  <si>
    <t>分摊土地面积</t>
    <phoneticPr fontId="144" type="noConversion"/>
  </si>
  <si>
    <t>地上</t>
  </si>
  <si>
    <r>
      <t>1</t>
    </r>
    <r>
      <rPr>
        <sz val="10"/>
        <color indexed="8"/>
        <rFont val="宋体"/>
        <family val="3"/>
        <charset val="134"/>
      </rPr>
      <t>号楼办公</t>
    </r>
    <phoneticPr fontId="4" type="noConversion"/>
  </si>
  <si>
    <r>
      <t>1</t>
    </r>
    <r>
      <rPr>
        <sz val="10"/>
        <color indexed="8"/>
        <rFont val="宋体"/>
        <family val="3"/>
        <charset val="134"/>
      </rPr>
      <t>号楼商业</t>
    </r>
    <phoneticPr fontId="4" type="noConversion"/>
  </si>
  <si>
    <r>
      <t>2</t>
    </r>
    <r>
      <rPr>
        <sz val="10"/>
        <color indexed="8"/>
        <rFont val="宋体"/>
        <family val="3"/>
        <charset val="134"/>
      </rPr>
      <t>号楼</t>
    </r>
    <phoneticPr fontId="4" type="noConversion"/>
  </si>
  <si>
    <r>
      <t>4</t>
    </r>
    <r>
      <rPr>
        <sz val="10"/>
        <color indexed="8"/>
        <rFont val="宋体"/>
        <family val="3"/>
        <charset val="134"/>
      </rPr>
      <t>号楼办公</t>
    </r>
    <phoneticPr fontId="4" type="noConversion"/>
  </si>
  <si>
    <r>
      <t>4</t>
    </r>
    <r>
      <rPr>
        <sz val="10"/>
        <color indexed="8"/>
        <rFont val="宋体"/>
        <family val="3"/>
        <charset val="134"/>
      </rPr>
      <t>号楼商业</t>
    </r>
    <phoneticPr fontId="4" type="noConversion"/>
  </si>
  <si>
    <r>
      <t>7</t>
    </r>
    <r>
      <rPr>
        <sz val="11"/>
        <color indexed="8"/>
        <rFont val="宋体"/>
        <family val="3"/>
        <charset val="134"/>
      </rPr>
      <t>号楼（会所）</t>
    </r>
    <phoneticPr fontId="4" type="noConversion"/>
  </si>
  <si>
    <t>车位</t>
    <phoneticPr fontId="4" type="noConversion"/>
  </si>
  <si>
    <t>食堂</t>
    <phoneticPr fontId="4" type="noConversion"/>
  </si>
  <si>
    <t>地下</t>
  </si>
  <si>
    <t>车库</t>
  </si>
  <si>
    <t>否</t>
  </si>
  <si>
    <t>典型户型</t>
  </si>
  <si>
    <t>典型户型</t>
    <phoneticPr fontId="8" type="noConversion"/>
  </si>
  <si>
    <t>其余办公</t>
    <phoneticPr fontId="8" type="noConversion"/>
  </si>
  <si>
    <t>成新度</t>
  </si>
  <si>
    <t>收益法</t>
  </si>
  <si>
    <t>按租金收入计税</t>
  </si>
  <si>
    <t>钢混</t>
  </si>
  <si>
    <t>非生产用房</t>
  </si>
  <si>
    <t>押一</t>
  </si>
  <si>
    <t>售价</t>
  </si>
  <si>
    <t>东方蓝海</t>
    <phoneticPr fontId="4" type="noConversion"/>
  </si>
  <si>
    <t>比较法-办公</t>
  </si>
  <si>
    <t>高区</t>
  </si>
  <si>
    <t>高区</t>
    <phoneticPr fontId="33" type="noConversion"/>
  </si>
  <si>
    <t>中区</t>
  </si>
  <si>
    <t>中区</t>
    <phoneticPr fontId="33" type="noConversion"/>
  </si>
  <si>
    <t>低区</t>
  </si>
  <si>
    <t>低区</t>
    <phoneticPr fontId="33" type="noConversion"/>
  </si>
  <si>
    <t>高区</t>
    <phoneticPr fontId="26" type="noConversion"/>
  </si>
  <si>
    <t>中区</t>
    <phoneticPr fontId="26" type="noConversion"/>
  </si>
  <si>
    <t>低区</t>
    <phoneticPr fontId="26" type="noConversion"/>
  </si>
  <si>
    <t>位于昌平区平西府地区，周边商业氛围一般，人流量一般，商业繁华度一般。</t>
    <phoneticPr fontId="4" type="noConversion"/>
  </si>
  <si>
    <t>估价对象位于昌平区北七家镇，周边办公楼项目较多，入驻率高，办公集聚程度较好。</t>
    <phoneticPr fontId="4" type="noConversion"/>
  </si>
  <si>
    <t>估价对象周边路网较为密集、公共交通通达情况较好，有417、607、871路等公共交通，停车便捷程度较好，综合评价交通便捷度较好。</t>
    <phoneticPr fontId="4" type="noConversion"/>
  </si>
  <si>
    <t>估价对象所在区域2公里范围内有：银行（北京银行、北京农村商业银行），购物（温都水城购物中心、世纪华联超市），医院（北京新宇医院），学校（平西府幼儿园，平西王府宏立学校）等，公共配套设施齐备情况较好。</t>
    <phoneticPr fontId="4" type="noConversion"/>
  </si>
  <si>
    <t>估价对象所在区域基础设施水平达到“七通”。</t>
    <phoneticPr fontId="4" type="noConversion"/>
  </si>
  <si>
    <t>区域自然环境：秀水湖公园；人文环境：北京邮电大学（洪福校区）；综合评价环境状况较好。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</si>
  <si>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北清路</t>
    </r>
    <phoneticPr fontId="26" type="noConversion"/>
  </si>
  <si>
    <t>双面临街</t>
  </si>
  <si>
    <t>珠江摩尔国际大厦</t>
    <phoneticPr fontId="4" type="noConversion"/>
  </si>
  <si>
    <t>TBD万科天地写字楼</t>
    <phoneticPr fontId="4" type="noConversion"/>
  </si>
  <si>
    <t>40-50（含）</t>
  </si>
  <si>
    <t>办公</t>
    <phoneticPr fontId="33" type="noConversion"/>
  </si>
  <si>
    <t>8号线朱辛庄站东侧</t>
    <phoneticPr fontId="4" type="noConversion"/>
  </si>
  <si>
    <t>北清路1号</t>
    <phoneticPr fontId="4" type="noConversion"/>
  </si>
  <si>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</si>
  <si>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</si>
  <si>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</si>
  <si>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</si>
  <si>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</si>
  <si>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</si>
  <si>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</si>
  <si>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较好</t>
  </si>
  <si>
    <t>一般</t>
  </si>
  <si>
    <t>位于昌平区北七家镇，周边办公楼项目一般，入驻率一般，有中央绿地广场等项目，办公集聚程度一般。</t>
    <phoneticPr fontId="144" type="noConversion"/>
  </si>
  <si>
    <t>位于昌平区北七家镇，周边办公楼项目较多，入驻率高，办公集聚程度较好。</t>
    <phoneticPr fontId="144" type="noConversion"/>
  </si>
  <si>
    <r>
      <rPr>
        <sz val="11"/>
        <rFont val="宋体"/>
        <family val="3"/>
        <charset val="134"/>
      </rPr>
      <t>所在区域</t>
    </r>
    <r>
      <rPr>
        <sz val="11"/>
        <rFont val="Arial"/>
        <family val="2"/>
      </rPr>
      <t>2</t>
    </r>
    <r>
      <rPr>
        <sz val="11"/>
        <rFont val="宋体"/>
        <family val="3"/>
        <charset val="134"/>
      </rPr>
      <t>公里范围内有：银行（中国银行、北京农村商业银行），购物（超市发超市），医院（泗上社区卫生服务站），学校（北京师范大学实验小学）等，公共配套设施齐备情况较好。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</si>
  <si>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</si>
  <si>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</si>
  <si>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</si>
  <si>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</si>
  <si>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t>区域自然环境：未来科技城滨河公园；人文环境：神华管理学院；综合评价环境状况较好。</t>
    <phoneticPr fontId="144" type="noConversion"/>
  </si>
  <si>
    <t>区域自然环境：秀水湖公园；人文环境：北京邮电大学（洪福校区）；综合评价环境状况较好。</t>
    <phoneticPr fontId="144" type="noConversion"/>
  </si>
  <si>
    <t>城市次干道——北清路</t>
    <phoneticPr fontId="144" type="noConversion"/>
  </si>
  <si>
    <t>城市次干道——鲁瞳西路</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</si>
  <si>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路及地铁</t>
    </r>
    <r>
      <rPr>
        <sz val="11"/>
        <rFont val="Arial"/>
        <family val="2"/>
      </rPr>
      <t>8</t>
    </r>
    <r>
      <rPr>
        <sz val="11"/>
        <rFont val="宋体"/>
        <family val="3"/>
        <charset val="134"/>
      </rPr>
      <t>号线、昌平线等公共交通，停车便捷程度较好，综合评价交通便捷度较好。</t>
    </r>
    <phoneticPr fontId="144" type="noConversion"/>
  </si>
  <si>
    <t>北七家鲁瞳西路与英才南一街交汇处</t>
    <phoneticPr fontId="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</si>
  <si>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487</t>
    </r>
    <r>
      <rPr>
        <sz val="11"/>
        <rFont val="宋体"/>
        <family val="3"/>
        <charset val="134"/>
      </rPr>
      <t>路等公共交通，停车便捷程度较好，综合评价交通便捷度较好。</t>
    </r>
    <phoneticPr fontId="144" type="noConversion"/>
  </si>
  <si>
    <t>位于昌平区北七家镇，周边办公楼项目较多，入驻率高，办公集聚程度较好。</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</si>
  <si>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路等公共交通，停车便捷程度较好，综合评价交通便捷度较好。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</si>
  <si>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</si>
  <si>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区域自然环境：秀水湖公园；人文环境：北京邮电大学（洪福校区）；综合评价环境状况较好。</t>
    <phoneticPr fontId="144" type="noConversion"/>
  </si>
  <si>
    <t>城市次干道——北清路</t>
    <phoneticPr fontId="144" type="noConversion"/>
  </si>
  <si>
    <t>租金</t>
  </si>
  <si>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</si>
  <si>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</si>
  <si>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</si>
  <si>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</si>
  <si>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</si>
  <si>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color indexed="8"/>
        <rFont val="宋体"/>
        <family val="3"/>
        <charset val="134"/>
      </rPr>
      <t>内部装修维护情况</t>
    </r>
    <phoneticPr fontId="4" type="noConversion"/>
  </si>
  <si>
    <t>毛坯</t>
    <phoneticPr fontId="4" type="noConversion"/>
  </si>
  <si>
    <t>简单装修</t>
    <phoneticPr fontId="4" type="noConversion"/>
  </si>
  <si>
    <t>普通装修</t>
    <phoneticPr fontId="4" type="noConversion"/>
  </si>
  <si>
    <t>精装修</t>
    <phoneticPr fontId="4" type="noConversion"/>
  </si>
  <si>
    <r>
      <rPr>
        <sz val="11"/>
        <color indexed="8"/>
        <rFont val="宋体"/>
        <family val="3"/>
        <charset val="134"/>
      </rPr>
      <t>内部装修</t>
    </r>
    <phoneticPr fontId="4" type="noConversion"/>
  </si>
  <si>
    <t>毛坯</t>
    <phoneticPr fontId="4" type="noConversion"/>
  </si>
  <si>
    <t>普通装修</t>
    <phoneticPr fontId="4" type="noConversion"/>
  </si>
  <si>
    <t>精装修</t>
    <phoneticPr fontId="4" type="noConversion"/>
  </si>
  <si>
    <t>低区</t>
    <phoneticPr fontId="4" type="noConversion"/>
  </si>
  <si>
    <t>中区</t>
    <phoneticPr fontId="4" type="noConversion"/>
  </si>
  <si>
    <t>高区</t>
    <phoneticPr fontId="4" type="noConversion"/>
  </si>
  <si>
    <r>
      <rPr>
        <sz val="11"/>
        <color indexed="8"/>
        <rFont val="宋体"/>
        <family val="3"/>
        <charset val="134"/>
      </rPr>
      <t>毗邻道路的类型与等级</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</si>
  <si>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</si>
  <si>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</si>
  <si>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</si>
  <si>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</si>
  <si>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</si>
  <si>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rFont val="宋体"/>
        <family val="3"/>
        <charset val="134"/>
      </rPr>
      <t>三通</t>
    </r>
    <phoneticPr fontId="4" type="noConversion"/>
  </si>
  <si>
    <r>
      <rPr>
        <sz val="11"/>
        <rFont val="宋体"/>
        <family val="3"/>
        <charset val="134"/>
      </rPr>
      <t>四通</t>
    </r>
    <phoneticPr fontId="4" type="noConversion"/>
  </si>
  <si>
    <r>
      <rPr>
        <sz val="11"/>
        <rFont val="宋体"/>
        <family val="3"/>
        <charset val="134"/>
      </rPr>
      <t>五通</t>
    </r>
    <phoneticPr fontId="4" type="noConversion"/>
  </si>
  <si>
    <r>
      <rPr>
        <sz val="11"/>
        <rFont val="宋体"/>
        <family val="3"/>
        <charset val="134"/>
      </rPr>
      <t>六通</t>
    </r>
    <phoneticPr fontId="4" type="noConversion"/>
  </si>
  <si>
    <r>
      <rPr>
        <sz val="11"/>
        <rFont val="宋体"/>
        <family val="3"/>
        <charset val="134"/>
      </rPr>
      <t>七通</t>
    </r>
    <phoneticPr fontId="4" type="noConversion"/>
  </si>
  <si>
    <r>
      <rPr>
        <sz val="11"/>
        <color indexed="8"/>
        <rFont val="宋体"/>
        <family val="3"/>
        <charset val="134"/>
      </rPr>
      <t>基础设施水平</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</si>
  <si>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</si>
  <si>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</si>
  <si>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</si>
  <si>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</si>
  <si>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公共配套设施</t>
    </r>
    <phoneticPr fontId="4" type="noConversion"/>
  </si>
  <si>
    <r>
      <rPr>
        <sz val="11"/>
        <color indexed="8"/>
        <rFont val="宋体"/>
        <family val="3"/>
        <charset val="134"/>
      </rPr>
      <t>交通便捷度</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</si>
  <si>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</si>
  <si>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</si>
  <si>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</si>
  <si>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t>-</t>
    <phoneticPr fontId="4" type="noConversion"/>
  </si>
  <si>
    <r>
      <t>0-10</t>
    </r>
    <r>
      <rPr>
        <sz val="11"/>
        <rFont val="宋体"/>
        <family val="3"/>
        <charset val="134"/>
      </rPr>
      <t>（含）</t>
    </r>
    <phoneticPr fontId="4" type="noConversion"/>
  </si>
  <si>
    <r>
      <t>10-20</t>
    </r>
    <r>
      <rPr>
        <sz val="11"/>
        <rFont val="宋体"/>
        <family val="3"/>
        <charset val="134"/>
      </rPr>
      <t>（含）</t>
    </r>
    <phoneticPr fontId="4" type="noConversion"/>
  </si>
  <si>
    <r>
      <t>20-30</t>
    </r>
    <r>
      <rPr>
        <sz val="11"/>
        <rFont val="宋体"/>
        <family val="3"/>
        <charset val="134"/>
      </rPr>
      <t>（含）</t>
    </r>
    <phoneticPr fontId="4" type="noConversion"/>
  </si>
  <si>
    <r>
      <t>30-40</t>
    </r>
    <r>
      <rPr>
        <sz val="11"/>
        <rFont val="宋体"/>
        <family val="3"/>
        <charset val="134"/>
      </rPr>
      <t>（含）</t>
    </r>
    <phoneticPr fontId="4" type="noConversion"/>
  </si>
  <si>
    <r>
      <t>40-50</t>
    </r>
    <r>
      <rPr>
        <sz val="11"/>
        <rFont val="宋体"/>
        <family val="3"/>
        <charset val="134"/>
      </rPr>
      <t>（含）</t>
    </r>
    <phoneticPr fontId="4" type="noConversion"/>
  </si>
  <si>
    <r>
      <t>50-60</t>
    </r>
    <r>
      <rPr>
        <sz val="11"/>
        <rFont val="宋体"/>
        <family val="3"/>
        <charset val="134"/>
      </rPr>
      <t>（含）</t>
    </r>
    <phoneticPr fontId="4" type="noConversion"/>
  </si>
  <si>
    <r>
      <t>60-70</t>
    </r>
    <r>
      <rPr>
        <sz val="11"/>
        <rFont val="宋体"/>
        <family val="3"/>
        <charset val="134"/>
      </rPr>
      <t>（含）</t>
    </r>
    <phoneticPr fontId="4" type="noConversion"/>
  </si>
  <si>
    <r>
      <rPr>
        <sz val="11"/>
        <color indexed="8"/>
        <rFont val="宋体"/>
        <family val="3"/>
        <charset val="134"/>
      </rPr>
      <t>土地使用年限（年）</t>
    </r>
    <phoneticPr fontId="4" type="noConversion"/>
  </si>
  <si>
    <r>
      <rPr>
        <sz val="11"/>
        <color indexed="8"/>
        <rFont val="宋体"/>
        <family val="3"/>
        <charset val="134"/>
      </rPr>
      <t>用途</t>
    </r>
    <phoneticPr fontId="4" type="noConversion"/>
  </si>
  <si>
    <r>
      <rPr>
        <sz val="11"/>
        <color indexed="8"/>
        <rFont val="宋体"/>
        <family val="3"/>
        <charset val="134"/>
      </rPr>
      <t>正常</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</si>
  <si>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</si>
  <si>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各案例间不超过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</si>
  <si>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</si>
  <si>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</si>
  <si>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</si>
  <si>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</si>
  <si>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</si>
  <si>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</si>
  <si>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100/</t>
    <phoneticPr fontId="4" type="noConversion"/>
  </si>
  <si>
    <t>100/</t>
    <phoneticPr fontId="4" type="noConversion"/>
  </si>
  <si>
    <t>100/</t>
    <phoneticPr fontId="4" type="noConversion"/>
  </si>
  <si>
    <t>精装修</t>
  </si>
  <si>
    <t>100/</t>
    <phoneticPr fontId="4" type="noConversion"/>
  </si>
  <si>
    <r>
      <rPr>
        <sz val="11"/>
        <rFont val="宋体"/>
        <family val="3"/>
        <charset val="134"/>
      </rPr>
      <t>单套建筑面积</t>
    </r>
    <phoneticPr fontId="4" type="noConversion"/>
  </si>
  <si>
    <r>
      <rPr>
        <sz val="11"/>
        <color indexed="8"/>
        <rFont val="宋体"/>
        <family val="3"/>
        <charset val="134"/>
      </rPr>
      <t>层高</t>
    </r>
    <phoneticPr fontId="4" type="noConversion"/>
  </si>
  <si>
    <r>
      <rPr>
        <sz val="11"/>
        <color indexed="8"/>
        <rFont val="宋体"/>
        <family val="3"/>
        <charset val="134"/>
      </rPr>
      <t>市政基础设施</t>
    </r>
    <phoneticPr fontId="4" type="noConversion"/>
  </si>
  <si>
    <r>
      <rPr>
        <sz val="11"/>
        <rFont val="宋体"/>
        <family val="3"/>
        <charset val="134"/>
      </rPr>
      <t>实物状况</t>
    </r>
    <phoneticPr fontId="4" type="noConversion"/>
  </si>
  <si>
    <r>
      <rPr>
        <sz val="11"/>
        <color indexed="8"/>
        <rFont val="宋体"/>
        <family val="3"/>
        <charset val="134"/>
      </rPr>
      <t>物业管理</t>
    </r>
    <phoneticPr fontId="4" type="noConversion"/>
  </si>
  <si>
    <r>
      <rPr>
        <sz val="11"/>
        <color indexed="8"/>
        <rFont val="宋体"/>
        <family val="3"/>
        <charset val="134"/>
      </rPr>
      <t>写字楼等级</t>
    </r>
    <phoneticPr fontId="4" type="noConversion"/>
  </si>
  <si>
    <r>
      <rPr>
        <sz val="11"/>
        <color indexed="8"/>
        <rFont val="宋体"/>
        <family val="3"/>
        <charset val="134"/>
      </rPr>
      <t>成新度</t>
    </r>
    <phoneticPr fontId="4" type="noConversion"/>
  </si>
  <si>
    <r>
      <rPr>
        <sz val="11"/>
        <color indexed="8"/>
        <rFont val="宋体"/>
        <family val="3"/>
        <charset val="134"/>
      </rPr>
      <t>公共部分装修</t>
    </r>
    <phoneticPr fontId="4" type="noConversion"/>
  </si>
  <si>
    <t>100/</t>
    <phoneticPr fontId="4" type="noConversion"/>
  </si>
  <si>
    <r>
      <rPr>
        <sz val="11"/>
        <color indexed="8"/>
        <rFont val="宋体"/>
        <family val="3"/>
        <charset val="134"/>
      </rPr>
      <t>建筑类型</t>
    </r>
    <phoneticPr fontId="4" type="noConversion"/>
  </si>
  <si>
    <r>
      <rPr>
        <b/>
        <sz val="11"/>
        <rFont val="宋体"/>
        <family val="3"/>
        <charset val="134"/>
      </rPr>
      <t>实物状况</t>
    </r>
    <phoneticPr fontId="4" type="noConversion"/>
  </si>
  <si>
    <r>
      <rPr>
        <sz val="11"/>
        <color indexed="8"/>
        <rFont val="宋体"/>
        <family val="3"/>
        <charset val="134"/>
      </rPr>
      <t>楼层</t>
    </r>
    <phoneticPr fontId="4" type="noConversion"/>
  </si>
  <si>
    <r>
      <rPr>
        <sz val="11"/>
        <color indexed="8"/>
        <rFont val="宋体"/>
        <family val="3"/>
        <charset val="134"/>
      </rPr>
      <t>毗邻道路的类型与等级</t>
    </r>
    <phoneticPr fontId="4" type="noConversion"/>
  </si>
  <si>
    <r>
      <rPr>
        <sz val="11"/>
        <color indexed="8"/>
        <rFont val="宋体"/>
        <family val="3"/>
        <charset val="134"/>
      </rPr>
      <t>环境质量</t>
    </r>
    <phoneticPr fontId="4" type="noConversion"/>
  </si>
  <si>
    <r>
      <rPr>
        <sz val="11"/>
        <color indexed="8"/>
        <rFont val="宋体"/>
        <family val="3"/>
        <charset val="134"/>
      </rPr>
      <t>基础设施水平</t>
    </r>
    <phoneticPr fontId="4" type="noConversion"/>
  </si>
  <si>
    <r>
      <rPr>
        <sz val="11"/>
        <color indexed="8"/>
        <rFont val="宋体"/>
        <family val="3"/>
        <charset val="134"/>
      </rPr>
      <t>公共配套设施</t>
    </r>
    <phoneticPr fontId="4" type="noConversion"/>
  </si>
  <si>
    <r>
      <rPr>
        <sz val="11"/>
        <rFont val="宋体"/>
        <family val="3"/>
        <charset val="134"/>
      </rPr>
      <t>区位状况</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</si>
  <si>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</si>
  <si>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</si>
  <si>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</si>
  <si>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r>
      <rPr>
        <sz val="11"/>
        <color indexed="8"/>
        <rFont val="宋体"/>
        <family val="3"/>
        <charset val="134"/>
      </rPr>
      <t>土地使用年限（年）</t>
    </r>
    <phoneticPr fontId="4" type="noConversion"/>
  </si>
  <si>
    <r>
      <rPr>
        <sz val="11"/>
        <color indexed="8"/>
        <rFont val="宋体"/>
        <family val="3"/>
        <charset val="134"/>
      </rPr>
      <t>权益状况</t>
    </r>
    <phoneticPr fontId="4" type="noConversion"/>
  </si>
  <si>
    <r>
      <rPr>
        <sz val="11"/>
        <rFont val="宋体"/>
        <family val="3"/>
        <charset val="134"/>
      </rPr>
      <t>权益状况</t>
    </r>
    <phoneticPr fontId="4" type="noConversion"/>
  </si>
  <si>
    <r>
      <rPr>
        <sz val="11"/>
        <color indexed="8"/>
        <rFont val="宋体"/>
        <family val="3"/>
        <charset val="134"/>
      </rPr>
      <t>用途</t>
    </r>
    <phoneticPr fontId="4" type="noConversion"/>
  </si>
  <si>
    <r>
      <rPr>
        <b/>
        <sz val="11"/>
        <color indexed="8"/>
        <rFont val="宋体"/>
        <family val="3"/>
        <charset val="134"/>
      </rPr>
      <t>权益状况</t>
    </r>
    <phoneticPr fontId="4" type="noConversion"/>
  </si>
  <si>
    <r>
      <rPr>
        <sz val="11"/>
        <color indexed="8"/>
        <rFont val="宋体"/>
        <family val="3"/>
        <charset val="134"/>
      </rPr>
      <t>交易情况</t>
    </r>
    <phoneticPr fontId="4" type="noConversion"/>
  </si>
  <si>
    <r>
      <rPr>
        <sz val="11"/>
        <color indexed="8"/>
        <rFont val="宋体"/>
        <family val="3"/>
        <charset val="134"/>
      </rPr>
      <t>正常</t>
    </r>
    <phoneticPr fontId="4" type="noConversion"/>
  </si>
  <si>
    <r>
      <rPr>
        <b/>
        <sz val="11"/>
        <color indexed="8"/>
        <rFont val="宋体"/>
        <family val="3"/>
        <charset val="134"/>
      </rPr>
      <t>交易情况</t>
    </r>
    <phoneticPr fontId="4" type="noConversion"/>
  </si>
  <si>
    <r>
      <rPr>
        <sz val="11"/>
        <color indexed="8"/>
        <rFont val="宋体"/>
        <family val="3"/>
        <charset val="134"/>
      </rPr>
      <t>交易时间</t>
    </r>
    <phoneticPr fontId="4" type="noConversion"/>
  </si>
  <si>
    <r>
      <rPr>
        <b/>
        <sz val="11"/>
        <color indexed="8"/>
        <rFont val="宋体"/>
        <family val="3"/>
        <charset val="134"/>
      </rPr>
      <t>交易时间</t>
    </r>
    <phoneticPr fontId="4" type="noConversion"/>
  </si>
  <si>
    <r>
      <rPr>
        <sz val="11"/>
        <color indexed="8"/>
        <rFont val="宋体"/>
        <family val="3"/>
        <charset val="134"/>
      </rPr>
      <t>系数</t>
    </r>
    <r>
      <rPr>
        <sz val="11"/>
        <color indexed="8"/>
        <rFont val="Arial"/>
        <family val="2"/>
      </rPr>
      <t>%</t>
    </r>
    <phoneticPr fontId="4" type="noConversion"/>
  </si>
  <si>
    <t>昌平区北七家镇</t>
    <phoneticPr fontId="4" type="noConversion"/>
  </si>
  <si>
    <t>TBD云集中心</t>
    <phoneticPr fontId="4" type="noConversion"/>
  </si>
  <si>
    <t>上奥世纪中心写字楼</t>
    <phoneticPr fontId="4" type="noConversion"/>
  </si>
  <si>
    <t>金域国际中心写字楼</t>
    <phoneticPr fontId="4" type="noConversion"/>
  </si>
  <si>
    <r>
      <rPr>
        <b/>
        <sz val="12"/>
        <rFont val="宋体"/>
        <family val="3"/>
        <charset val="134"/>
      </rPr>
      <t>建筑面积</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</si>
  <si>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</si>
  <si>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t>基准户型</t>
  </si>
  <si>
    <r>
      <rPr>
        <b/>
        <sz val="16"/>
        <rFont val="宋体"/>
        <family val="3"/>
        <charset val="134"/>
      </rPr>
      <t>─</t>
    </r>
    <phoneticPr fontId="4" type="noConversion"/>
  </si>
  <si>
    <r>
      <rPr>
        <b/>
        <sz val="16"/>
        <rFont val="宋体"/>
        <family val="3"/>
        <charset val="134"/>
      </rPr>
      <t>办公</t>
    </r>
    <phoneticPr fontId="4" type="noConversion"/>
  </si>
  <si>
    <r>
      <rPr>
        <b/>
        <sz val="16"/>
        <color rgb="FFFF0000"/>
        <rFont val="宋体"/>
        <family val="3"/>
        <charset val="134"/>
      </rPr>
      <t>比较法</t>
    </r>
    <phoneticPr fontId="4" type="noConversion"/>
  </si>
  <si>
    <t>2号楼3层3单元307</t>
    <phoneticPr fontId="144" type="noConversion"/>
  </si>
  <si>
    <t>2号楼3层3单元308</t>
    <phoneticPr fontId="144" type="noConversion"/>
  </si>
  <si>
    <t>2号楼5层3单元509</t>
    <phoneticPr fontId="144" type="noConversion"/>
  </si>
  <si>
    <t>2号楼9层3单元901</t>
    <phoneticPr fontId="144" type="noConversion"/>
  </si>
  <si>
    <t>2号楼9层3单元902</t>
    <phoneticPr fontId="144" type="noConversion"/>
  </si>
  <si>
    <t>2号楼9层3单元903</t>
    <phoneticPr fontId="144" type="noConversion"/>
  </si>
  <si>
    <t>2号楼9层3单元904</t>
    <phoneticPr fontId="144" type="noConversion"/>
  </si>
  <si>
    <t>2号楼9层3单元905</t>
    <phoneticPr fontId="144" type="noConversion"/>
  </si>
  <si>
    <t>2号楼9层3单元907</t>
    <phoneticPr fontId="144" type="noConversion"/>
  </si>
  <si>
    <t>2号楼9层3单元908</t>
    <phoneticPr fontId="144" type="noConversion"/>
  </si>
  <si>
    <t>2号楼9层3单元909</t>
    <phoneticPr fontId="144" type="noConversion"/>
  </si>
  <si>
    <t>2号楼9层3单元906</t>
    <phoneticPr fontId="144" type="noConversion"/>
  </si>
  <si>
    <t>2号楼10层3单元1001</t>
    <phoneticPr fontId="144" type="noConversion"/>
  </si>
  <si>
    <t>2号楼10层3单元1002</t>
    <phoneticPr fontId="144" type="noConversion"/>
  </si>
  <si>
    <t>2号楼10层3单元1003</t>
    <phoneticPr fontId="144" type="noConversion"/>
  </si>
  <si>
    <t>2号楼10层3单元1004</t>
    <phoneticPr fontId="144" type="noConversion"/>
  </si>
  <si>
    <t>2号楼10层3单元1005</t>
    <phoneticPr fontId="144" type="noConversion"/>
  </si>
  <si>
    <t>2号楼10层3单元1006</t>
    <phoneticPr fontId="144" type="noConversion"/>
  </si>
  <si>
    <t>2号楼10层3单元1007</t>
    <phoneticPr fontId="144" type="noConversion"/>
  </si>
  <si>
    <t>4号楼3层2单元301</t>
    <phoneticPr fontId="144" type="noConversion"/>
  </si>
  <si>
    <t>4号楼4层2单元401</t>
    <phoneticPr fontId="144" type="noConversion"/>
  </si>
  <si>
    <t>4号楼5层2单元501</t>
    <phoneticPr fontId="144" type="noConversion"/>
  </si>
  <si>
    <t>4号楼6层2单元601</t>
    <phoneticPr fontId="144" type="noConversion"/>
  </si>
  <si>
    <t>4号楼7层2单元701</t>
    <phoneticPr fontId="144" type="noConversion"/>
  </si>
  <si>
    <t>4号楼8层2单元801</t>
    <phoneticPr fontId="144" type="noConversion"/>
  </si>
  <si>
    <t>4号楼3层3单元301</t>
    <phoneticPr fontId="144" type="noConversion"/>
  </si>
  <si>
    <t>4号楼3层3单元302</t>
    <phoneticPr fontId="144" type="noConversion"/>
  </si>
  <si>
    <t>4号楼3层3单元303</t>
    <phoneticPr fontId="144" type="noConversion"/>
  </si>
  <si>
    <t>4号楼3层3单元304</t>
    <phoneticPr fontId="144" type="noConversion"/>
  </si>
  <si>
    <t>4号楼3层3单元305</t>
    <phoneticPr fontId="144" type="noConversion"/>
  </si>
  <si>
    <t>4号楼3层3单元306</t>
    <phoneticPr fontId="144" type="noConversion"/>
  </si>
  <si>
    <t>4号楼3层3单元307</t>
    <phoneticPr fontId="144" type="noConversion"/>
  </si>
  <si>
    <t>4号楼3层3单元308</t>
    <phoneticPr fontId="144" type="noConversion"/>
  </si>
  <si>
    <t>4号楼3层3单元309</t>
    <phoneticPr fontId="144" type="noConversion"/>
  </si>
  <si>
    <t>4号楼4层3单元401</t>
    <phoneticPr fontId="144" type="noConversion"/>
  </si>
  <si>
    <t>4号楼4层3单元402</t>
    <phoneticPr fontId="144" type="noConversion"/>
  </si>
  <si>
    <t>4号楼4层3单元403</t>
    <phoneticPr fontId="144" type="noConversion"/>
  </si>
  <si>
    <t>4号楼4层3单元404</t>
    <phoneticPr fontId="144" type="noConversion"/>
  </si>
  <si>
    <t>4号楼4层3单元405</t>
    <phoneticPr fontId="144" type="noConversion"/>
  </si>
  <si>
    <t>4号楼4层3单元406</t>
    <phoneticPr fontId="144" type="noConversion"/>
  </si>
  <si>
    <t>4号楼4层3单元407</t>
    <phoneticPr fontId="144" type="noConversion"/>
  </si>
  <si>
    <t>4号楼4层3单元408</t>
    <phoneticPr fontId="144" type="noConversion"/>
  </si>
  <si>
    <t>4号楼4层3单元409</t>
    <phoneticPr fontId="144" type="noConversion"/>
  </si>
  <si>
    <t>4号楼5层3单元501</t>
    <phoneticPr fontId="144" type="noConversion"/>
  </si>
  <si>
    <t>4号楼5层3单元502</t>
    <phoneticPr fontId="144" type="noConversion"/>
  </si>
  <si>
    <t>4号楼5层3单元503</t>
    <phoneticPr fontId="144" type="noConversion"/>
  </si>
  <si>
    <t>4号楼5层3单元504</t>
    <phoneticPr fontId="144" type="noConversion"/>
  </si>
  <si>
    <t>4号楼5层3单元505</t>
    <phoneticPr fontId="144" type="noConversion"/>
  </si>
  <si>
    <t>4号楼5层3单元506</t>
    <phoneticPr fontId="144" type="noConversion"/>
  </si>
  <si>
    <t>4号楼5层3单元507</t>
    <phoneticPr fontId="144" type="noConversion"/>
  </si>
  <si>
    <t>4号楼5层3单元508</t>
    <phoneticPr fontId="144" type="noConversion"/>
  </si>
  <si>
    <t>4号楼5层3单元509</t>
    <phoneticPr fontId="144" type="noConversion"/>
  </si>
  <si>
    <t>4号楼6层3单元601</t>
    <phoneticPr fontId="144" type="noConversion"/>
  </si>
  <si>
    <t>4号楼6层3单元602</t>
    <phoneticPr fontId="144" type="noConversion"/>
  </si>
  <si>
    <t>4号楼6层3单元603</t>
    <phoneticPr fontId="144" type="noConversion"/>
  </si>
  <si>
    <t>4号楼6层3单元604</t>
    <phoneticPr fontId="144" type="noConversion"/>
  </si>
  <si>
    <t>4号楼6层3单元605</t>
    <phoneticPr fontId="144" type="noConversion"/>
  </si>
  <si>
    <t>4号楼6层3单元606</t>
    <phoneticPr fontId="144" type="noConversion"/>
  </si>
  <si>
    <t>4号楼6层3单元607</t>
    <phoneticPr fontId="144" type="noConversion"/>
  </si>
  <si>
    <t>4号楼6层3单元608</t>
    <phoneticPr fontId="144" type="noConversion"/>
  </si>
  <si>
    <t>4号楼6层3单元609</t>
    <phoneticPr fontId="144" type="noConversion"/>
  </si>
  <si>
    <t>4号楼7层3单元701</t>
    <phoneticPr fontId="144" type="noConversion"/>
  </si>
  <si>
    <t>4号楼7层3单元702</t>
    <phoneticPr fontId="144" type="noConversion"/>
  </si>
  <si>
    <t>4号楼7层3单元703</t>
    <phoneticPr fontId="144" type="noConversion"/>
  </si>
  <si>
    <t>4号楼7层3单元704</t>
    <phoneticPr fontId="144" type="noConversion"/>
  </si>
  <si>
    <t>4号楼7层3单元705</t>
    <phoneticPr fontId="144" type="noConversion"/>
  </si>
  <si>
    <t>4号楼7层3单元706</t>
    <phoneticPr fontId="144" type="noConversion"/>
  </si>
  <si>
    <t>4号楼7层3单元707</t>
    <phoneticPr fontId="144" type="noConversion"/>
  </si>
  <si>
    <t>4号楼7层3单元708</t>
    <phoneticPr fontId="144" type="noConversion"/>
  </si>
  <si>
    <t>4号楼7层3单元709</t>
    <phoneticPr fontId="144" type="noConversion"/>
  </si>
  <si>
    <t>4号楼8层3单元801</t>
    <phoneticPr fontId="144" type="noConversion"/>
  </si>
  <si>
    <t>4号楼8层3单元802</t>
    <phoneticPr fontId="144" type="noConversion"/>
  </si>
  <si>
    <t>4号楼8层3单元803</t>
    <phoneticPr fontId="144" type="noConversion"/>
  </si>
  <si>
    <t>4号楼8层3单元804</t>
    <phoneticPr fontId="144" type="noConversion"/>
  </si>
  <si>
    <t>4号楼8层3单元805</t>
    <phoneticPr fontId="144" type="noConversion"/>
  </si>
  <si>
    <t>4号楼8层3单元806</t>
    <phoneticPr fontId="144" type="noConversion"/>
  </si>
  <si>
    <t>4号楼8层3单元807</t>
    <phoneticPr fontId="144" type="noConversion"/>
  </si>
  <si>
    <t>4号楼8层3单元808</t>
    <phoneticPr fontId="144" type="noConversion"/>
  </si>
  <si>
    <t>4号楼8层3单元809</t>
    <phoneticPr fontId="144" type="noConversion"/>
  </si>
  <si>
    <t>4号楼9层3单元901</t>
    <phoneticPr fontId="144" type="noConversion"/>
  </si>
  <si>
    <t>4号楼9层3单元902</t>
    <phoneticPr fontId="144" type="noConversion"/>
  </si>
  <si>
    <t>4号楼9层3单元903</t>
    <phoneticPr fontId="144" type="noConversion"/>
  </si>
  <si>
    <t>4号楼9层3单元904</t>
    <phoneticPr fontId="144" type="noConversion"/>
  </si>
  <si>
    <t>4号楼9层3单元905</t>
    <phoneticPr fontId="144" type="noConversion"/>
  </si>
  <si>
    <t>4号楼9层3单元906</t>
    <phoneticPr fontId="144" type="noConversion"/>
  </si>
  <si>
    <t>4号楼9层3单元907</t>
    <phoneticPr fontId="144" type="noConversion"/>
  </si>
  <si>
    <t>4号楼9层3单元908</t>
    <phoneticPr fontId="144" type="noConversion"/>
  </si>
  <si>
    <t>4号楼9层3单元909</t>
    <phoneticPr fontId="144" type="noConversion"/>
  </si>
  <si>
    <t>4号楼10层3单元1001</t>
    <phoneticPr fontId="144" type="noConversion"/>
  </si>
  <si>
    <t>4号楼10层3单元1002</t>
    <phoneticPr fontId="144" type="noConversion"/>
  </si>
  <si>
    <t>4号楼10层3单元1003</t>
    <phoneticPr fontId="144" type="noConversion"/>
  </si>
  <si>
    <t>4号楼10层3单元1004</t>
    <phoneticPr fontId="144" type="noConversion"/>
  </si>
  <si>
    <t>4号楼10层3单元1005</t>
    <phoneticPr fontId="144" type="noConversion"/>
  </si>
  <si>
    <t>4号楼10层3单元1006</t>
    <phoneticPr fontId="144" type="noConversion"/>
  </si>
  <si>
    <t>4号楼10层3单元1007</t>
    <phoneticPr fontId="144" type="noConversion"/>
  </si>
  <si>
    <t>4号楼11层3单元1101</t>
    <phoneticPr fontId="144" type="noConversion"/>
  </si>
  <si>
    <t>4号楼11层3单元1102</t>
    <phoneticPr fontId="144" type="noConversion"/>
  </si>
  <si>
    <t>4号楼11层3单元1103</t>
    <phoneticPr fontId="144" type="noConversion"/>
  </si>
  <si>
    <t>4号楼11层3单元1104</t>
    <phoneticPr fontId="144" type="noConversion"/>
  </si>
  <si>
    <t>4号楼11层3单元1105</t>
    <phoneticPr fontId="144" type="noConversion"/>
  </si>
  <si>
    <t>4号楼11层3单元1106</t>
    <phoneticPr fontId="144" type="noConversion"/>
  </si>
  <si>
    <t>4号楼11层3单元1107</t>
    <phoneticPr fontId="144" type="noConversion"/>
  </si>
  <si>
    <t>4号楼12层3单元1201</t>
    <phoneticPr fontId="144" type="noConversion"/>
  </si>
  <si>
    <t>4号楼12层3单元1202</t>
    <phoneticPr fontId="144" type="noConversion"/>
  </si>
  <si>
    <t>4号楼12层3单元1203</t>
    <phoneticPr fontId="144" type="noConversion"/>
  </si>
  <si>
    <t>4号楼12层3单元1204</t>
    <phoneticPr fontId="144" type="noConversion"/>
  </si>
  <si>
    <t>4号楼12层3单元1205</t>
    <phoneticPr fontId="144" type="noConversion"/>
  </si>
  <si>
    <t>4号楼12层3单元1206</t>
    <phoneticPr fontId="144" type="noConversion"/>
  </si>
  <si>
    <t>4号楼12层3单元1207</t>
    <phoneticPr fontId="144" type="noConversion"/>
  </si>
  <si>
    <t>4号楼13层3单元1301</t>
    <phoneticPr fontId="144" type="noConversion"/>
  </si>
  <si>
    <t>4号楼13层3单元1302</t>
    <phoneticPr fontId="144" type="noConversion"/>
  </si>
  <si>
    <t>4号楼13层3单元1303</t>
    <phoneticPr fontId="144" type="noConversion"/>
  </si>
  <si>
    <t>4号楼13层3单元1304</t>
    <phoneticPr fontId="144" type="noConversion"/>
  </si>
  <si>
    <t>4号楼13层3单元1305</t>
    <phoneticPr fontId="144" type="noConversion"/>
  </si>
  <si>
    <t>4号楼13层3单元1306</t>
    <phoneticPr fontId="144" type="noConversion"/>
  </si>
  <si>
    <t>4号楼13层3单元1307</t>
    <phoneticPr fontId="144" type="noConversion"/>
  </si>
  <si>
    <t>总楼层</t>
    <phoneticPr fontId="4" type="noConversion"/>
  </si>
  <si>
    <r>
      <t>13</t>
    </r>
    <r>
      <rPr>
        <sz val="10"/>
        <color indexed="8"/>
        <rFont val="宋体"/>
        <family val="3"/>
        <charset val="134"/>
      </rPr>
      <t>层</t>
    </r>
    <phoneticPr fontId="26" type="noConversion"/>
  </si>
  <si>
    <r>
      <t>10</t>
    </r>
    <r>
      <rPr>
        <sz val="10"/>
        <color indexed="8"/>
        <rFont val="宋体"/>
        <family val="3"/>
        <charset val="134"/>
      </rPr>
      <t>层</t>
    </r>
    <phoneticPr fontId="26" type="noConversion"/>
  </si>
  <si>
    <r>
      <t>9</t>
    </r>
    <r>
      <rPr>
        <sz val="10"/>
        <color indexed="8"/>
        <rFont val="宋体"/>
        <family val="3"/>
        <charset val="134"/>
      </rPr>
      <t>层</t>
    </r>
    <phoneticPr fontId="26" type="noConversion"/>
  </si>
  <si>
    <t>9层</t>
  </si>
  <si>
    <t>10层</t>
  </si>
  <si>
    <t>13层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</si>
</sst>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宋体"/>
      <family val="3"/>
      <charset val="134"/>
      <scheme val="minor"/>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7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cellStyleXfs>
  <cellXfs count="368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91" fillId="7" borderId="151" xfId="0" applyFont="1" applyFill="1" applyBorder="1" applyAlignment="1" applyProtection="1">
      <alignment vertical="center"/>
      <protection locked="0"/>
    </xf>
    <xf numFmtId="0" fontId="114" fillId="0" borderId="1" xfId="0" applyFont="1" applyBorder="1" applyAlignment="1">
      <alignment horizontal="center" vertical="center"/>
    </xf>
    <xf numFmtId="0" fontId="114" fillId="0" borderId="1" xfId="0" applyFont="1" applyFill="1" applyBorder="1" applyAlignment="1">
      <alignment horizontal="center" vertical="center"/>
    </xf>
    <xf numFmtId="0" fontId="114" fillId="0" borderId="0" xfId="0" applyFont="1">
      <alignment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255" fillId="0" borderId="1" xfId="0" applyFont="1" applyBorder="1" applyAlignment="1">
      <alignment horizontal="center" vertical="center"/>
    </xf>
    <xf numFmtId="49" fontId="20" fillId="0" borderId="1" xfId="0" applyNumberFormat="1" applyFont="1" applyFill="1" applyBorder="1" applyAlignment="1">
      <alignment horizontal="center" vertical="center" shrinkToFit="1"/>
    </xf>
    <xf numFmtId="0" fontId="114" fillId="0" borderId="2" xfId="0" applyFont="1" applyBorder="1" applyAlignment="1">
      <alignment horizontal="center" vertical="center"/>
    </xf>
    <xf numFmtId="0" fontId="256" fillId="17" borderId="1" xfId="0" applyFont="1" applyFill="1" applyBorder="1" applyAlignment="1">
      <alignment horizontal="center" vertical="center"/>
    </xf>
    <xf numFmtId="0" fontId="114" fillId="0" borderId="0" xfId="0" applyFont="1" applyAlignment="1">
      <alignment horizontal="center" vertical="center"/>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55" fillId="0" borderId="0" xfId="10" applyFont="1" applyFill="1" applyAlignment="1" applyProtection="1">
      <alignment horizontal="center" vertical="center"/>
      <protection locked="0"/>
    </xf>
    <xf numFmtId="0" fontId="55" fillId="0" borderId="58" xfId="10" applyFont="1" applyFill="1" applyBorder="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189" fontId="55" fillId="0" borderId="0" xfId="10" applyNumberFormat="1" applyFont="1" applyFill="1" applyAlignment="1" applyProtection="1">
      <alignment horizontal="center" vertical="center"/>
      <protection locked="0"/>
    </xf>
    <xf numFmtId="9" fontId="48" fillId="0" borderId="0" xfId="10" applyNumberFormat="1" applyFont="1" applyFill="1" applyBorder="1" applyAlignment="1" applyProtection="1">
      <alignment horizontal="center" vertical="center" wrapText="1"/>
      <protection locked="0"/>
    </xf>
    <xf numFmtId="0" fontId="48" fillId="0" borderId="58" xfId="10"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48" fillId="0" borderId="32" xfId="10" applyNumberFormat="1" applyFont="1" applyFill="1" applyBorder="1" applyAlignment="1" applyProtection="1">
      <alignment horizontal="center" vertical="center" wrapText="1"/>
      <protection locked="0"/>
    </xf>
    <xf numFmtId="0" fontId="48" fillId="6" borderId="74" xfId="10" applyNumberFormat="1" applyFont="1" applyFill="1" applyBorder="1" applyAlignment="1" applyProtection="1">
      <alignment horizontal="center" vertical="center" wrapText="1"/>
    </xf>
    <xf numFmtId="0" fontId="54" fillId="6" borderId="12" xfId="10" applyNumberFormat="1" applyFont="1" applyFill="1" applyBorder="1" applyAlignment="1" applyProtection="1">
      <alignment vertical="center" wrapText="1"/>
    </xf>
    <xf numFmtId="0" fontId="72" fillId="6" borderId="0" xfId="10" applyNumberFormat="1" applyFont="1" applyFill="1" applyBorder="1" applyAlignment="1" applyProtection="1">
      <alignment horizontal="center" vertical="center" wrapText="1"/>
      <protection locked="0"/>
    </xf>
    <xf numFmtId="0" fontId="72" fillId="0" borderId="8"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2"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48" fillId="6" borderId="15"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textRotation="255" wrapText="1"/>
    </xf>
    <xf numFmtId="0" fontId="55" fillId="0" borderId="7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6" borderId="77"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wrapText="1"/>
    </xf>
    <xf numFmtId="0" fontId="72" fillId="0" borderId="45"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3" fillId="0" borderId="0" xfId="10" applyFont="1" applyFill="1" applyAlignment="1" applyProtection="1">
      <alignment horizontal="center" vertical="center"/>
      <protection locked="0"/>
    </xf>
    <xf numFmtId="9" fontId="53" fillId="0" borderId="0" xfId="10" applyNumberFormat="1" applyFont="1" applyFill="1" applyBorder="1" applyAlignment="1" applyProtection="1">
      <alignment horizontal="center" vertical="center" wrapText="1"/>
      <protection locked="0"/>
    </xf>
    <xf numFmtId="0" fontId="53" fillId="0" borderId="58" xfId="10"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53" fillId="0" borderId="45"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55" fillId="6" borderId="79"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72" fillId="6" borderId="45"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4"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48" fillId="6" borderId="44" xfId="10" applyNumberFormat="1" applyFont="1" applyFill="1" applyBorder="1" applyAlignment="1" applyProtection="1">
      <alignment horizontal="center" vertical="center" wrapText="1"/>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3" fillId="6" borderId="77"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9" fontId="55" fillId="0" borderId="0" xfId="10" applyNumberFormat="1" applyFont="1" applyFill="1" applyBorder="1" applyAlignment="1" applyProtection="1">
      <alignment horizontal="center" vertical="center" wrapText="1"/>
      <protection locked="0"/>
    </xf>
    <xf numFmtId="0" fontId="55" fillId="0" borderId="58" xfId="10" applyFont="1" applyFill="1" applyBorder="1" applyAlignment="1" applyProtection="1">
      <alignment horizontal="center" vertical="center" wrapText="1"/>
      <protection locked="0"/>
    </xf>
    <xf numFmtId="0" fontId="55" fillId="0" borderId="45"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left" vertical="center" wrapText="1"/>
      <protection locked="0"/>
    </xf>
    <xf numFmtId="0" fontId="55" fillId="6" borderId="57" xfId="10" applyNumberFormat="1" applyFont="1" applyFill="1" applyBorder="1" applyAlignment="1" applyProtection="1">
      <alignment horizontal="center" vertical="center" wrapText="1"/>
    </xf>
    <xf numFmtId="0" fontId="72" fillId="0" borderId="53"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15" xfId="10" applyNumberFormat="1" applyFont="1" applyFill="1" applyBorder="1" applyAlignment="1" applyProtection="1">
      <alignment horizontal="center" vertical="center" wrapText="1"/>
      <protection locked="0"/>
    </xf>
    <xf numFmtId="0" fontId="55" fillId="0" borderId="15"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3" fillId="0" borderId="24"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1"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horizontal="center" vertical="center"/>
    </xf>
    <xf numFmtId="0" fontId="48" fillId="6" borderId="0"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2" fillId="0" borderId="10"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48" fillId="6" borderId="17" xfId="10" applyNumberFormat="1" applyFont="1" applyFill="1" applyBorder="1" applyAlignment="1" applyProtection="1">
      <alignment horizontal="center" vertical="center" wrapText="1"/>
    </xf>
    <xf numFmtId="0" fontId="54" fillId="6" borderId="40" xfId="10" applyNumberFormat="1" applyFont="1" applyFill="1" applyBorder="1" applyAlignment="1" applyProtection="1">
      <alignment vertical="center" wrapText="1"/>
    </xf>
    <xf numFmtId="0" fontId="72" fillId="0" borderId="2" xfId="10" applyNumberFormat="1" applyFont="1" applyFill="1" applyBorder="1" applyAlignment="1" applyProtection="1">
      <alignment horizontal="left" vertical="center" wrapText="1"/>
      <protection locked="0"/>
    </xf>
    <xf numFmtId="0" fontId="72" fillId="0" borderId="2" xfId="10" applyNumberFormat="1" applyFont="1" applyFill="1" applyBorder="1" applyAlignment="1" applyProtection="1">
      <alignment horizontal="center"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0" xfId="10" applyFont="1" applyFill="1" applyAlignment="1" applyProtection="1">
      <alignment horizontal="center" vertical="center"/>
      <protection locked="0"/>
    </xf>
    <xf numFmtId="0" fontId="50" fillId="6" borderId="14" xfId="10" applyNumberFormat="1" applyFont="1" applyFill="1" applyBorder="1" applyAlignment="1" applyProtection="1">
      <alignment vertical="center" wrapText="1"/>
    </xf>
    <xf numFmtId="0" fontId="48" fillId="0" borderId="83" xfId="10" applyNumberFormat="1" applyFont="1" applyFill="1" applyBorder="1" applyAlignment="1" applyProtection="1">
      <alignment horizontal="center" vertical="center"/>
      <protection locked="0"/>
    </xf>
    <xf numFmtId="0" fontId="55" fillId="6" borderId="53"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48" fillId="0" borderId="58" xfId="10" applyFont="1" applyFill="1" applyBorder="1" applyAlignment="1" applyProtection="1">
      <alignment vertical="center" wrapText="1"/>
      <protection locked="0"/>
    </xf>
    <xf numFmtId="0" fontId="72" fillId="6" borderId="10"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48" fillId="6" borderId="9" xfId="10" applyNumberFormat="1" applyFont="1" applyFill="1" applyBorder="1" applyAlignment="1" applyProtection="1">
      <alignment horizontal="center" vertical="center" wrapText="1"/>
    </xf>
    <xf numFmtId="0" fontId="53" fillId="0" borderId="49"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73" fillId="6" borderId="12" xfId="10" applyNumberFormat="1" applyFont="1" applyFill="1" applyBorder="1" applyAlignment="1" applyProtection="1">
      <alignment vertical="center" wrapText="1"/>
    </xf>
    <xf numFmtId="0" fontId="53" fillId="0" borderId="58" xfId="10" applyFont="1" applyFill="1" applyBorder="1" applyAlignment="1" applyProtection="1">
      <alignmen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2" xfId="10" applyNumberFormat="1"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protection locked="0"/>
    </xf>
    <xf numFmtId="0" fontId="53" fillId="0" borderId="58" xfId="10" applyFont="1" applyFill="1" applyBorder="1" applyAlignment="1" applyProtection="1">
      <alignment horizontal="center" vertical="center"/>
      <protection locked="0"/>
    </xf>
    <xf numFmtId="0" fontId="72" fillId="0" borderId="24"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55" fillId="0" borderId="1" xfId="10" applyNumberFormat="1" applyFont="1" applyFill="1" applyBorder="1" applyAlignment="1" applyProtection="1">
      <alignment horizontal="center" vertical="center" wrapText="1"/>
      <protection locked="0"/>
    </xf>
    <xf numFmtId="0" fontId="53" fillId="6" borderId="15" xfId="10" applyNumberFormat="1" applyFont="1" applyFill="1" applyBorder="1" applyAlignment="1" applyProtection="1">
      <alignment horizontal="center" vertical="center" wrapText="1"/>
    </xf>
    <xf numFmtId="0" fontId="55" fillId="6" borderId="8"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9" fontId="48" fillId="0" borderId="58"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22" xfId="10" applyNumberFormat="1" applyFont="1" applyFill="1" applyBorder="1" applyAlignment="1" applyProtection="1">
      <alignment horizontal="center" vertical="center" wrapText="1"/>
      <protection locked="0"/>
    </xf>
    <xf numFmtId="0" fontId="50" fillId="6" borderId="35" xfId="10" applyNumberFormat="1" applyFont="1" applyFill="1" applyBorder="1" applyAlignment="1" applyProtection="1">
      <alignment vertical="center" wrapText="1"/>
    </xf>
    <xf numFmtId="0" fontId="50" fillId="6" borderId="58" xfId="10" applyNumberFormat="1" applyFont="1" applyFill="1" applyBorder="1" applyAlignment="1" applyProtection="1">
      <alignment vertical="center" wrapText="1"/>
    </xf>
    <xf numFmtId="0" fontId="105" fillId="0" borderId="58" xfId="10" applyFont="1" applyFill="1" applyBorder="1" applyAlignment="1" applyProtection="1">
      <alignment vertical="center"/>
      <protection locked="0"/>
    </xf>
    <xf numFmtId="0" fontId="48" fillId="0" borderId="8" xfId="10" applyNumberFormat="1" applyFont="1" applyFill="1" applyBorder="1" applyAlignment="1" applyProtection="1">
      <alignment horizontal="center" vertical="center" wrapText="1"/>
      <protection locked="0"/>
    </xf>
    <xf numFmtId="0" fontId="48" fillId="6" borderId="7" xfId="10" applyNumberFormat="1" applyFont="1" applyFill="1" applyBorder="1" applyAlignment="1" applyProtection="1">
      <alignment horizontal="center" vertical="center" wrapText="1"/>
    </xf>
    <xf numFmtId="0" fontId="48" fillId="0" borderId="75"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3" xfId="10" applyNumberFormat="1" applyFont="1" applyFill="1" applyBorder="1" applyAlignment="1" applyProtection="1">
      <alignment horizontal="center" vertical="center" wrapText="1"/>
      <protection locked="0"/>
    </xf>
    <xf numFmtId="0" fontId="50" fillId="6" borderId="73" xfId="10" applyNumberFormat="1" applyFont="1" applyFill="1" applyBorder="1" applyAlignment="1" applyProtection="1">
      <alignment vertical="center" wrapText="1"/>
    </xf>
    <xf numFmtId="0" fontId="50" fillId="6" borderId="42" xfId="10" applyNumberFormat="1" applyFont="1" applyFill="1" applyBorder="1" applyAlignment="1" applyProtection="1">
      <alignment vertical="center"/>
    </xf>
    <xf numFmtId="0" fontId="48" fillId="0" borderId="46" xfId="10" applyNumberFormat="1" applyFont="1" applyFill="1" applyBorder="1" applyAlignment="1" applyProtection="1">
      <alignment horizontal="center" vertical="center" wrapText="1"/>
      <protection locked="0"/>
    </xf>
    <xf numFmtId="0" fontId="55" fillId="6" borderId="13" xfId="10" applyNumberFormat="1" applyFont="1" applyFill="1" applyBorder="1" applyAlignment="1" applyProtection="1">
      <alignment horizontal="center" vertical="center" wrapText="1"/>
      <protection locked="0"/>
    </xf>
    <xf numFmtId="0" fontId="50" fillId="6" borderId="18" xfId="10" applyNumberFormat="1" applyFont="1" applyFill="1" applyBorder="1" applyAlignment="1" applyProtection="1">
      <alignment vertical="center" wrapText="1"/>
    </xf>
    <xf numFmtId="49" fontId="48" fillId="0" borderId="0" xfId="10" applyNumberFormat="1" applyFont="1" applyFill="1" applyAlignment="1" applyProtection="1">
      <alignment horizontal="center" vertical="center"/>
      <protection locked="0"/>
    </xf>
    <xf numFmtId="49" fontId="48" fillId="0" borderId="58" xfId="10" applyNumberFormat="1" applyFont="1" applyFill="1" applyBorder="1" applyAlignment="1" applyProtection="1">
      <alignment horizontal="center" vertical="center"/>
      <protection locked="0"/>
    </xf>
    <xf numFmtId="190" fontId="48" fillId="6" borderId="9" xfId="10" applyNumberFormat="1" applyFont="1" applyFill="1" applyBorder="1" applyAlignment="1" applyProtection="1">
      <alignment horizontal="center" vertical="center" wrapText="1"/>
    </xf>
    <xf numFmtId="190" fontId="48" fillId="6" borderId="30" xfId="10" applyNumberFormat="1" applyFont="1" applyFill="1" applyBorder="1" applyAlignment="1" applyProtection="1">
      <alignment horizontal="center" vertical="center" wrapText="1"/>
    </xf>
    <xf numFmtId="0" fontId="50" fillId="6" borderId="39" xfId="10" applyNumberFormat="1" applyFont="1" applyFill="1" applyBorder="1" applyAlignment="1" applyProtection="1">
      <alignment vertical="center" wrapText="1"/>
    </xf>
    <xf numFmtId="0" fontId="50" fillId="6" borderId="16" xfId="10" applyNumberFormat="1" applyFont="1" applyFill="1" applyBorder="1" applyAlignment="1" applyProtection="1">
      <alignment vertical="center" wrapText="1"/>
    </xf>
    <xf numFmtId="0" fontId="55" fillId="0" borderId="58" xfId="10" applyFont="1" applyBorder="1" applyAlignment="1" applyProtection="1">
      <protection locked="0"/>
    </xf>
    <xf numFmtId="0" fontId="55" fillId="6" borderId="0" xfId="10" applyFont="1" applyFill="1" applyBorder="1" applyAlignment="1" applyProtection="1">
      <protection locked="0"/>
    </xf>
    <xf numFmtId="181" fontId="55" fillId="6" borderId="0" xfId="10" applyNumberFormat="1" applyFont="1" applyFill="1" applyBorder="1" applyAlignment="1" applyProtection="1">
      <protection locked="0"/>
    </xf>
    <xf numFmtId="189" fontId="55" fillId="6" borderId="0" xfId="10" applyNumberFormat="1" applyFont="1" applyFill="1" applyBorder="1" applyAlignment="1" applyProtection="1">
      <alignment horizontal="center"/>
    </xf>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0" fontId="72" fillId="0" borderId="58" xfId="10" applyFont="1" applyFill="1" applyBorder="1" applyAlignment="1" applyProtection="1">
      <alignment horizontal="center" vertical="center"/>
      <protection locked="0"/>
    </xf>
    <xf numFmtId="0" fontId="72" fillId="6" borderId="0" xfId="10"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55" fillId="6" borderId="3" xfId="10" applyNumberFormat="1" applyFont="1" applyFill="1" applyBorder="1" applyAlignment="1" applyProtection="1">
      <alignment vertical="center"/>
    </xf>
    <xf numFmtId="181" fontId="55" fillId="6" borderId="5" xfId="10" applyNumberFormat="1" applyFont="1" applyFill="1" applyBorder="1" applyAlignment="1" applyProtection="1">
      <alignment horizontal="center" vertical="center"/>
    </xf>
    <xf numFmtId="0" fontId="54" fillId="6" borderId="3" xfId="10" applyFont="1" applyFill="1" applyBorder="1" applyAlignment="1" applyProtection="1">
      <alignment horizontal="center" vertical="center" wrapText="1"/>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0" fontId="55" fillId="6" borderId="43" xfId="10" applyFont="1" applyFill="1" applyBorder="1" applyAlignment="1" applyProtection="1">
      <alignment horizontal="center" vertical="center"/>
    </xf>
    <xf numFmtId="0" fontId="55" fillId="6" borderId="47" xfId="10" applyFont="1" applyFill="1" applyBorder="1" applyAlignment="1" applyProtection="1">
      <alignment horizontal="center" vertical="center"/>
    </xf>
    <xf numFmtId="0" fontId="55" fillId="6" borderId="0" xfId="10" applyFont="1" applyFill="1" applyBorder="1" applyAlignment="1" applyProtection="1">
      <alignment horizontal="center" vertical="center"/>
      <protection locked="0"/>
    </xf>
    <xf numFmtId="181" fontId="55" fillId="6" borderId="0" xfId="10" applyNumberFormat="1" applyFont="1" applyFill="1" applyBorder="1" applyAlignment="1" applyProtection="1">
      <alignment vertical="center" wrapText="1"/>
      <protection locked="0"/>
    </xf>
    <xf numFmtId="189" fontId="55" fillId="6" borderId="1" xfId="10" applyNumberFormat="1" applyFont="1" applyFill="1" applyBorder="1" applyAlignment="1" applyProtection="1">
      <alignment horizontal="center" vertical="center" wrapText="1"/>
    </xf>
    <xf numFmtId="186" fontId="54" fillId="6" borderId="47"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49" fontId="54" fillId="0" borderId="43" xfId="10" applyNumberFormat="1" applyFont="1" applyFill="1" applyBorder="1" applyAlignment="1" applyProtection="1">
      <alignment vertical="center"/>
      <protection locked="0"/>
    </xf>
    <xf numFmtId="49" fontId="54" fillId="0" borderId="42" xfId="10" applyNumberFormat="1" applyFont="1" applyFill="1" applyBorder="1" applyAlignment="1" applyProtection="1">
      <alignment vertical="center"/>
      <protection locked="0"/>
    </xf>
    <xf numFmtId="0" fontId="55" fillId="6" borderId="56" xfId="10"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189" fontId="55" fillId="6" borderId="3" xfId="10" applyNumberFormat="1" applyFont="1" applyFill="1" applyBorder="1" applyAlignment="1" applyProtection="1">
      <alignment horizontal="center" vertical="center" wrapText="1"/>
    </xf>
    <xf numFmtId="0" fontId="54" fillId="6" borderId="68" xfId="10"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38" xfId="10" applyNumberFormat="1" applyFont="1" applyFill="1" applyBorder="1" applyAlignment="1" applyProtection="1">
      <alignment vertical="center" wrapText="1"/>
    </xf>
    <xf numFmtId="49" fontId="54" fillId="6" borderId="52" xfId="10" applyNumberFormat="1" applyFont="1" applyFill="1" applyBorder="1" applyAlignment="1" applyProtection="1">
      <alignment vertical="center"/>
    </xf>
    <xf numFmtId="49" fontId="54" fillId="6" borderId="38" xfId="10" applyNumberFormat="1" applyFont="1" applyFill="1" applyBorder="1" applyAlignment="1" applyProtection="1">
      <alignment vertical="center"/>
    </xf>
    <xf numFmtId="0" fontId="55" fillId="6" borderId="2" xfId="10" applyFont="1" applyFill="1" applyBorder="1" applyAlignment="1" applyProtection="1">
      <alignment vertical="center" textRotation="255" wrapText="1"/>
    </xf>
    <xf numFmtId="189" fontId="55" fillId="6" borderId="3" xfId="10" applyNumberFormat="1" applyFont="1" applyFill="1" applyBorder="1" applyAlignment="1" applyProtection="1">
      <alignment horizontal="center" vertical="center"/>
    </xf>
    <xf numFmtId="0" fontId="74" fillId="6" borderId="21" xfId="10"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54" fillId="6" borderId="21" xfId="10" applyNumberFormat="1" applyFont="1" applyFill="1" applyBorder="1" applyAlignment="1" applyProtection="1">
      <alignment vertical="center" wrapText="1"/>
    </xf>
    <xf numFmtId="0" fontId="54" fillId="6" borderId="51" xfId="10" applyNumberFormat="1" applyFont="1" applyFill="1" applyBorder="1" applyAlignment="1" applyProtection="1">
      <alignment horizontal="right" vertical="center" wrapText="1"/>
    </xf>
    <xf numFmtId="49" fontId="54" fillId="6" borderId="20" xfId="10" applyNumberFormat="1" applyFont="1" applyFill="1" applyBorder="1" applyAlignment="1" applyProtection="1">
      <alignment vertical="center"/>
    </xf>
    <xf numFmtId="49" fontId="54" fillId="6" borderId="51" xfId="10" applyNumberFormat="1" applyFont="1" applyFill="1" applyBorder="1" applyAlignment="1" applyProtection="1">
      <alignment vertical="center"/>
    </xf>
    <xf numFmtId="0" fontId="55" fillId="6" borderId="24" xfId="10" applyNumberFormat="1"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188" fontId="55" fillId="6" borderId="5"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55" fillId="6" borderId="49" xfId="10" applyNumberFormat="1"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55" fillId="6" borderId="33" xfId="10" applyNumberFormat="1" applyFont="1" applyFill="1" applyBorder="1" applyAlignment="1" applyProtection="1">
      <alignment horizontal="center" vertical="center" wrapText="1"/>
    </xf>
    <xf numFmtId="0" fontId="55" fillId="0" borderId="38" xfId="10" applyNumberFormat="1" applyFont="1" applyFill="1" applyBorder="1" applyAlignment="1" applyProtection="1">
      <alignment horizontal="center" vertical="center" wrapText="1"/>
      <protection locked="0"/>
    </xf>
    <xf numFmtId="0" fontId="48" fillId="0" borderId="33"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textRotation="255" wrapText="1"/>
    </xf>
    <xf numFmtId="0" fontId="55" fillId="6" borderId="24"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textRotation="255" wrapText="1"/>
    </xf>
    <xf numFmtId="0" fontId="48" fillId="6" borderId="24" xfId="10" applyNumberFormat="1"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48" fillId="6" borderId="0" xfId="10" applyFont="1" applyFill="1" applyBorder="1" applyAlignment="1" applyProtection="1">
      <alignment horizontal="center" vertical="center"/>
      <protection locked="0"/>
    </xf>
    <xf numFmtId="181" fontId="48" fillId="6" borderId="0"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6" borderId="5" xfId="10" applyNumberFormat="1" applyFont="1" applyFill="1" applyBorder="1" applyAlignment="1" applyProtection="1">
      <alignment horizontal="center" vertical="center" wrapText="1"/>
    </xf>
    <xf numFmtId="0" fontId="48" fillId="0" borderId="37"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0" fontId="62" fillId="0" borderId="3" xfId="10" applyNumberFormat="1"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55" fillId="2" borderId="23" xfId="10" applyNumberFormat="1" applyFont="1" applyFill="1" applyBorder="1" applyAlignment="1" applyProtection="1">
      <alignment horizontal="center" vertical="center" wrapText="1"/>
      <protection locked="0"/>
    </xf>
    <xf numFmtId="0" fontId="48" fillId="6" borderId="5"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188" fontId="53" fillId="6" borderId="5"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53" fillId="6" borderId="0" xfId="10" applyFont="1" applyFill="1" applyBorder="1" applyAlignment="1" applyProtection="1">
      <alignment horizontal="center" vertical="center"/>
      <protection locked="0"/>
    </xf>
    <xf numFmtId="181" fontId="53" fillId="6" borderId="0" xfId="10" applyNumberFormat="1" applyFont="1" applyFill="1" applyBorder="1" applyAlignment="1" applyProtection="1">
      <alignment horizontal="center" vertical="center" wrapText="1"/>
      <protection locked="0"/>
    </xf>
    <xf numFmtId="0" fontId="55" fillId="6" borderId="5" xfId="10"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55" fillId="2" borderId="37" xfId="10" applyNumberFormat="1" applyFont="1" applyFill="1" applyBorder="1" applyAlignment="1" applyProtection="1">
      <alignment horizontal="center" vertical="center" wrapText="1"/>
      <protection locked="0"/>
    </xf>
    <xf numFmtId="9" fontId="48" fillId="0" borderId="37"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2" borderId="6" xfId="10" applyNumberFormat="1" applyFont="1" applyFill="1" applyBorder="1" applyAlignment="1" applyProtection="1">
      <alignment horizontal="center" vertical="center" wrapText="1"/>
      <protection locked="0"/>
    </xf>
    <xf numFmtId="0" fontId="48" fillId="6" borderId="28" xfId="10"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0" borderId="7" xfId="10" applyNumberFormat="1" applyFont="1" applyFill="1" applyBorder="1" applyAlignment="1" applyProtection="1">
      <alignment horizontal="center" vertical="center" wrapText="1"/>
      <protection locked="0"/>
    </xf>
    <xf numFmtId="0" fontId="48" fillId="0" borderId="12" xfId="10" applyNumberFormat="1" applyFont="1" applyFill="1" applyBorder="1" applyAlignment="1" applyProtection="1">
      <alignment horizontal="center" vertical="center" wrapText="1"/>
      <protection locked="0"/>
    </xf>
    <xf numFmtId="0" fontId="55" fillId="0" borderId="52" xfId="10" applyNumberFormat="1" applyFont="1" applyFill="1" applyBorder="1" applyAlignment="1" applyProtection="1">
      <alignment horizontal="center" vertical="center" wrapText="1"/>
      <protection locked="0"/>
    </xf>
    <xf numFmtId="0" fontId="48" fillId="0" borderId="49"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55" fillId="0" borderId="54" xfId="10" applyNumberFormat="1" applyFont="1" applyFill="1" applyBorder="1" applyAlignment="1" applyProtection="1">
      <alignment horizontal="center" vertical="center" wrapText="1"/>
      <protection locked="0"/>
    </xf>
    <xf numFmtId="0" fontId="48" fillId="0" borderId="24"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wrapText="1"/>
    </xf>
    <xf numFmtId="0" fontId="48" fillId="6" borderId="8" xfId="10" applyNumberFormat="1" applyFont="1" applyFill="1" applyBorder="1" applyAlignment="1" applyProtection="1">
      <alignment horizontal="center" vertical="center" wrapText="1"/>
    </xf>
    <xf numFmtId="0" fontId="48" fillId="2" borderId="41" xfId="10" applyNumberFormat="1" applyFont="1" applyFill="1" applyBorder="1" applyAlignment="1" applyProtection="1">
      <alignment horizontal="center" vertical="center" wrapText="1"/>
      <protection locked="0"/>
    </xf>
    <xf numFmtId="0" fontId="48" fillId="2" borderId="7" xfId="10" applyNumberFormat="1" applyFont="1" applyFill="1" applyBorder="1" applyAlignment="1" applyProtection="1">
      <alignment horizontal="center" vertical="center" wrapText="1"/>
      <protection locked="0"/>
    </xf>
    <xf numFmtId="0" fontId="48" fillId="6" borderId="61" xfId="10" applyFont="1" applyFill="1" applyBorder="1" applyAlignment="1" applyProtection="1">
      <alignment horizontal="center" vertical="center" wrapText="1"/>
    </xf>
    <xf numFmtId="0" fontId="50" fillId="6" borderId="14" xfId="10" applyFont="1" applyFill="1" applyBorder="1" applyAlignment="1" applyProtection="1">
      <alignment vertical="center" wrapText="1"/>
    </xf>
    <xf numFmtId="0" fontId="55" fillId="2" borderId="54" xfId="10" applyNumberFormat="1" applyFont="1" applyFill="1" applyBorder="1" applyAlignment="1" applyProtection="1">
      <alignment horizontal="center" vertical="center" wrapText="1"/>
      <protection locked="0"/>
    </xf>
    <xf numFmtId="0" fontId="48" fillId="6" borderId="8" xfId="10"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4" fillId="6" borderId="18" xfId="10" applyFont="1" applyFill="1" applyBorder="1" applyAlignment="1" applyProtection="1">
      <alignment vertical="center" wrapText="1"/>
    </xf>
    <xf numFmtId="0" fontId="62"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55" fillId="2" borderId="7" xfId="10" applyNumberFormat="1" applyFont="1" applyFill="1" applyBorder="1" applyAlignment="1" applyProtection="1">
      <alignment horizontal="center" vertical="center" wrapText="1"/>
      <protection locked="0"/>
    </xf>
    <xf numFmtId="0" fontId="48" fillId="6" borderId="53" xfId="10"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55" fillId="6" borderId="22" xfId="10" applyNumberFormat="1"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0" fontId="55" fillId="2" borderId="41" xfId="10" applyNumberFormat="1" applyFont="1" applyFill="1" applyBorder="1" applyAlignment="1" applyProtection="1">
      <alignment horizontal="center" vertical="center" wrapText="1"/>
      <protection locked="0"/>
    </xf>
    <xf numFmtId="0"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49" fontId="55" fillId="6" borderId="39" xfId="10" applyNumberFormat="1" applyFont="1" applyFill="1" applyBorder="1" applyAlignment="1" applyProtection="1">
      <alignment horizontal="center" vertical="center" wrapText="1"/>
    </xf>
    <xf numFmtId="0" fontId="48" fillId="6" borderId="62" xfId="10"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71" fillId="0" borderId="0" xfId="10" applyFont="1" applyFill="1" applyAlignment="1" applyProtection="1">
      <alignment horizontal="center" vertical="center"/>
      <protection locked="0"/>
    </xf>
    <xf numFmtId="0" fontId="71" fillId="6" borderId="0" xfId="10" applyFont="1" applyFill="1" applyBorder="1" applyAlignment="1" applyProtection="1">
      <alignment horizontal="center" vertical="center"/>
      <protection locked="0"/>
    </xf>
    <xf numFmtId="181" fontId="71" fillId="6" borderId="0" xfId="10" applyNumberFormat="1" applyFont="1" applyFill="1" applyBorder="1" applyAlignment="1" applyProtection="1">
      <alignment horizontal="center" vertical="center" wrapText="1"/>
      <protection locked="0"/>
    </xf>
    <xf numFmtId="49" fontId="48"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wrapText="1"/>
    </xf>
    <xf numFmtId="0" fontId="48" fillId="6" borderId="3" xfId="10" applyNumberFormat="1" applyFont="1" applyFill="1" applyBorder="1" applyAlignment="1" applyProtection="1">
      <alignment horizontal="center" vertical="center" wrapText="1"/>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49" fontId="48" fillId="2" borderId="6" xfId="10" applyNumberFormat="1" applyFont="1" applyFill="1" applyBorder="1" applyAlignment="1" applyProtection="1">
      <alignment horizontal="center" vertical="center" wrapText="1"/>
      <protection locked="0"/>
    </xf>
    <xf numFmtId="0" fontId="48" fillId="0" borderId="51"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49" fontId="48" fillId="2" borderId="26"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0" fontId="50" fillId="6" borderId="64" xfId="10" applyFont="1" applyFill="1" applyBorder="1" applyAlignment="1" applyProtection="1">
      <alignment vertical="center" wrapText="1"/>
    </xf>
    <xf numFmtId="0" fontId="50" fillId="6" borderId="63" xfId="10" applyFont="1" applyFill="1" applyBorder="1" applyAlignment="1" applyProtection="1">
      <alignment vertical="center" wrapText="1"/>
    </xf>
    <xf numFmtId="184" fontId="48" fillId="0" borderId="70" xfId="10" applyNumberFormat="1" applyFont="1" applyFill="1" applyBorder="1" applyAlignment="1" applyProtection="1">
      <alignment horizontal="center" vertical="center" wrapText="1"/>
      <protection locked="0"/>
    </xf>
    <xf numFmtId="184" fontId="48" fillId="6" borderId="26"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189" fontId="48" fillId="6" borderId="3" xfId="10" applyNumberFormat="1" applyFont="1" applyFill="1" applyBorder="1" applyAlignment="1" applyProtection="1">
      <alignment horizontal="center" vertical="center" wrapText="1"/>
    </xf>
    <xf numFmtId="0" fontId="54" fillId="6" borderId="47"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5" fillId="6" borderId="17" xfId="10" applyFont="1" applyFill="1" applyBorder="1" applyAlignment="1" applyProtection="1">
      <alignment horizontal="center" vertical="center"/>
    </xf>
    <xf numFmtId="0" fontId="54" fillId="6" borderId="19" xfId="10" applyFont="1" applyFill="1" applyBorder="1" applyAlignment="1" applyProtection="1">
      <alignment vertical="center" wrapText="1"/>
    </xf>
    <xf numFmtId="0" fontId="54" fillId="6" borderId="16" xfId="10" applyFont="1" applyFill="1" applyBorder="1" applyAlignment="1" applyProtection="1">
      <alignment vertical="center" wrapText="1"/>
    </xf>
    <xf numFmtId="0" fontId="67" fillId="0" borderId="0" xfId="10" applyFont="1" applyFill="1" applyAlignment="1" applyProtection="1">
      <alignment horizontal="center" vertical="center"/>
      <protection locked="0"/>
    </xf>
    <xf numFmtId="0" fontId="67"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protection locked="0"/>
    </xf>
    <xf numFmtId="181" fontId="66" fillId="6" borderId="0" xfId="10" applyNumberFormat="1"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0" fontId="67" fillId="6" borderId="0" xfId="10" applyFont="1" applyFill="1" applyAlignment="1" applyProtection="1">
      <alignment horizontal="center" vertical="center"/>
      <protection locked="0"/>
    </xf>
    <xf numFmtId="0" fontId="61" fillId="6" borderId="13" xfId="10"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186" fontId="61" fillId="6" borderId="13" xfId="10" applyNumberFormat="1" applyFont="1" applyFill="1" applyBorder="1" applyAlignment="1" applyProtection="1">
      <alignment horizontal="right" vertical="center"/>
    </xf>
    <xf numFmtId="0" fontId="61" fillId="6" borderId="0" xfId="10" applyFont="1" applyFill="1" applyBorder="1" applyAlignment="1" applyProtection="1">
      <alignment vertical="center"/>
    </xf>
    <xf numFmtId="0" fontId="61" fillId="6" borderId="2" xfId="10" applyFont="1" applyFill="1" applyBorder="1" applyAlignment="1" applyProtection="1">
      <alignment horizontal="right" vertical="center"/>
    </xf>
    <xf numFmtId="0" fontId="67" fillId="0"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6" borderId="88" xfId="10"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0" fontId="66" fillId="6" borderId="88" xfId="10" applyFont="1" applyFill="1" applyBorder="1" applyAlignment="1" applyProtection="1">
      <alignment vertical="center"/>
    </xf>
    <xf numFmtId="0" fontId="69" fillId="6" borderId="88"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6" fillId="2" borderId="88" xfId="10" applyFont="1" applyFill="1" applyBorder="1" applyAlignment="1" applyProtection="1">
      <alignment vertical="center"/>
      <protection locked="0"/>
    </xf>
    <xf numFmtId="0" fontId="66" fillId="6" borderId="88" xfId="10" applyFont="1" applyFill="1" applyBorder="1" applyAlignment="1" applyProtection="1">
      <alignment horizontal="right" vertical="center"/>
    </xf>
    <xf numFmtId="0" fontId="108" fillId="6" borderId="85" xfId="10" applyFont="1" applyFill="1" applyBorder="1" applyAlignment="1" applyProtection="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6" borderId="2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38" xfId="10" applyFont="1" applyFill="1" applyBorder="1" applyAlignment="1" applyProtection="1">
      <alignment horizontal="center" vertical="center" wrapText="1"/>
    </xf>
    <xf numFmtId="0" fontId="55" fillId="6" borderId="66" xfId="10" applyFont="1" applyFill="1" applyBorder="1" applyAlignment="1" applyProtection="1">
      <alignment horizontal="center" vertical="center" wrapText="1"/>
    </xf>
    <xf numFmtId="0" fontId="54" fillId="6" borderId="32" xfId="10" applyNumberFormat="1" applyFont="1" applyFill="1" applyBorder="1" applyAlignment="1" applyProtection="1">
      <alignment horizontal="center" vertical="center"/>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62" xfId="10" applyFont="1" applyFill="1" applyBorder="1" applyAlignment="1" applyProtection="1">
      <alignment horizontal="center" vertical="center"/>
    </xf>
    <xf numFmtId="0" fontId="55" fillId="6" borderId="53" xfId="10" applyFont="1" applyFill="1" applyBorder="1" applyAlignment="1" applyProtection="1">
      <alignment horizontal="center" vertical="center"/>
    </xf>
    <xf numFmtId="0" fontId="55" fillId="6" borderId="8" xfId="10" applyFont="1" applyFill="1" applyBorder="1" applyAlignment="1" applyProtection="1">
      <alignment horizontal="center" vertical="center"/>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16" xfId="10" applyFont="1" applyFill="1" applyBorder="1" applyAlignment="1" applyProtection="1">
      <alignment horizontal="center" vertical="center" wrapText="1"/>
    </xf>
    <xf numFmtId="0" fontId="55" fillId="6" borderId="39" xfId="10" applyFont="1" applyFill="1" applyBorder="1" applyAlignment="1" applyProtection="1">
      <alignment horizontal="center" vertical="center" wrapText="1"/>
    </xf>
    <xf numFmtId="0" fontId="55" fillId="6" borderId="1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69"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55" fillId="6" borderId="29" xfId="10" applyFont="1" applyFill="1" applyBorder="1" applyAlignment="1" applyProtection="1">
      <alignment horizontal="center" vertical="center"/>
    </xf>
    <xf numFmtId="0" fontId="55" fillId="6" borderId="39"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9"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48" fillId="6" borderId="37"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48" fillId="6" borderId="5"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55" fillId="6" borderId="17"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 xfId="0" applyFont="1" applyBorder="1" applyAlignment="1">
      <alignment horizontal="center" vertical="center"/>
    </xf>
    <xf numFmtId="0" fontId="114" fillId="0" borderId="36" xfId="0" applyFont="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cellXfs>
  <cellStyles count="71">
    <cellStyle name="百分比 10" xfId="17"/>
    <cellStyle name="百分比 2" xfId="14"/>
    <cellStyle name="百分比 4" xfId="18"/>
    <cellStyle name="百分比 6" xfId="19"/>
    <cellStyle name="百分比 9" xfId="20"/>
    <cellStyle name="常规" xfId="0" builtinId="0"/>
    <cellStyle name="常规 10" xfId="21"/>
    <cellStyle name="常规 11" xfId="22"/>
    <cellStyle name="常规 12" xfId="23"/>
    <cellStyle name="常规 13" xfId="24"/>
    <cellStyle name="常规 14" xfId="25"/>
    <cellStyle name="常规 15" xfId="26"/>
    <cellStyle name="常规 16" xfId="10"/>
    <cellStyle name="常规 17" xfId="27"/>
    <cellStyle name="常规 18" xfId="28"/>
    <cellStyle name="常规 19" xfId="29"/>
    <cellStyle name="常规 2" xfId="1"/>
    <cellStyle name="常规 2 10" xfId="30"/>
    <cellStyle name="常规 2 11" xfId="31"/>
    <cellStyle name="常规 2 12" xfId="32"/>
    <cellStyle name="常规 2 13" xfId="33"/>
    <cellStyle name="常规 2 14" xfId="34"/>
    <cellStyle name="常规 2 15" xfId="35"/>
    <cellStyle name="常规 2 16" xfId="36"/>
    <cellStyle name="常规 2 17" xfId="37"/>
    <cellStyle name="常规 2 18" xfId="38"/>
    <cellStyle name="常规 2 2" xfId="8"/>
    <cellStyle name="常规 2 2 2 2 3" xfId="15"/>
    <cellStyle name="常规 2 3" xfId="39"/>
    <cellStyle name="常规 2 4" xfId="40"/>
    <cellStyle name="常规 2 5" xfId="41"/>
    <cellStyle name="常规 2 6" xfId="42"/>
    <cellStyle name="常规 2 7" xfId="43"/>
    <cellStyle name="常规 2 8" xfId="44"/>
    <cellStyle name="常规 2 9" xfId="45"/>
    <cellStyle name="常规 21" xfId="46"/>
    <cellStyle name="常规 22" xfId="47"/>
    <cellStyle name="常规 23" xfId="48"/>
    <cellStyle name="常规 24" xfId="49"/>
    <cellStyle name="常规 25" xfId="50"/>
    <cellStyle name="常规 26" xfId="51"/>
    <cellStyle name="常规 27" xfId="52"/>
    <cellStyle name="常规 28" xfId="53"/>
    <cellStyle name="常规 29" xfId="54"/>
    <cellStyle name="常规 3" xfId="2"/>
    <cellStyle name="常规 3 10" xfId="55"/>
    <cellStyle name="常规 3 11" xfId="56"/>
    <cellStyle name="常规 3 12" xfId="57"/>
    <cellStyle name="常规 3 13" xfId="58"/>
    <cellStyle name="常规 3 14" xfId="59"/>
    <cellStyle name="常规 3 15" xfId="60"/>
    <cellStyle name="常规 3 16" xfId="61"/>
    <cellStyle name="常规 3 17" xfId="62"/>
    <cellStyle name="常规 3 18" xfId="63"/>
    <cellStyle name="常规 3 2" xfId="3"/>
    <cellStyle name="常规 3 3" xfId="64"/>
    <cellStyle name="常规 3 4" xfId="65"/>
    <cellStyle name="常规 3 5" xfId="66"/>
    <cellStyle name="常规 3 6" xfId="67"/>
    <cellStyle name="常规 3 7" xfId="68"/>
    <cellStyle name="常规 3 8" xfId="69"/>
    <cellStyle name="常规 3 9" xfId="70"/>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12</xdr:col>
      <xdr:colOff>409575</xdr:colOff>
      <xdr:row>32</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0"/>
          <a:ext cx="64389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571560</xdr:colOff>
      <xdr:row>27</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6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47625</xdr:colOff>
      <xdr:row>54</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76775"/>
          <a:ext cx="896302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38100</xdr:rowOff>
    </xdr:from>
    <xdr:to>
      <xdr:col>13</xdr:col>
      <xdr:colOff>114300</xdr:colOff>
      <xdr:row>77</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10600"/>
          <a:ext cx="902970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38100</xdr:rowOff>
    </xdr:from>
    <xdr:to>
      <xdr:col>13</xdr:col>
      <xdr:colOff>76200</xdr:colOff>
      <xdr:row>100</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53950"/>
          <a:ext cx="89916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27</xdr:row>
      <xdr:rowOff>104775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57150</xdr:rowOff>
    </xdr:from>
    <xdr:to>
      <xdr:col>13</xdr:col>
      <xdr:colOff>38100</xdr:colOff>
      <xdr:row>54</xdr:row>
      <xdr:rowOff>114300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86300"/>
          <a:ext cx="89535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28575</xdr:rowOff>
    </xdr:from>
    <xdr:to>
      <xdr:col>13</xdr:col>
      <xdr:colOff>38100</xdr:colOff>
      <xdr:row>81</xdr:row>
      <xdr:rowOff>38100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86875"/>
          <a:ext cx="895350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8047;&#22999;\2018&#24180;\A&#21495;&#65288;&#29616;&#25151;&#65289;\2018-1-0115&#65288;TBD&#20113;&#38598;&#20013;&#24515;1&#21495;&#27004;&#65289;&#21271;&#20140;&#24066;&#26124;&#24179;&#21306;&#19971;&#21271;&#36335;42&#21495;&#38498;1&#21495;&#27004;3&#23618;301&#21495;&#31561;&#20849;66&#22871;&#21150;&#20844;&#29992;&#25151;&#21450;1&#23618;102&#21495;&#31561;&#20849;5&#22871;&#21830;&#19994;&#29992;&#25151;&#25151;&#22320;&#20135;&#24066;&#22330;&#20215;&#20540;&#35780;&#20272;\F01\&#26368;&#32456;\&#65288;&#26368;&#32456;&#65289;TBD&#20113;&#3859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BD&#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BD&#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 val="收费计算"/>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row>
        <row r="18">
          <cell r="A18"/>
        </row>
        <row r="19">
          <cell r="A19"/>
        </row>
        <row r="20">
          <cell r="A20"/>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比较法-办公售价</v>
          </cell>
        </row>
        <row r="18">
          <cell r="A18" t="str">
            <v>办公楼</v>
          </cell>
          <cell r="B18" t="str">
            <v>收益法 (商业)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145</v>
          </cell>
        </row>
      </sheetData>
      <sheetData sheetId="12"/>
      <sheetData sheetId="13">
        <row r="3">
          <cell r="E3">
            <v>9299.5400000000009</v>
          </cell>
        </row>
        <row r="17">
          <cell r="C17" t="str">
            <v>项目类型</v>
          </cell>
        </row>
        <row r="18">
          <cell r="C18"/>
        </row>
        <row r="19">
          <cell r="C19" t="str">
            <v>基准户型</v>
          </cell>
          <cell r="E19">
            <v>145</v>
          </cell>
        </row>
        <row r="20">
          <cell r="C20" t="str">
            <v>其余办公</v>
          </cell>
          <cell r="E20">
            <v>8032.909999999998</v>
          </cell>
        </row>
        <row r="21">
          <cell r="C21" t="str">
            <v>基准商业</v>
          </cell>
          <cell r="E21">
            <v>105.19</v>
          </cell>
        </row>
        <row r="22">
          <cell r="C22" t="str">
            <v>其余商业</v>
          </cell>
          <cell r="E22">
            <v>1016.44</v>
          </cell>
        </row>
        <row r="23">
          <cell r="C23"/>
          <cell r="E23">
            <v>0</v>
          </cell>
        </row>
        <row r="24">
          <cell r="C24"/>
          <cell r="E24">
            <v>0</v>
          </cell>
        </row>
        <row r="25">
          <cell r="C25"/>
          <cell r="E25">
            <v>0</v>
          </cell>
        </row>
        <row r="26">
          <cell r="C26"/>
          <cell r="E26">
            <v>0</v>
          </cell>
        </row>
        <row r="27">
          <cell r="C27" t="str">
            <v>小计</v>
          </cell>
          <cell r="E27">
            <v>9299.5399999999991</v>
          </cell>
        </row>
        <row r="28">
          <cell r="C28" t="str">
            <v>设备及其他</v>
          </cell>
          <cell r="E28">
            <v>0</v>
          </cell>
        </row>
        <row r="29">
          <cell r="C29" t="str">
            <v>公共配套及物业（住宅）</v>
          </cell>
          <cell r="E29">
            <v>0</v>
          </cell>
        </row>
        <row r="30">
          <cell r="C30" t="str">
            <v>小计</v>
          </cell>
          <cell r="E30">
            <v>0</v>
          </cell>
        </row>
        <row r="31">
          <cell r="C31" t="str">
            <v>合计</v>
          </cell>
          <cell r="E31">
            <v>9299.5399999999991</v>
          </cell>
        </row>
        <row r="32">
          <cell r="C32"/>
          <cell r="E32">
            <v>0</v>
          </cell>
        </row>
      </sheetData>
      <sheetData sheetId="14">
        <row r="2">
          <cell r="B2">
            <v>43100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估价对象位于昌平区北七家镇，周边办公楼项目较多，入驻率高，办公集聚程度较好。</v>
          </cell>
        </row>
        <row r="6">
          <cell r="C6" t="str">
            <v>估价对象周边路网较为密集、公共交通通达情况较好，有417、607、871路等公共交通，停车便捷程度较好，综合评价交通便捷度较好。</v>
          </cell>
        </row>
        <row r="7">
          <cell r="C7" t="str">
            <v>估价对象所在区域2公里范围内有：银行（北京银行、北京农村商业银行），购物（温都水城购物中心、世纪华联超市），医院（北京新宇医院），学校（平西府幼儿园，平西王府宏立学校）等，公共配套设施齐备情况较好。</v>
          </cell>
        </row>
        <row r="8">
          <cell r="C8" t="str">
            <v>估价对象所在区域基础设施水平达到“七通”。</v>
          </cell>
        </row>
        <row r="9">
          <cell r="C9" t="str">
            <v>区域自然环境：秀水湖公园；人文环境：北京邮电大学（洪福校区）；综合评价环境状况较好。</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2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0">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1">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cell r="D92"/>
          <cell r="E92"/>
          <cell r="F92"/>
          <cell r="G92"/>
          <cell r="H92"/>
          <cell r="I92"/>
          <cell r="J92"/>
          <cell r="K92"/>
          <cell r="L92"/>
          <cell r="M92"/>
        </row>
        <row r="100">
          <cell r="B100" t="str">
            <v>商业类型</v>
          </cell>
          <cell r="C100" t="str">
            <v>办公底商</v>
          </cell>
          <cell r="D100" t="str">
            <v>住宅底商</v>
          </cell>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t="str">
            <v>精装修</v>
          </cell>
          <cell r="D107" t="str">
            <v>普通装修</v>
          </cell>
          <cell r="E107" t="str">
            <v>简单装修</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46"/>
      <sheetData sheetId="47"/>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1层</v>
          </cell>
          <cell r="D17" t="str">
            <v>2层</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cell r="C14">
            <v>3404.72</v>
          </cell>
          <cell r="D14">
            <v>35248</v>
          </cell>
          <cell r="G14">
            <v>35248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基准地价修正"/>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14005.04</v>
          </cell>
          <cell r="C14">
            <v>3605.73</v>
          </cell>
        </row>
      </sheetData>
      <sheetData sheetId="17">
        <row r="104">
          <cell r="C104">
            <v>7241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北京市昌平区北七家镇1、2、4、7预评估</v>
      </c>
    </row>
    <row r="3" spans="1:2" s="1589" customFormat="1">
      <c r="A3" s="1587" t="s">
        <v>1217</v>
      </c>
      <c r="B3" s="1588" t="e">
        <f>'预评函-封皮'!B40</f>
        <v>#REF!</v>
      </c>
    </row>
    <row r="4" spans="1:2" s="1589" customFormat="1">
      <c r="A4" s="1587" t="s">
        <v>1218</v>
      </c>
      <c r="B4" s="1588" t="str">
        <f ca="1">'预评函-封皮'!B46</f>
        <v>吴薇（注册号：1419970001)、刘梅（注册号：1120140022)</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受贵公司委托，我公司对北京市昌平区北七家镇1、2、4、7进行了预评估。</v>
      </c>
    </row>
    <row r="7" spans="1:2" s="1589" customFormat="1">
      <c r="A7" s="1587" t="s">
        <v>1260</v>
      </c>
      <c r="B7" s="1588" t="str">
        <f>'预评函-1'!A7</f>
        <v>估价对象为北京市昌平区北七家镇1、2、4、7房地产，为所有。根据《国有土地使用证》[]，估价对象（分摊）出让国有建设用地使用权面积为8774.68平方米。根据《房屋所有权证》[]、《测绘报告》[]，估价对象建筑面积为34081.78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2018年12月31日</v>
      </c>
    </row>
    <row r="13" spans="1:2" s="1589" customFormat="1">
      <c r="A13" s="1587" t="s">
        <v>1223</v>
      </c>
      <c r="B13" s="1588" t="str">
        <f>'预评函-1'!A18</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441</v>
      </c>
    </row>
    <row r="21" spans="1:2" s="1589" customFormat="1">
      <c r="A21" s="1587" t="s">
        <v>1231</v>
      </c>
      <c r="B21" s="1588">
        <f ca="1">'预评函-2'!D7</f>
        <v>129</v>
      </c>
    </row>
    <row r="22" spans="1:2" s="1589" customFormat="1">
      <c r="A22" s="1587" t="s">
        <v>1232</v>
      </c>
      <c r="B22" s="1588" t="str">
        <f ca="1">'预评函-2'!D6</f>
        <v>肆佰肆拾壹万元整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441</v>
      </c>
    </row>
    <row r="31" spans="1:2" s="1589" customFormat="1">
      <c r="A31" s="1587" t="s">
        <v>1270</v>
      </c>
      <c r="B31" s="1588">
        <f ca="1">'预评函-2'!D15</f>
        <v>129</v>
      </c>
    </row>
    <row r="32" spans="1:2" s="1589" customFormat="1">
      <c r="A32" s="1587" t="s">
        <v>1237</v>
      </c>
      <c r="B32" s="1588" t="str">
        <f ca="1">'预评函-2'!D14</f>
        <v>肆佰肆拾壹万元整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北京市昌平区北七家镇1、2、4、7房地产</v>
      </c>
    </row>
    <row r="42" spans="1:2" s="1589" customFormat="1">
      <c r="A42" s="1587" t="s">
        <v>1284</v>
      </c>
      <c r="B42" s="1588" t="str">
        <f>'预评函-3'!B2</f>
        <v>建筑面积</v>
      </c>
    </row>
    <row r="43" spans="1:2" s="1589" customFormat="1">
      <c r="A43" s="1587" t="s">
        <v>1285</v>
      </c>
      <c r="B43" s="1588">
        <f>'预评函-3'!B4</f>
        <v>34081.78</v>
      </c>
    </row>
    <row r="44" spans="1:2" s="1589" customFormat="1">
      <c r="A44" s="1587" t="s">
        <v>1269</v>
      </c>
      <c r="B44" s="1588" t="str">
        <f>'预评函-3'!C2</f>
        <v>(分摊)土地面积</v>
      </c>
    </row>
    <row r="45" spans="1:2" s="1589" customFormat="1">
      <c r="A45" s="1587" t="s">
        <v>1241</v>
      </c>
      <c r="B45" s="1588">
        <f>'预评函-3'!C4</f>
        <v>8774.68</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吴薇</v>
      </c>
    </row>
    <row r="71" spans="1:2">
      <c r="A71" s="1587" t="s">
        <v>1257</v>
      </c>
      <c r="B71" s="1588">
        <f ca="1">'预评函-4'!B4</f>
        <v>1419970001</v>
      </c>
    </row>
    <row r="72" spans="1:2">
      <c r="A72" s="1587" t="s">
        <v>1258</v>
      </c>
      <c r="B72" s="1596" t="str">
        <f>'预评函-4'!A5</f>
        <v>刘梅</v>
      </c>
    </row>
    <row r="73" spans="1:2" s="1583" customFormat="1" ht="15" thickBot="1">
      <c r="A73" s="1590" t="s">
        <v>1259</v>
      </c>
      <c r="B73" s="1591">
        <f ca="1">'预评函-4'!B5</f>
        <v>1120140022</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北七家镇1、2、4、7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343"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XX年(多用途剩余年限尾数不同时，可只体现小数点后一位)，假定未设立法定优先受偿款下的房地产市场价值。</v>
      </c>
    </row>
    <row r="54" spans="1:4">
      <c r="A54" s="3343"/>
      <c r="B54" s="2018" t="s">
        <v>861</v>
      </c>
      <c r="C54" s="2015" t="s">
        <v>1277</v>
      </c>
    </row>
    <row r="55" spans="1:4">
      <c r="A55" s="3343"/>
      <c r="B55" s="2018" t="s">
        <v>862</v>
      </c>
      <c r="C55" s="2015" t="s">
        <v>1278</v>
      </c>
    </row>
    <row r="56" spans="1:4">
      <c r="A56" s="3343"/>
      <c r="B56" s="2018" t="s">
        <v>863</v>
      </c>
      <c r="C56" s="2015" t="s">
        <v>1282</v>
      </c>
    </row>
    <row r="57" spans="1:4">
      <c r="A57" s="3343"/>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8" sqref="C38"/>
    </sheetView>
  </sheetViews>
  <sheetFormatPr defaultColWidth="10" defaultRowHeight="18" customHeight="1"/>
  <cols>
    <col min="1" max="1" width="14.875" style="2028" customWidth="1"/>
    <col min="2" max="2" width="10" style="2028" customWidth="1"/>
    <col min="3" max="3" width="11.5" style="2028" customWidth="1"/>
    <col min="4" max="4" width="11.6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352" t="str">
        <f>IF(B10="北京市","北京市",C10)&amp;F10&amp;IF(结果表!G1="在建","出让国有建设用地使用权及在建建筑物",IF(结果表!G1="土地","出让国有建设用地使用权",))&amp;B9&amp;"预评估"</f>
        <v>北京市昌平区北七家镇1、2、4、7预评估</v>
      </c>
      <c r="C1" s="3353"/>
      <c r="D1" s="3353"/>
      <c r="E1" s="3353"/>
      <c r="F1" s="3353"/>
      <c r="G1" s="3353"/>
      <c r="H1" s="3353"/>
      <c r="I1" s="335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北京市昌平区北七家镇1、2、4、7</v>
      </c>
    </row>
    <row r="2" spans="1:19" ht="18" customHeight="1">
      <c r="A2" s="2022" t="s">
        <v>1773</v>
      </c>
      <c r="B2" s="1041"/>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北京市昌平区北七家镇1、2、4、7房地产</v>
      </c>
    </row>
    <row r="3" spans="1:19" ht="18" customHeight="1">
      <c r="A3" s="2031" t="s">
        <v>1774</v>
      </c>
      <c r="B3" s="2032"/>
      <c r="C3" s="2033" t="s">
        <v>1775</v>
      </c>
      <c r="D3" s="2032">
        <v>43465</v>
      </c>
      <c r="E3" s="2022"/>
      <c r="F3" s="2022"/>
      <c r="G3" s="2022"/>
      <c r="H3" s="2022"/>
      <c r="I3" s="2022"/>
      <c r="J3" s="2022"/>
      <c r="K3" s="2023"/>
      <c r="L3" s="2024"/>
      <c r="M3" s="2024"/>
      <c r="N3" s="2025"/>
      <c r="O3" s="2026"/>
      <c r="P3" s="2025"/>
      <c r="Q3" s="2025"/>
      <c r="R3" s="2025"/>
      <c r="S3" s="2027"/>
    </row>
    <row r="4" spans="1:19" ht="18" customHeight="1" thickBot="1">
      <c r="A4" s="2034" t="s">
        <v>1776</v>
      </c>
      <c r="B4" s="2035" t="s">
        <v>3047</v>
      </c>
      <c r="C4" s="1039">
        <f ca="1">SUMIF(注册房地产估价师,B4,估价师及机构信息!B3:B24)</f>
        <v>1419970001</v>
      </c>
      <c r="D4" s="2035" t="s">
        <v>3048</v>
      </c>
      <c r="E4" s="1040">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1777</v>
      </c>
      <c r="B5" s="2941" t="s">
        <v>3049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1779</v>
      </c>
      <c r="B7" s="2941" t="s">
        <v>3049</v>
      </c>
      <c r="C7" s="2045"/>
      <c r="D7" s="2046"/>
      <c r="E7" s="2030"/>
      <c r="F7" s="2038"/>
      <c r="G7" s="2038"/>
      <c r="H7" s="2038"/>
      <c r="I7" s="2038"/>
      <c r="J7" s="2038"/>
      <c r="K7" s="2048"/>
      <c r="L7" s="2024"/>
      <c r="M7" s="2024"/>
      <c r="N7" s="2025"/>
      <c r="O7" s="2026"/>
      <c r="P7" s="2025"/>
      <c r="Q7" s="2025"/>
      <c r="R7" s="2025"/>
    </row>
    <row r="8" spans="1:19" ht="18" customHeight="1">
      <c r="A8" s="2043" t="s">
        <v>1780</v>
      </c>
      <c r="B8" s="2049" t="s">
        <v>3050</v>
      </c>
      <c r="C8" s="2050"/>
      <c r="D8" s="3355" t="s">
        <v>1781</v>
      </c>
      <c r="E8" s="2051"/>
      <c r="F8" s="2052"/>
      <c r="G8" s="2022"/>
      <c r="H8" s="2022"/>
      <c r="I8" s="2022"/>
      <c r="J8" s="2038"/>
      <c r="K8" s="2039"/>
      <c r="L8" s="2024"/>
      <c r="M8" s="2024"/>
      <c r="N8" s="2025"/>
      <c r="O8" s="2026"/>
      <c r="P8" s="2025"/>
      <c r="Q8" s="2025"/>
      <c r="R8" s="2025"/>
    </row>
    <row r="9" spans="1:19" ht="18" customHeight="1" thickBot="1">
      <c r="A9" s="2036" t="s">
        <v>1782</v>
      </c>
      <c r="B9" s="2053"/>
      <c r="C9" s="2054"/>
      <c r="D9" s="3356"/>
      <c r="E9" s="2053"/>
      <c r="F9" s="2055"/>
      <c r="G9" s="2056"/>
      <c r="H9" s="2056"/>
      <c r="I9" s="2056"/>
      <c r="J9" s="2038"/>
      <c r="K9" s="2048"/>
      <c r="L9" s="2024"/>
      <c r="M9" s="2024"/>
      <c r="N9" s="2025"/>
      <c r="O9" s="2026"/>
      <c r="P9" s="2025"/>
      <c r="Q9" s="2025"/>
      <c r="R9" s="2025"/>
    </row>
    <row r="10" spans="1:19" ht="18" customHeight="1" thickTop="1">
      <c r="A10" s="2057" t="s">
        <v>1783</v>
      </c>
      <c r="B10" s="2058" t="s">
        <v>3051</v>
      </c>
      <c r="C10" s="2059"/>
      <c r="D10" s="2042"/>
      <c r="E10" s="2060" t="s">
        <v>1784</v>
      </c>
      <c r="F10" s="2061" t="s">
        <v>3053</v>
      </c>
      <c r="G10" s="2062"/>
      <c r="H10" s="2063"/>
      <c r="I10" s="2042"/>
      <c r="J10" s="2038"/>
      <c r="K10" s="2048"/>
      <c r="L10" s="2024"/>
      <c r="M10" s="2024"/>
      <c r="N10" s="2025"/>
      <c r="O10" s="2026"/>
      <c r="P10" s="2025"/>
      <c r="Q10" s="2025"/>
      <c r="R10" s="2025"/>
    </row>
    <row r="11" spans="1:19" ht="18" customHeight="1">
      <c r="A11" s="2064" t="s">
        <v>1785</v>
      </c>
      <c r="B11" s="2065" t="s">
        <v>3052</v>
      </c>
      <c r="C11" s="2066"/>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3061</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55985</v>
      </c>
      <c r="F13" s="2074">
        <v>59637</v>
      </c>
      <c r="G13" s="2074">
        <v>59637</v>
      </c>
      <c r="H13" s="2074"/>
      <c r="I13" s="1049"/>
      <c r="J13" s="2038"/>
      <c r="K13" s="2048"/>
      <c r="L13" s="2024"/>
      <c r="M13" s="2024"/>
      <c r="N13" s="2025"/>
      <c r="O13" s="2026"/>
      <c r="P13" s="2025"/>
      <c r="Q13" s="2025"/>
      <c r="R13" s="2025"/>
    </row>
    <row r="14" spans="1:19" ht="18" customHeight="1">
      <c r="A14" s="2071"/>
      <c r="B14" s="2072"/>
      <c r="C14" s="2073" t="s">
        <v>1795</v>
      </c>
      <c r="D14" s="1052"/>
      <c r="E14" s="1052">
        <v>40</v>
      </c>
      <c r="F14" s="1052">
        <v>50</v>
      </c>
      <c r="G14" s="1052">
        <v>50</v>
      </c>
      <c r="H14" s="1052"/>
      <c r="I14" s="1052"/>
      <c r="J14" s="2038"/>
      <c r="K14" s="2075"/>
      <c r="L14" s="2024"/>
      <c r="M14" s="2024"/>
      <c r="N14" s="2025"/>
      <c r="O14" s="2026"/>
      <c r="P14" s="2025"/>
      <c r="Q14" s="2025"/>
      <c r="R14" s="2025"/>
    </row>
    <row r="15" spans="1:19" ht="18" customHeight="1">
      <c r="A15" s="2057"/>
      <c r="B15" s="2076"/>
      <c r="C15" s="2073" t="s">
        <v>1796</v>
      </c>
      <c r="D15" s="1051" t="str">
        <f>IF(B12="出让",IF(D13="","",ROUNDDOWN(MIN((D13-$D$3)/365,D14),2)),D14)</f>
        <v/>
      </c>
      <c r="E15" s="1051">
        <f>IF(B12="出让",IF(E13="","",ROUNDDOWN(MIN((E13-$D$3)/365,E14),2)),E14)</f>
        <v>34.299999999999997</v>
      </c>
      <c r="F15" s="1051">
        <f>IF(B12="出让",IF(F13="","",ROUNDDOWN(MIN((F13-$D$3)/365,F14),2)),F14)</f>
        <v>44.3</v>
      </c>
      <c r="G15" s="1051">
        <f>IF(B12="出让",IF(G13="","",ROUNDDOWN(MIN((G13-$D$3)/365,G14),2)),G14)</f>
        <v>44.3</v>
      </c>
      <c r="H15" s="1051" t="str">
        <f>IF(B12="出让",IF(H13="","",ROUNDDOWN(MIN((H13-$D$3)/365,H14),2)),H14)</f>
        <v/>
      </c>
      <c r="I15" s="1051" t="str">
        <f>IF(B12="出让",IF(I13="","",ROUNDDOWN(MIN((I13-$D$3)/365,I14),2)),I14)</f>
        <v/>
      </c>
      <c r="J15" s="2038"/>
      <c r="K15" s="2077"/>
      <c r="L15" s="2078"/>
      <c r="M15" s="2078"/>
      <c r="N15" s="2079"/>
      <c r="O15" s="2078"/>
      <c r="P15" s="2079"/>
      <c r="Q15" s="2025"/>
      <c r="R15" s="2025"/>
    </row>
    <row r="16" spans="1:19" ht="30.75" customHeight="1">
      <c r="A16" s="2060" t="s">
        <v>1797</v>
      </c>
      <c r="B16" s="3362" t="s">
        <v>3062</v>
      </c>
      <c r="C16" s="3363"/>
      <c r="D16" s="3364"/>
      <c r="E16" s="2080" t="s">
        <v>1798</v>
      </c>
      <c r="F16" s="3365"/>
      <c r="G16" s="3366"/>
      <c r="H16" s="3366"/>
      <c r="I16" s="3367"/>
      <c r="J16" s="2025"/>
      <c r="K16" s="2077"/>
      <c r="L16" s="2078"/>
      <c r="M16" s="2078"/>
      <c r="N16" s="2079"/>
      <c r="O16" s="2078"/>
      <c r="P16" s="2079"/>
      <c r="Q16" s="2025"/>
      <c r="R16" s="2025"/>
    </row>
    <row r="17" spans="1:22" ht="18" customHeight="1">
      <c r="A17" s="2081" t="s">
        <v>1799</v>
      </c>
      <c r="B17" s="2031" t="s">
        <v>1800</v>
      </c>
      <c r="C17" s="1056">
        <f>'数据-汇总表'!E3</f>
        <v>34081.78</v>
      </c>
      <c r="D17" s="2082" t="s">
        <v>1801</v>
      </c>
      <c r="E17" s="3368" t="s">
        <v>1802</v>
      </c>
      <c r="F17" s="3369"/>
      <c r="G17" s="3369"/>
      <c r="H17" s="3369"/>
      <c r="I17" s="3370"/>
      <c r="J17" s="2025"/>
      <c r="K17" s="2083"/>
      <c r="L17" s="2078"/>
      <c r="M17" s="2078"/>
      <c r="N17" s="2079"/>
      <c r="O17" s="2078"/>
      <c r="P17" s="2079"/>
      <c r="Q17" s="2025"/>
      <c r="R17" s="2025"/>
      <c r="S17" s="2025"/>
      <c r="T17" s="2025"/>
      <c r="U17" s="2025"/>
      <c r="V17" s="2025"/>
    </row>
    <row r="18" spans="1:22" ht="36" customHeight="1" thickBot="1">
      <c r="A18" s="2084" t="s">
        <v>70</v>
      </c>
      <c r="B18" s="2034" t="s">
        <v>1803</v>
      </c>
      <c r="C18" s="1440">
        <f>'数据-汇总表'!D3</f>
        <v>8774.68</v>
      </c>
      <c r="D18" s="2085" t="s">
        <v>1801</v>
      </c>
      <c r="E18" s="3371" t="s">
        <v>1804</v>
      </c>
      <c r="F18" s="3372"/>
      <c r="G18" s="3372"/>
      <c r="H18" s="3372"/>
      <c r="I18" s="3373"/>
      <c r="J18" s="2025"/>
      <c r="K18" s="2083"/>
      <c r="L18" s="2078"/>
      <c r="M18" s="2078"/>
      <c r="N18" s="2079"/>
      <c r="O18" s="2078"/>
      <c r="P18" s="2079"/>
      <c r="Q18" s="2025"/>
      <c r="R18" s="2025"/>
      <c r="S18" s="2025"/>
      <c r="T18" s="2025"/>
      <c r="U18" s="2025"/>
      <c r="V18" s="2025"/>
    </row>
    <row r="19" spans="1:22" ht="37.5" customHeight="1" thickTop="1" thickBot="1">
      <c r="A19" s="373" t="s">
        <v>1805</v>
      </c>
      <c r="B19" s="352" t="s">
        <v>1806</v>
      </c>
      <c r="C19" s="2086"/>
      <c r="D19" s="2087" t="s">
        <v>1807</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1808</v>
      </c>
      <c r="B20" s="3358" t="s">
        <v>1809</v>
      </c>
      <c r="C20" s="3359"/>
      <c r="D20" s="3360" t="s">
        <v>1810</v>
      </c>
      <c r="E20" s="3361"/>
      <c r="F20" s="2092" t="s">
        <v>1811</v>
      </c>
      <c r="G20" s="2038"/>
      <c r="H20" s="2038"/>
      <c r="I20" s="2038"/>
      <c r="J20" s="2038"/>
      <c r="K20" s="3357"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35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1816</v>
      </c>
      <c r="C22" s="2094" t="s">
        <v>1817</v>
      </c>
      <c r="D22" s="2022"/>
      <c r="E22" s="2022"/>
      <c r="F22" s="2099"/>
      <c r="G22" s="2038"/>
      <c r="H22" s="2038"/>
      <c r="I22" s="2038"/>
      <c r="J22" s="2038"/>
      <c r="K22" s="335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3" t="s">
        <v>1819</v>
      </c>
      <c r="C23" s="2101"/>
      <c r="D23" s="2102" t="s">
        <v>1819</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3" t="s">
        <v>1820</v>
      </c>
      <c r="C24" s="2106"/>
      <c r="D24" s="2100" t="s">
        <v>1820</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3"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345" t="s">
        <v>1824</v>
      </c>
      <c r="B27" s="2057" t="s">
        <v>1825</v>
      </c>
      <c r="C27" s="2114" t="s">
        <v>3060</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345"/>
      <c r="B28" s="2031" t="s">
        <v>1826</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345"/>
      <c r="B29" s="2031" t="s">
        <v>1827</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346"/>
      <c r="B30" s="2031" t="s">
        <v>1828</v>
      </c>
      <c r="C30" s="3347"/>
      <c r="D30" s="3348"/>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349" t="s">
        <v>1829</v>
      </c>
      <c r="B31" s="2121" t="s">
        <v>3054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350"/>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350"/>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8" t="s">
        <v>3055</v>
      </c>
      <c r="C34" s="2128" t="s">
        <v>3056</v>
      </c>
      <c r="D34" s="2128" t="s">
        <v>3057</v>
      </c>
      <c r="E34" s="2128" t="s">
        <v>3058</v>
      </c>
      <c r="F34" s="2128" t="s">
        <v>3059</v>
      </c>
      <c r="G34" s="2128"/>
      <c r="H34" s="2128"/>
      <c r="I34" s="2038"/>
      <c r="J34" s="2038"/>
      <c r="K34" s="1791">
        <f>COUNTIF(B34:H34,"——")</f>
        <v>0</v>
      </c>
      <c r="L34" s="2069" t="s">
        <v>1831</v>
      </c>
      <c r="M34" s="2069" t="s">
        <v>1832</v>
      </c>
      <c r="N34" s="2069" t="s">
        <v>1833</v>
      </c>
      <c r="O34" s="2069" t="s">
        <v>1834</v>
      </c>
      <c r="P34" s="2069" t="s">
        <v>1835</v>
      </c>
      <c r="Q34" s="2069" t="s">
        <v>1836</v>
      </c>
      <c r="R34" s="2069" t="s">
        <v>1837</v>
      </c>
      <c r="S34" s="3344" t="s">
        <v>1838</v>
      </c>
      <c r="T34" s="2129" t="str">
        <f>NUMBERSTRING(7-K34,1)&amp;"通"</f>
        <v>七通</v>
      </c>
      <c r="U34" s="2025"/>
      <c r="V34" s="2025"/>
    </row>
    <row r="35" spans="1:22" ht="18" customHeight="1">
      <c r="A35" s="2130"/>
      <c r="B35" s="3351" t="s">
        <v>1839</v>
      </c>
      <c r="C35" s="3351"/>
      <c r="D35" s="3351"/>
      <c r="E35" s="3351"/>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44"/>
      <c r="T35" s="48" t="str">
        <f>IF(T34="一通",L35,IF(T34="二通",M35,IF(T34="三通",N35,IF(T34="四通",O35,IF(T34="五通",P35,IF(T34="六通",Q35,R35))))))</f>
        <v>通路、通电、通讯、通上水、通下水、、</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135" t="s">
        <v>526</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137" t="s">
        <v>418</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办公面积明细!G45</f>
        <v>15785.13</v>
      </c>
      <c r="B3" s="14">
        <f>IF(C3="否",G5-AT5,G5)</f>
        <v>61311.13</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61311.13</v>
      </c>
      <c r="H5" s="16">
        <f t="shared" ref="H5:AT5" si="0">SUM(H13:H656)</f>
        <v>61311.13</v>
      </c>
      <c r="I5" s="16">
        <f t="shared" si="0"/>
        <v>34081.78</v>
      </c>
      <c r="J5" s="16">
        <f t="shared" si="0"/>
        <v>0</v>
      </c>
      <c r="K5" s="16">
        <f t="shared" si="0"/>
        <v>7531.71</v>
      </c>
      <c r="L5" s="16">
        <f t="shared" si="0"/>
        <v>0</v>
      </c>
      <c r="M5" s="16">
        <f t="shared" si="0"/>
        <v>14005.04</v>
      </c>
      <c r="N5" s="16">
        <f t="shared" si="0"/>
        <v>0</v>
      </c>
      <c r="O5" s="16">
        <f t="shared" si="0"/>
        <v>5692.6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34081.78</v>
      </c>
      <c r="BA5" s="18">
        <f t="shared" si="1"/>
        <v>34081.78</v>
      </c>
      <c r="BB5" s="18">
        <f t="shared" si="1"/>
        <v>34081.78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15785.130000000001</v>
      </c>
      <c r="F6" s="16" t="s">
        <v>1</v>
      </c>
      <c r="G6" s="16" t="s">
        <v>2</v>
      </c>
      <c r="H6" s="20">
        <f>SUMIF(I$12:AB$12,"总值",I6:AB6)</f>
        <v>15785.130000000001</v>
      </c>
      <c r="I6" s="16">
        <f t="shared" ref="I6:AB6" si="2">ROUND($A$3*I5/$B$3,2)</f>
        <v>8774.68</v>
      </c>
      <c r="J6" s="16">
        <f t="shared" si="2"/>
        <v>0</v>
      </c>
      <c r="K6" s="16">
        <f t="shared" si="2"/>
        <v>1939.11</v>
      </c>
      <c r="L6" s="16">
        <f t="shared" si="2"/>
        <v>0</v>
      </c>
      <c r="M6" s="16">
        <f t="shared" si="2"/>
        <v>3605.73</v>
      </c>
      <c r="N6" s="16">
        <f t="shared" si="2"/>
        <v>0</v>
      </c>
      <c r="O6" s="16">
        <f t="shared" si="2"/>
        <v>1465.61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8774.68</v>
      </c>
      <c r="AZ6" s="16" t="s">
        <v>3</v>
      </c>
      <c r="BA6" s="16">
        <f>ROUND($AY$6*BA5/$AZ$5,2)</f>
        <v>8774.68</v>
      </c>
      <c r="BB6" s="16">
        <f>ROUND($AY$6*BB5/$AZ$5,2)</f>
        <v>8774.68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83"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3145</v>
      </c>
      <c r="J9" s="983"/>
      <c r="K9" s="2186" t="s">
        <v>3145</v>
      </c>
      <c r="L9" s="983"/>
      <c r="M9" s="2186" t="s">
        <v>3154</v>
      </c>
      <c r="N9" s="983"/>
      <c r="O9" s="2186" t="s">
        <v>3154</v>
      </c>
      <c r="P9" s="983"/>
      <c r="Q9" s="2186"/>
      <c r="R9" s="983"/>
      <c r="S9" s="2186"/>
      <c r="T9" s="983"/>
      <c r="U9" s="2186"/>
      <c r="V9" s="983"/>
      <c r="W9" s="2186"/>
      <c r="X9" s="2187"/>
      <c r="Y9" s="2186"/>
      <c r="Z9" s="983"/>
      <c r="AA9" s="2186"/>
      <c r="AB9" s="983"/>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83"/>
      <c r="K10" s="2192" t="s">
        <v>1373</v>
      </c>
      <c r="L10" s="983"/>
      <c r="M10" s="2192" t="s">
        <v>3155</v>
      </c>
      <c r="N10" s="983"/>
      <c r="O10" s="2192" t="s">
        <v>1373</v>
      </c>
      <c r="P10" s="983"/>
      <c r="Q10" s="2192"/>
      <c r="R10" s="983"/>
      <c r="S10" s="2192"/>
      <c r="T10" s="983"/>
      <c r="U10" s="2192"/>
      <c r="V10" s="983"/>
      <c r="W10" s="2192"/>
      <c r="X10" s="983"/>
      <c r="Y10" s="2192"/>
      <c r="Z10" s="983"/>
      <c r="AA10" s="2192"/>
      <c r="AB10" s="983"/>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3146</v>
      </c>
      <c r="D13" s="2208" t="s">
        <v>3063</v>
      </c>
      <c r="E13" s="16">
        <f>IF($C$3="是",ROUND($A$3*G13/$B$3,2),ROUND($A$3*(G13-AT13)/$B$3,2))</f>
        <v>2105.48</v>
      </c>
      <c r="F13" s="32"/>
      <c r="G13" s="33">
        <f>H13+AC13+AT13</f>
        <v>8177.909999999998</v>
      </c>
      <c r="H13" s="20">
        <f>SUMIF(I$12:AB$12,"总值",I13:AB13)</f>
        <v>8177.909999999998</v>
      </c>
      <c r="I13" s="2209">
        <f>办公面积明细!C68</f>
        <v>8177.909999999998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1号楼办公</v>
      </c>
      <c r="AY13" s="1802">
        <f>ROUND($AY$6*AZ13/$AZ$5,2)</f>
        <v>2105.48</v>
      </c>
      <c r="AZ13" s="16">
        <f>BA13+BL13</f>
        <v>8177.909999999998</v>
      </c>
      <c r="BA13" s="16">
        <f>SUM(BB13:BK13)</f>
        <v>8177.909999999998</v>
      </c>
      <c r="BB13" s="16">
        <f>IF($D13="是",I13-J13,0)</f>
        <v>8177.909999999998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t="s">
        <v>3147</v>
      </c>
      <c r="D14" s="2208" t="s">
        <v>3156</v>
      </c>
      <c r="E14" s="16">
        <f>IF($C$3="是",ROUND($A$3*G14/$B$3,2),ROUND($A$3*(G14-AT14)/$B$3,2))</f>
        <v>288.77</v>
      </c>
      <c r="F14" s="32"/>
      <c r="G14" s="33">
        <f>H14+AC14+AT14</f>
        <v>1121.6300000000001</v>
      </c>
      <c r="H14" s="20">
        <f>SUMIF(I$12:AB$12,"总值",I14:AB14)</f>
        <v>1121.6300000000001</v>
      </c>
      <c r="I14" s="2209"/>
      <c r="J14" s="2209"/>
      <c r="K14" s="2209">
        <v>1121.6300000000001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1号楼商业</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t="s">
        <v>3148</v>
      </c>
      <c r="D15" s="2208" t="s">
        <v>3063</v>
      </c>
      <c r="E15" s="16">
        <f>IF($C$3="是",ROUND($A$3*G15/$B$3,2),ROUND($A$3*(G15-AT15)/$B$3,2))</f>
        <v>1076.96</v>
      </c>
      <c r="F15" s="32"/>
      <c r="G15" s="33">
        <f>H15+AC15+AT15</f>
        <v>4183.0200000000004</v>
      </c>
      <c r="H15" s="20">
        <f>SUMIF(I$12:AB$12,"总值",I15:AB15)</f>
        <v>4183.0200000000004</v>
      </c>
      <c r="I15" s="2209">
        <v>4183.0200000000004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2号楼</v>
      </c>
      <c r="AY15" s="1802">
        <f>ROUND($AY$6*AZ15/$AZ$5,2)</f>
        <v>1076.96</v>
      </c>
      <c r="AZ15" s="16">
        <f>BA15+BL15</f>
        <v>4183.0200000000004</v>
      </c>
      <c r="BA15" s="16">
        <f>SUM(BB15:BK15)</f>
        <v>4183.0200000000004</v>
      </c>
      <c r="BB15" s="16">
        <f>IF($D15="是",I15-J15,0)</f>
        <v>4183.0200000000004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t="s">
        <v>3149</v>
      </c>
      <c r="D16" s="2208" t="s">
        <v>3063</v>
      </c>
      <c r="E16" s="16">
        <f>IF($C$3="是",ROUND($A$3*G16/$B$3,2),ROUND($A$3*(G16-AT16)/$B$3,2))</f>
        <v>5592.24</v>
      </c>
      <c r="F16" s="32"/>
      <c r="G16" s="33">
        <f>H16+AC16+AT16</f>
        <v>21720.85</v>
      </c>
      <c r="H16" s="20">
        <f>SUMIF(I$12:AB$12,"总值",I16:AB16)</f>
        <v>21720.85</v>
      </c>
      <c r="I16" s="2209">
        <v>21720.85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4号楼办公</v>
      </c>
      <c r="AY16" s="1802">
        <f>ROUND($AY$6*AZ16/$AZ$5,2)</f>
        <v>5592.24</v>
      </c>
      <c r="AZ16" s="16">
        <f>BA16+BL16</f>
        <v>21720.85</v>
      </c>
      <c r="BA16" s="16">
        <f>SUM(BB16:BK16)</f>
        <v>21720.85</v>
      </c>
      <c r="BB16" s="16">
        <f>IF($D16="是",I16-J16,0)</f>
        <v>21720.85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t="s">
        <v>3150</v>
      </c>
      <c r="D17" s="2208" t="s">
        <v>3156</v>
      </c>
      <c r="E17" s="16">
        <f>IF($C$3="是",ROUND($A$3*G17/$B$3,2),ROUND($A$3*(G17-AT17)/$B$3,2))</f>
        <v>1349.37</v>
      </c>
      <c r="F17" s="32"/>
      <c r="G17" s="33">
        <f>H17+AC17+AT17</f>
        <v>5241.1099999999997</v>
      </c>
      <c r="H17" s="20">
        <f>SUMIF(I$12:AB$12,"总值",I17:AB17)</f>
        <v>5241.1099999999997</v>
      </c>
      <c r="I17" s="2209"/>
      <c r="J17" s="2209"/>
      <c r="K17" s="2209">
        <v>5241.1099999999997</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4号楼商业</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3151</v>
      </c>
      <c r="D18" s="2208" t="s">
        <v>3156</v>
      </c>
      <c r="E18" s="35">
        <f t="shared" ref="E18:E112" si="7">IF($C$3="是",ROUND($A$3*G18/$B$3,2),ROUND($A$3*(G18-AT18)/$B$3,2))</f>
        <v>601.91999999999996</v>
      </c>
      <c r="F18" s="36"/>
      <c r="G18" s="37">
        <f t="shared" ref="G18:G109" si="8">H18+AC18+AT18</f>
        <v>2337.94</v>
      </c>
      <c r="H18" s="38">
        <f t="shared" ref="H18:H109" si="9">SUMIF(I$12:AB$12,"总值",I18:AB18)</f>
        <v>2337.94</v>
      </c>
      <c r="I18" s="39"/>
      <c r="J18" s="39"/>
      <c r="K18" s="39">
        <f>ROUND(2337.94/2,2)</f>
        <v>1168.97</v>
      </c>
      <c r="L18" s="39"/>
      <c r="M18" s="39"/>
      <c r="N18" s="39"/>
      <c r="O18" s="39">
        <f>2337.94-K18</f>
        <v>1168.97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t="str">
        <f t="shared" ref="AX18:AX112" si="13">C18</f>
        <v>7号楼（会所）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3152</v>
      </c>
      <c r="D19" s="2208" t="s">
        <v>3156</v>
      </c>
      <c r="E19" s="35">
        <f t="shared" si="7"/>
        <v>3605.73</v>
      </c>
      <c r="F19" s="36"/>
      <c r="G19" s="37">
        <f t="shared" si="8"/>
        <v>14005.04</v>
      </c>
      <c r="H19" s="38">
        <f t="shared" si="9"/>
        <v>14005.04</v>
      </c>
      <c r="I19" s="39"/>
      <c r="J19" s="39"/>
      <c r="K19" s="39"/>
      <c r="L19" s="39"/>
      <c r="M19" s="39">
        <v>14005.04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t="str">
        <f t="shared" si="13"/>
        <v>车位</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3153</v>
      </c>
      <c r="D20" s="2208" t="s">
        <v>3156</v>
      </c>
      <c r="E20" s="35">
        <f t="shared" si="7"/>
        <v>1164.6500000000001</v>
      </c>
      <c r="F20" s="36"/>
      <c r="G20" s="37">
        <f t="shared" si="8"/>
        <v>4523.63</v>
      </c>
      <c r="H20" s="38">
        <f t="shared" si="9"/>
        <v>4523.63</v>
      </c>
      <c r="I20" s="39"/>
      <c r="J20" s="39"/>
      <c r="K20" s="39"/>
      <c r="L20" s="39"/>
      <c r="M20" s="39"/>
      <c r="N20" s="39"/>
      <c r="O20" s="39">
        <v>4523.63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t="str">
        <f t="shared" si="13"/>
        <v>食堂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4" t="s">
        <v>0</v>
      </c>
      <c r="B1" s="3374" t="s">
        <v>4</v>
      </c>
      <c r="C1" s="3374" t="s">
        <v>5</v>
      </c>
      <c r="D1" s="3375" t="s">
        <v>53</v>
      </c>
      <c r="E1" s="3375" t="s">
        <v>54</v>
      </c>
      <c r="F1" s="3375"/>
      <c r="G1" s="3375"/>
      <c r="H1" s="3375"/>
      <c r="I1" s="3375"/>
      <c r="J1" s="3375"/>
      <c r="K1" s="3375"/>
      <c r="L1" s="3375"/>
      <c r="M1" s="3375"/>
    </row>
    <row r="2" spans="1:13" ht="27" customHeight="1">
      <c r="A2" s="3374"/>
      <c r="B2" s="3374"/>
      <c r="C2" s="3374"/>
      <c r="D2" s="3375"/>
      <c r="E2" s="3375" t="s">
        <v>37</v>
      </c>
      <c r="F2" s="3375" t="s">
        <v>38</v>
      </c>
      <c r="G2" s="3375"/>
      <c r="H2" s="3375"/>
      <c r="I2" s="3375"/>
      <c r="J2" s="3375" t="s">
        <v>39</v>
      </c>
      <c r="K2" s="3375"/>
      <c r="L2" s="3375"/>
      <c r="M2" s="3375"/>
    </row>
    <row r="3" spans="1:13" ht="28.5">
      <c r="A3" s="3374"/>
      <c r="B3" s="3374"/>
      <c r="C3" s="3374"/>
      <c r="D3" s="3375"/>
      <c r="E3" s="33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5" t="s">
        <v>55</v>
      </c>
      <c r="B9" s="3375"/>
      <c r="C9" s="33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385" t="s">
        <v>1935</v>
      </c>
      <c r="B2" s="3385"/>
      <c r="C2" s="3385"/>
      <c r="D2" s="969" t="s">
        <v>1911</v>
      </c>
      <c r="E2" s="2222" t="s">
        <v>1912</v>
      </c>
      <c r="F2" s="1388"/>
      <c r="G2" s="2223"/>
      <c r="H2" s="2224"/>
      <c r="I2" s="2225" t="s">
        <v>1936</v>
      </c>
      <c r="J2" s="1388"/>
      <c r="K2" s="1388"/>
      <c r="L2" s="1388"/>
      <c r="M2" s="1388"/>
      <c r="N2" s="1423"/>
      <c r="O2" s="1388"/>
      <c r="P2" s="1388"/>
    </row>
    <row r="3" spans="1:16" ht="15.75" thickBot="1">
      <c r="A3" s="3386" t="s">
        <v>1909</v>
      </c>
      <c r="B3" s="3386"/>
      <c r="C3" s="3386"/>
      <c r="D3" s="46">
        <f>'数据-基础表'!AY6</f>
        <v>8774.68</v>
      </c>
      <c r="E3" s="46">
        <f>'数据-基础表'!AZ5</f>
        <v>34081.78</v>
      </c>
      <c r="F3" s="1388"/>
      <c r="G3" s="1395"/>
      <c r="H3" s="1243" t="s">
        <v>1910</v>
      </c>
      <c r="I3" s="55">
        <f>ROUND('数据-基础表'!B3/'数据-基础表'!A3,2)</f>
        <v>3.88</v>
      </c>
      <c r="J3" s="1388"/>
      <c r="K3" s="1388"/>
      <c r="L3" s="1388"/>
      <c r="M3" s="1388"/>
      <c r="N3" s="1423"/>
      <c r="O3" s="1388"/>
      <c r="P3" s="1388"/>
    </row>
    <row r="4" spans="1:16" ht="15">
      <c r="A4" s="3387"/>
      <c r="B4" s="3388"/>
      <c r="C4" s="3389"/>
      <c r="D4" s="2226" t="s">
        <v>1911</v>
      </c>
      <c r="E4" s="2227" t="s">
        <v>1912</v>
      </c>
      <c r="F4" s="1388"/>
      <c r="G4" s="2228" t="s">
        <v>1937</v>
      </c>
      <c r="H4" s="1243" t="s">
        <v>1917</v>
      </c>
      <c r="I4" s="55">
        <f>ROUND(SUMIF('数据-基础表'!I9:AS9,"地上",'数据-基础表'!I5:AS5)/'数据-基础表'!A3,2)</f>
        <v>2.64</v>
      </c>
      <c r="J4" s="1388"/>
      <c r="K4" s="1388"/>
      <c r="L4" s="1388"/>
      <c r="M4" s="1388"/>
      <c r="N4" s="1423"/>
      <c r="O4" s="1388"/>
      <c r="P4" s="1388"/>
    </row>
    <row r="5" spans="1:16">
      <c r="A5" s="47" t="s">
        <v>1913</v>
      </c>
      <c r="B5" s="3390" t="s">
        <v>1914</v>
      </c>
      <c r="C5" s="3390"/>
      <c r="D5" s="48">
        <f>ROUND($D$3*E5/$E$3,2)</f>
        <v>0</v>
      </c>
      <c r="E5" s="49">
        <f>SUMIF('数据-基础表'!$11:$11,"住宅",'数据-基础表'!$5:$5)</f>
        <v>0</v>
      </c>
      <c r="F5" s="1388"/>
      <c r="G5" s="1395"/>
      <c r="H5" s="1243" t="s">
        <v>1910</v>
      </c>
      <c r="I5" s="55">
        <f>ROUND(E31/D31,2)</f>
        <v>3.88</v>
      </c>
      <c r="J5" s="1388"/>
      <c r="K5" s="1388"/>
      <c r="L5" s="1388"/>
      <c r="M5" s="1388"/>
      <c r="N5" s="1388"/>
      <c r="O5" s="1388"/>
      <c r="P5" s="1388"/>
    </row>
    <row r="6" spans="1:16" ht="15" thickBot="1">
      <c r="A6" s="2229"/>
      <c r="B6" s="3390" t="s">
        <v>1915</v>
      </c>
      <c r="C6" s="3390"/>
      <c r="D6" s="48">
        <f>ROUND($D$3*E6/$E$3,2)</f>
        <v>8774.68</v>
      </c>
      <c r="E6" s="49">
        <f>E3-E5</f>
        <v>34081.78</v>
      </c>
      <c r="F6" s="1388"/>
      <c r="G6" s="2230" t="s">
        <v>1916</v>
      </c>
      <c r="H6" s="1395" t="s">
        <v>1917</v>
      </c>
      <c r="I6" s="941">
        <f>ROUND(F31/D31,2)</f>
        <v>3.88</v>
      </c>
      <c r="J6" s="1388"/>
      <c r="K6" s="1388"/>
      <c r="L6" s="1388"/>
      <c r="M6" s="1388"/>
      <c r="N6" s="1388"/>
      <c r="O6" s="1388"/>
      <c r="P6" s="1388"/>
    </row>
    <row r="7" spans="1:16" ht="15">
      <c r="A7" s="3382"/>
      <c r="B7" s="3383"/>
      <c r="C7" s="3384"/>
      <c r="D7" s="2226" t="s">
        <v>1911</v>
      </c>
      <c r="E7" s="2231" t="s">
        <v>1918</v>
      </c>
      <c r="F7" s="1388"/>
      <c r="G7" s="2223" t="s">
        <v>1919</v>
      </c>
      <c r="H7" s="64"/>
      <c r="I7" s="420"/>
      <c r="J7" s="1388"/>
      <c r="K7" s="1388"/>
      <c r="L7" s="1388"/>
      <c r="M7" s="1388"/>
      <c r="N7" s="1388"/>
      <c r="O7" s="1388"/>
      <c r="P7" s="1388"/>
    </row>
    <row r="8" spans="1:16">
      <c r="A8" s="47" t="s">
        <v>1920</v>
      </c>
      <c r="B8" s="50" t="s">
        <v>1921</v>
      </c>
      <c r="C8" s="48" t="s">
        <v>1922</v>
      </c>
      <c r="D8" s="48">
        <f t="shared" ref="D8:D15" si="0">ROUND($D$3*E8/$E$3,2)</f>
        <v>8774.68</v>
      </c>
      <c r="E8" s="51">
        <f>SUMIF('数据-基础表'!BB10:BK10,"地上",'数据-基础表'!BB5:BK5)</f>
        <v>34081.78</v>
      </c>
      <c r="F8" s="1388"/>
      <c r="G8" s="2232"/>
      <c r="H8" s="2232"/>
      <c r="I8" s="1388"/>
      <c r="J8" s="1388"/>
      <c r="K8" s="1388"/>
      <c r="L8" s="1388"/>
      <c r="M8" s="1388"/>
      <c r="N8" s="1388"/>
      <c r="O8" s="1388"/>
      <c r="P8" s="1388"/>
    </row>
    <row r="9" spans="1:16">
      <c r="A9" s="2233"/>
      <c r="B9" s="2234"/>
      <c r="C9" s="48" t="s">
        <v>1923</v>
      </c>
      <c r="D9" s="48">
        <f t="shared" si="0"/>
        <v>0</v>
      </c>
      <c r="E9" s="52">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8774.68</v>
      </c>
      <c r="E16" s="53">
        <f>SUM(E8:E15)</f>
        <v>34081.78</v>
      </c>
      <c r="F16" s="1388"/>
      <c r="G16" s="2232"/>
      <c r="H16" s="2235" t="s">
        <v>1939</v>
      </c>
      <c r="I16" s="2236"/>
      <c r="J16" s="1388"/>
      <c r="K16" s="3379" t="s">
        <v>1939</v>
      </c>
      <c r="L16" s="3380"/>
      <c r="M16" s="3380"/>
      <c r="N16" s="3380"/>
      <c r="O16" s="3380"/>
      <c r="P16" s="3381"/>
    </row>
    <row r="17" spans="1:19" ht="15">
      <c r="A17" s="2237" t="s">
        <v>1940</v>
      </c>
      <c r="B17" s="2238" t="s">
        <v>1941</v>
      </c>
      <c r="C17" s="2239" t="s">
        <v>1942</v>
      </c>
      <c r="D17" s="2240" t="s">
        <v>1930</v>
      </c>
      <c r="E17" s="2241" t="s">
        <v>1931</v>
      </c>
      <c r="F17" s="2242"/>
      <c r="G17" s="2243"/>
      <c r="H17" s="2244" t="s">
        <v>1943</v>
      </c>
      <c r="I17" s="2245" t="s">
        <v>1928</v>
      </c>
      <c r="J17" s="1388"/>
      <c r="K17" s="3376" t="s">
        <v>1944</v>
      </c>
      <c r="L17" s="3377"/>
      <c r="M17" s="3378"/>
      <c r="N17" s="3376" t="s">
        <v>1945</v>
      </c>
      <c r="O17" s="3377"/>
      <c r="P17" s="3378"/>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8" t="s">
        <v>1954</v>
      </c>
      <c r="N18" s="1258" t="s">
        <v>1952</v>
      </c>
      <c r="O18" s="2253" t="s">
        <v>1953</v>
      </c>
      <c r="P18" s="1048" t="s">
        <v>1954</v>
      </c>
      <c r="R18" s="1243" t="s">
        <v>1955</v>
      </c>
      <c r="S18" s="1243" t="s">
        <v>1956</v>
      </c>
    </row>
    <row r="19" spans="1:19">
      <c r="A19" s="2254"/>
      <c r="B19" s="50" t="s">
        <v>1929</v>
      </c>
      <c r="C19" s="2953" t="s">
        <v>3158</v>
      </c>
      <c r="D19" s="48">
        <f>ROUND($D$3*E19/$E$3,2)</f>
        <v>37.33</v>
      </c>
      <c r="E19" s="56">
        <f t="shared" ref="E19:E26" si="1">SUM(F19:G19)</f>
        <v>145</v>
      </c>
      <c r="F19" s="57">
        <f>办公面积明细!C2</f>
        <v>145</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37.33</v>
      </c>
      <c r="S19" s="1244">
        <f t="shared" si="5"/>
        <v>145</v>
      </c>
    </row>
    <row r="20" spans="1:19">
      <c r="A20" s="2258"/>
      <c r="B20" s="50" t="s">
        <v>1957</v>
      </c>
      <c r="C20" s="2953" t="s">
        <v>3159</v>
      </c>
      <c r="D20" s="48">
        <f t="shared" ref="D20:D26" si="6">ROUND($D$3*E20/$E$3,2)</f>
        <v>8737.35</v>
      </c>
      <c r="E20" s="56">
        <f t="shared" si="1"/>
        <v>33936.78</v>
      </c>
      <c r="F20" s="57">
        <f>'数据-基础表'!I13+'数据-基础表'!I15+'数据-基础表'!I16-'数据-汇总表'!F19</f>
        <v>33936.78</v>
      </c>
      <c r="G20" s="58"/>
      <c r="H20" s="722">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8737.35</v>
      </c>
      <c r="S20" s="1244">
        <f t="shared" si="5"/>
        <v>33936.78</v>
      </c>
    </row>
    <row r="21" spans="1:19">
      <c r="A21" s="2258"/>
      <c r="B21" s="50" t="s">
        <v>1957</v>
      </c>
      <c r="C21" s="2255"/>
      <c r="D21" s="48">
        <f t="shared" si="6"/>
        <v>0</v>
      </c>
      <c r="E21" s="56">
        <f t="shared" si="1"/>
        <v>0</v>
      </c>
      <c r="F21" s="57"/>
      <c r="G21" s="58"/>
      <c r="H21" s="722">
        <f t="shared" si="7"/>
        <v>0</v>
      </c>
      <c r="I21" s="51">
        <f t="shared" si="2"/>
        <v>0</v>
      </c>
      <c r="J21" s="1388"/>
      <c r="K21" s="1387">
        <f t="shared" si="3"/>
        <v>0</v>
      </c>
      <c r="L21" s="1243">
        <f t="shared" si="4"/>
        <v>0</v>
      </c>
      <c r="M21" s="1399">
        <f t="shared" si="8"/>
        <v>0</v>
      </c>
      <c r="N21" s="2256"/>
      <c r="O21" s="2257"/>
      <c r="P21" s="1399">
        <f t="shared" si="9"/>
        <v>0</v>
      </c>
      <c r="R21" s="1243">
        <f t="shared" si="5"/>
        <v>0</v>
      </c>
      <c r="S21" s="1244">
        <f t="shared" si="5"/>
        <v>0</v>
      </c>
    </row>
    <row r="22" spans="1:19">
      <c r="A22" s="2258"/>
      <c r="B22" s="50" t="s">
        <v>1957</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8774.68</v>
      </c>
      <c r="E27" s="1390">
        <f>IF(SUM(E19:E26)='数据-基础表'!BA5,SUM(E19:E26),IF(F27="地上面积有误","面积有误","地下面积有误"))</f>
        <v>34081.78</v>
      </c>
      <c r="F27" s="1389">
        <f>IF(SUM(F19:F26)=E8,SUM(F19:F26),"地上面积有误")</f>
        <v>34081.78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8774.68</v>
      </c>
      <c r="S27" s="1243">
        <f>IF(SUM(S19:S26)=$E$3,SUM(S19:S26),SUM(S19:S26)&amp;"误差"&amp;ROUND(SUM(S19:S26)-E3,2))</f>
        <v>34081.78</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9" t="s">
        <v>1962</v>
      </c>
      <c r="D31" s="728">
        <f>D27+D30</f>
        <v>8774.68</v>
      </c>
      <c r="E31" s="728">
        <f>E27+E30</f>
        <v>34081.78</v>
      </c>
      <c r="F31" s="729">
        <f>F27+F30</f>
        <v>34081.78</v>
      </c>
      <c r="G31" s="730">
        <f>G27+G30</f>
        <v>0</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30" sqref="A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1965</v>
      </c>
      <c r="B2" s="1262">
        <f>项目基本情况!D3</f>
        <v>43465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3160</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69" t="s">
        <v>2005</v>
      </c>
      <c r="AP5" s="1245"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典型户型</v>
      </c>
      <c r="B6" s="2302" t="str">
        <f>IF(A6=0,"","经营性")</f>
        <v>经营性</v>
      </c>
      <c r="C6" s="2303" t="s">
        <v>27</v>
      </c>
      <c r="D6" s="1053">
        <f>SUMIF(项目基本情况!D$12:I$12,C6,项目基本情况!D$14:I$14)</f>
        <v>50</v>
      </c>
      <c r="E6" s="1050">
        <f>IF(B6="","",SUMIF(项目基本情况!D$12:I$12,C6,项目基本情况!D$13:I$13))</f>
        <v>59637</v>
      </c>
      <c r="F6" s="72">
        <f>SUMIF(项目基本情况!D$12:I$12,C6,项目基本情况!D$15:I$15)</f>
        <v>44.3</v>
      </c>
      <c r="G6" s="73">
        <f>IF(ISERROR(ROUND(POWER(1+H6,D6-F6)*(POWER(1+H6,F6)-1)/(POWER(1+H6,D6)-1),3)),0,ROUND(POWER(1+H6,D6-F6)*(POWER(1+H6,F6)-1)/(POWER(1+H6,D6)-1),3))</f>
        <v>0.96399999999999997</v>
      </c>
      <c r="H6" s="801">
        <v>4.4999999999999998E-2</v>
      </c>
      <c r="I6" s="801">
        <v>5.5E-2</v>
      </c>
      <c r="J6" s="74">
        <v>8.5000000000000006E-2</v>
      </c>
      <c r="K6" s="1247">
        <f>SUMIF('数据-汇总表'!C$19:C$33,A6,'数据-汇总表'!E$19:E$33)</f>
        <v>145</v>
      </c>
      <c r="L6" s="802">
        <v>3200</v>
      </c>
      <c r="M6" s="75">
        <f t="shared" ref="M6:M14" si="0">ROUND(K6*L6/10000,0)</f>
        <v>46</v>
      </c>
      <c r="N6" s="800">
        <f>ROUND((60-(2018-2016))/60,3)</f>
        <v>0.96699999999999997</v>
      </c>
      <c r="O6" s="75" t="str">
        <f>IF($N$5="成新度","——",ROUND(M6*N6,0))</f>
        <v>——</v>
      </c>
      <c r="P6" s="76" t="str">
        <f>IF($N$5="成新度","——",M6-O6)</f>
        <v>——</v>
      </c>
      <c r="Q6" s="803">
        <v>0.2</v>
      </c>
      <c r="R6" s="77">
        <f ca="1">SUMIF('数据-汇总表'!C$19:C$33,A6,'数据-汇总表'!R$19:R$27)</f>
        <v>37.33</v>
      </c>
      <c r="S6" s="54">
        <f>IF('数据-汇总表'!$I$17="按面积比例",SUMIF('数据-汇总表'!C$19:C$33,A6,'数据-汇总表'!K$19:K$33),SUMIF('数据-汇总表'!C$19:C$33,A6,'数据-汇总表'!N$19:N$33))</f>
        <v>0</v>
      </c>
      <c r="T6" s="1439">
        <f>ROUND($L$14*S6/10000,0)</f>
        <v>0</v>
      </c>
      <c r="U6" s="78">
        <v>3.9</v>
      </c>
      <c r="V6" s="79">
        <v>2.5000000000000001E-2</v>
      </c>
      <c r="W6" s="79">
        <v>0.1</v>
      </c>
      <c r="X6" s="1257"/>
      <c r="Y6" s="80">
        <f>N6</f>
        <v>0.96699999999999997</v>
      </c>
      <c r="Z6" s="81"/>
      <c r="AA6" s="74"/>
      <c r="AB6" s="74"/>
      <c r="AC6" s="1257"/>
      <c r="AD6" s="82"/>
      <c r="AE6" s="1258">
        <f ca="1">IF(AN6="",0,SUMIF(INDIRECT("'"&amp;AN6&amp;"'"&amp;"!E:E"),$AE$5,INDIRECT("'"&amp;AN6&amp;"'"&amp;"!F:F")))</f>
        <v>44.3</v>
      </c>
      <c r="AF6" s="1800"/>
      <c r="AG6" s="147">
        <f>IF(AF6="",0,AE6-AF6)</f>
        <v>0</v>
      </c>
      <c r="AH6" s="83"/>
      <c r="AI6" s="85">
        <v>365</v>
      </c>
      <c r="AJ6" s="86"/>
      <c r="AK6" s="87">
        <v>1.4999999999999999E-2</v>
      </c>
      <c r="AL6" s="88">
        <v>1.5E-3</v>
      </c>
      <c r="AM6" s="89">
        <v>0.02</v>
      </c>
      <c r="AN6" s="2304" t="s">
        <v>3161</v>
      </c>
      <c r="AO6" s="55">
        <f ca="1">SUMIF(INDIRECT("'"&amp;AN6&amp;"'"&amp;"!A:A"),"总价",INDIRECT("'"&amp;AN6&amp;"'"&amp;"!B:B"))</f>
        <v>338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其余办公</v>
      </c>
      <c r="B7" s="2302" t="str">
        <f t="shared" ref="B7:B13" si="1">IF(A7=0,"","经营性")</f>
        <v>经营性</v>
      </c>
      <c r="C7" s="2303" t="s">
        <v>27</v>
      </c>
      <c r="D7" s="1053">
        <f>SUMIF(项目基本情况!D$12:I$12,C7,项目基本情况!D$14:I$14)</f>
        <v>50</v>
      </c>
      <c r="E7" s="1050">
        <f>IF(B7="","",SUMIF(项目基本情况!D$12:I$12,C7,项目基本情况!D$13:I$13))</f>
        <v>59637</v>
      </c>
      <c r="F7" s="72">
        <f>SUMIF(项目基本情况!D$12:I$12,C7,项目基本情况!D$15:I$15)</f>
        <v>44.3</v>
      </c>
      <c r="G7" s="73">
        <f t="shared" ref="G7:G11" si="2">IF(ISERROR(ROUND(POWER(1+H7,D7-F7)*(POWER(1+H7,F7)-1)/(POWER(1+H7,D7)-1),3)),0,ROUND(POWER(1+H7,D7-F7)*(POWER(1+H7,F7)-1)/(POWER(1+H7,D7)-1),3))</f>
        <v>0</v>
      </c>
      <c r="H7" s="801"/>
      <c r="I7" s="801"/>
      <c r="J7" s="74"/>
      <c r="K7" s="1247">
        <f>SUMIF('数据-汇总表'!C$19:C$33,A7,'数据-汇总表'!E$19:E$33)</f>
        <v>33936.78</v>
      </c>
      <c r="L7" s="802"/>
      <c r="M7" s="75">
        <f t="shared" si="0"/>
        <v>0</v>
      </c>
      <c r="N7" s="800"/>
      <c r="O7" s="75" t="str">
        <f t="shared" ref="O7:O14" si="3">IF($N$5="成新度","——",ROUND(M7*N7,0))</f>
        <v>——</v>
      </c>
      <c r="P7" s="76" t="str">
        <f t="shared" ref="P7:P14" si="4">IF($N$5="成新度","——",M7-O7)</f>
        <v>——</v>
      </c>
      <c r="Q7" s="803"/>
      <c r="R7" s="77">
        <f ca="1">SUMIF('数据-汇总表'!C$19:C$33,A7,'数据-汇总表'!R$19:R$27)</f>
        <v>8737.35</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1"/>
      <c r="AA8" s="74"/>
      <c r="AB8" s="74"/>
      <c r="AC8" s="1257"/>
      <c r="AD8" s="82"/>
      <c r="AE8" s="1258">
        <f t="shared" ca="1" si="6"/>
        <v>0</v>
      </c>
      <c r="AF8" s="1800"/>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2009</v>
      </c>
      <c r="B14" s="2302" t="s">
        <v>2010</v>
      </c>
      <c r="C14" s="2307" t="s">
        <v>2009</v>
      </c>
      <c r="D14" s="1053"/>
      <c r="E14" s="1050"/>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2011</v>
      </c>
      <c r="B15" s="2302" t="s">
        <v>2010</v>
      </c>
      <c r="C15" s="2307" t="s">
        <v>2012</v>
      </c>
      <c r="D15" s="1053"/>
      <c r="E15" s="1050"/>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2013</v>
      </c>
      <c r="B16" s="97"/>
      <c r="C16" s="1007"/>
      <c r="D16" s="2309"/>
      <c r="E16" s="97"/>
      <c r="F16" s="97"/>
      <c r="G16" s="98">
        <f>ROUND(SUMPRODUCT(G6:G13,K6:K13)/SUMPRODUCT((G6:G13&gt;0)*(K6:K13)),3)</f>
        <v>0.96399999999999997</v>
      </c>
      <c r="H16" s="99">
        <f>ROUND(SUMPRODUCT(H6:H13,K6:K13)/SUMPRODUCT((H6:H13&gt;0)*(K6:K13)),3)</f>
        <v>4.4999999999999998E-2</v>
      </c>
      <c r="I16" s="100"/>
      <c r="J16" s="100"/>
      <c r="K16" s="101">
        <f>SUM(K6:K15)</f>
        <v>34081.78</v>
      </c>
      <c r="L16" s="102">
        <f>ROUND(M16*10000/SUM(K6:K14),0)</f>
        <v>13</v>
      </c>
      <c r="M16" s="102">
        <f>SUM(M6:M14)</f>
        <v>46</v>
      </c>
      <c r="N16" s="103">
        <f>ROUND(SUMPRODUCT(M6:M14,N6:N14)/M16,3)</f>
        <v>0.96699999999999997</v>
      </c>
      <c r="O16" s="102">
        <f>SUM(O6:O14)</f>
        <v>0</v>
      </c>
      <c r="P16" s="102">
        <f>SUM(P6:P14)</f>
        <v>0</v>
      </c>
      <c r="Q16" s="104">
        <f>ROUND(SUMPRODUCT(Q6:Q13,K6:K13)/SUMPRODUCT((Q6:Q13&gt;0)*(K6:K13)),2)</f>
        <v>0.2</v>
      </c>
      <c r="R16" s="1251">
        <f ca="1">SUM(R6:R13)</f>
        <v>8774.68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150</v>
      </c>
      <c r="C27" s="1760" t="s">
        <v>2027</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190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59" t="s">
        <v>2037</v>
      </c>
      <c r="D34" s="2273" t="s">
        <v>2038</v>
      </c>
      <c r="E34" s="731"/>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0.02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0.02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0.05</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56</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391" t="s">
        <v>2080</v>
      </c>
      <c r="B1" s="3392"/>
      <c r="C1" s="3392"/>
      <c r="D1" s="3392"/>
      <c r="E1" s="3392"/>
      <c r="F1" s="3392"/>
      <c r="G1" s="339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4"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1" t="s">
        <v>2087</v>
      </c>
      <c r="C4" s="2963" t="s">
        <v>3178</v>
      </c>
      <c r="D4" s="2366"/>
      <c r="E4" s="2369"/>
      <c r="F4" s="42" t="s">
        <v>2088</v>
      </c>
      <c r="G4" s="2370" t="s">
        <v>2089</v>
      </c>
      <c r="H4" s="2363"/>
      <c r="I4" s="2363"/>
      <c r="J4" s="2363"/>
      <c r="K4" s="2363"/>
      <c r="L4" s="2363"/>
      <c r="M4" s="2363"/>
      <c r="N4" s="2363"/>
      <c r="O4" s="2363"/>
      <c r="P4" s="2363"/>
      <c r="Q4" s="2363"/>
      <c r="R4" s="2363"/>
    </row>
    <row r="5" spans="1:29" ht="54">
      <c r="A5" s="431"/>
      <c r="B5" s="1791" t="s">
        <v>2090</v>
      </c>
      <c r="C5" s="2963" t="s">
        <v>3179</v>
      </c>
      <c r="D5" s="2366"/>
      <c r="E5" s="2369"/>
      <c r="F5" s="1791" t="s">
        <v>2091</v>
      </c>
      <c r="G5" s="2370" t="s">
        <v>2092</v>
      </c>
      <c r="H5" s="2363"/>
      <c r="I5" s="2363"/>
      <c r="J5" s="2363"/>
      <c r="K5" s="2363"/>
      <c r="L5" s="2363"/>
      <c r="M5" s="2363"/>
      <c r="N5" s="2363"/>
      <c r="O5" s="2363"/>
      <c r="P5" s="2363"/>
      <c r="Q5" s="2363"/>
      <c r="R5" s="2363"/>
    </row>
    <row r="6" spans="1:29" ht="67.5">
      <c r="A6" s="431"/>
      <c r="B6" s="1791" t="s">
        <v>2093</v>
      </c>
      <c r="C6" s="2964" t="s">
        <v>3180</v>
      </c>
      <c r="D6" s="2366"/>
      <c r="E6" s="2369"/>
      <c r="F6" s="1791" t="s">
        <v>2094</v>
      </c>
      <c r="G6" s="2370" t="s">
        <v>2095</v>
      </c>
      <c r="H6" s="2363"/>
      <c r="I6" s="2363"/>
      <c r="J6" s="2363"/>
      <c r="K6" s="2363"/>
      <c r="L6" s="2363"/>
      <c r="M6" s="2363"/>
      <c r="N6" s="2363"/>
      <c r="O6" s="2363"/>
      <c r="P6" s="2363"/>
      <c r="Q6" s="2363"/>
      <c r="R6" s="2363"/>
    </row>
    <row r="7" spans="1:29" ht="122.25" thickBot="1">
      <c r="A7" s="431"/>
      <c r="B7" s="1791" t="s">
        <v>2091</v>
      </c>
      <c r="C7" s="2964" t="s">
        <v>3181</v>
      </c>
      <c r="D7" s="2371"/>
      <c r="E7" s="2372"/>
      <c r="F7" s="2373" t="s">
        <v>2096</v>
      </c>
      <c r="G7" s="2374" t="s">
        <v>2097</v>
      </c>
      <c r="H7" s="2363"/>
      <c r="I7" s="2363"/>
      <c r="J7" s="2363"/>
      <c r="K7" s="2363"/>
      <c r="L7" s="2363"/>
      <c r="M7" s="2363"/>
      <c r="N7" s="2363"/>
      <c r="O7" s="2363"/>
      <c r="P7" s="2363"/>
      <c r="Q7" s="2363"/>
      <c r="R7" s="2363"/>
    </row>
    <row r="8" spans="1:29" ht="27">
      <c r="A8" s="431"/>
      <c r="B8" s="1791" t="s">
        <v>2094</v>
      </c>
      <c r="C8" s="2964" t="s">
        <v>3182</v>
      </c>
      <c r="D8" s="2371"/>
      <c r="E8" s="2371"/>
      <c r="F8" s="1135"/>
      <c r="G8" s="1135"/>
      <c r="H8" s="2363"/>
      <c r="I8" s="2363"/>
      <c r="J8" s="2363"/>
      <c r="K8" s="2363"/>
      <c r="L8" s="2363"/>
      <c r="M8" s="2363"/>
      <c r="N8" s="2363"/>
      <c r="O8" s="2363"/>
      <c r="P8" s="2363"/>
      <c r="Q8" s="2363"/>
      <c r="R8" s="2363"/>
    </row>
    <row r="9" spans="1:29" ht="54">
      <c r="A9" s="431"/>
      <c r="B9" s="1791" t="s">
        <v>2098</v>
      </c>
      <c r="C9" s="2963" t="s">
        <v>3183</v>
      </c>
      <c r="D9" s="2366"/>
      <c r="E9" s="2371"/>
      <c r="F9" s="1135"/>
      <c r="G9" s="1135"/>
      <c r="H9" s="2363"/>
      <c r="I9" s="2363"/>
      <c r="J9" s="2363"/>
      <c r="K9" s="2363"/>
      <c r="L9" s="2363"/>
      <c r="M9" s="2363"/>
      <c r="N9" s="2363"/>
      <c r="O9" s="2363"/>
      <c r="P9" s="2363"/>
      <c r="Q9" s="2363"/>
      <c r="R9" s="2363"/>
    </row>
    <row r="10" spans="1:29" s="117" customFormat="1" ht="15.75" thickBot="1">
      <c r="A10" s="2375"/>
      <c r="B10" s="2376" t="s">
        <v>2099</v>
      </c>
      <c r="C10" s="2377" t="s">
        <v>3184</v>
      </c>
      <c r="D10" s="2366"/>
      <c r="E10" s="2366"/>
      <c r="F10" s="1135"/>
      <c r="G10" s="1135"/>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53"/>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3" t="s">
        <v>2084</v>
      </c>
      <c r="C15" s="2397">
        <f>C3</f>
        <v>0</v>
      </c>
      <c r="D15" s="2366"/>
      <c r="E15" s="2398" t="s">
        <v>2104</v>
      </c>
      <c r="F15" s="1263" t="s">
        <v>2105</v>
      </c>
      <c r="G15" s="135" t="str">
        <f>G3</f>
        <v>估价对象位于XX开发区，园区建设成熟度XX，产业集聚程度XX</v>
      </c>
    </row>
    <row r="16" spans="1:29" ht="42.75">
      <c r="A16" s="645"/>
      <c r="B16" s="2399" t="s">
        <v>2087</v>
      </c>
      <c r="C16" s="2400" t="str">
        <f>C4</f>
        <v>位于昌平区平西府地区，周边商业氛围一般，人流量一般，商业繁华度一般。</v>
      </c>
      <c r="D16" s="2366"/>
      <c r="E16" s="2401"/>
      <c r="F16" s="2402" t="s">
        <v>2088</v>
      </c>
      <c r="G16" s="136" t="str">
        <f>G4</f>
        <v>估价对象周边道路状况、公共交通通达情况、停车便捷程度，综合评价交通便捷度较好</v>
      </c>
    </row>
    <row r="17" spans="1:18" ht="57">
      <c r="A17" s="645"/>
      <c r="B17" s="2399" t="s">
        <v>2090</v>
      </c>
      <c r="C17" s="2400" t="str">
        <f>C5</f>
        <v>估价对象位于昌平区北七家镇，周边办公楼项目较多，入驻率高，办公集聚程度较好。</v>
      </c>
      <c r="D17" s="2371"/>
      <c r="E17" s="2401"/>
      <c r="F17" s="2402" t="s">
        <v>2106</v>
      </c>
      <c r="G17" s="1565"/>
    </row>
    <row r="18" spans="1:18" ht="71.25">
      <c r="A18" s="645"/>
      <c r="B18" s="2402" t="s">
        <v>2093</v>
      </c>
      <c r="C18" s="136" t="str">
        <f>C6</f>
        <v>估价对象周边路网较为密集、公共交通通达情况较好，有417、607、871路等公共交通，停车便捷程度较好，综合评价交通便捷度较好。</v>
      </c>
      <c r="D18" s="2371"/>
      <c r="E18" s="2401"/>
      <c r="F18" s="2402" t="s">
        <v>2096</v>
      </c>
      <c r="G18" s="136" t="str">
        <f>G7</f>
        <v>该园区内是否有污染型企业，绿化情况，卫生条件，整体环境状况判断</v>
      </c>
    </row>
    <row r="19" spans="1:18" ht="28.5">
      <c r="A19" s="645"/>
      <c r="B19" s="2402" t="s">
        <v>2107</v>
      </c>
      <c r="C19" s="1565"/>
      <c r="D19" s="2366"/>
      <c r="E19" s="2401"/>
      <c r="F19" s="1791" t="s">
        <v>2091</v>
      </c>
      <c r="G19" s="136" t="str">
        <f>G5</f>
        <v>估价对象所在区域公共配套设施齐备情况</v>
      </c>
    </row>
    <row r="20" spans="1:18" ht="57">
      <c r="A20" s="645"/>
      <c r="B20" s="2402" t="s">
        <v>2108</v>
      </c>
      <c r="C20" s="2400" t="str">
        <f>C9</f>
        <v>区域自然环境：秀水湖公园；人文环境：北京邮电大学（洪福校区）；综合评价环境状况较好。</v>
      </c>
      <c r="D20" s="2371"/>
      <c r="E20" s="2401"/>
      <c r="F20" s="1791" t="s">
        <v>2109</v>
      </c>
      <c r="G20" s="136" t="str">
        <f>G6</f>
        <v>估价对象所在区域基础设施水平</v>
      </c>
    </row>
    <row r="21" spans="1:18" ht="128.25">
      <c r="A21" s="645"/>
      <c r="B21" s="1791" t="s">
        <v>2091</v>
      </c>
      <c r="C21" s="136" t="str">
        <f>C7</f>
        <v>估价对象所在区域2公里范围内有：银行（北京银行、北京农村商业银行），购物（温都水城购物中心、世纪华联超市），医院（北京新宇医院），学校（平西府幼儿园，平西王府宏立学校）等，公共配套设施齐备情况较好。</v>
      </c>
      <c r="D21" s="2366"/>
      <c r="E21" s="2401"/>
      <c r="F21" s="2402" t="s">
        <v>2110</v>
      </c>
      <c r="G21" s="2403"/>
    </row>
    <row r="22" spans="1:18" ht="13.5" customHeight="1">
      <c r="A22" s="645"/>
      <c r="B22" s="1791" t="s">
        <v>2094</v>
      </c>
      <c r="C22" s="136" t="str">
        <f>C8</f>
        <v>估价对象所在区域基础设施水平达到“七通”。</v>
      </c>
      <c r="D22" s="2366"/>
      <c r="E22" s="2401"/>
      <c r="F22" s="2402" t="s">
        <v>2099</v>
      </c>
      <c r="G22" s="1565"/>
    </row>
    <row r="23" spans="1:18" s="2363" customFormat="1" ht="15.75" thickBot="1">
      <c r="A23" s="645"/>
      <c r="B23" s="2402" t="s">
        <v>2110</v>
      </c>
      <c r="C23" s="2403" t="s">
        <v>3185</v>
      </c>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7" t="str">
        <f>C10</f>
        <v>城市次干道——北清路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61311.13</v>
      </c>
      <c r="C1" s="1738"/>
      <c r="D1" s="1738"/>
      <c r="E1" s="1738"/>
      <c r="F1" s="1738"/>
      <c r="G1" s="1736"/>
    </row>
    <row r="2" spans="1:10" ht="16.5">
      <c r="A2" s="1739" t="s">
        <v>1349</v>
      </c>
      <c r="B2" s="1739">
        <f>SUM(C14:C23)</f>
        <v>15785.13</v>
      </c>
      <c r="C2" s="1738"/>
      <c r="D2" s="1738"/>
      <c r="E2" s="1738"/>
      <c r="F2" s="1738"/>
      <c r="G2" s="1736"/>
    </row>
    <row r="3" spans="1:10" ht="16.5">
      <c r="A3" s="1739" t="s">
        <v>1358</v>
      </c>
      <c r="B3" s="1740">
        <f>项目基本情况!D3</f>
        <v>43465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150306</v>
      </c>
      <c r="C5" s="1739">
        <f ca="1">ROUND(B5*10000/$B$1,0)</f>
        <v>24515</v>
      </c>
      <c r="D5" s="1739">
        <f ca="1">ROUND(B5*10000/$B$2,0)</f>
        <v>95220</v>
      </c>
      <c r="E5" s="1738"/>
      <c r="F5" s="1736"/>
      <c r="G5" s="1736"/>
    </row>
    <row r="6" spans="1:10" ht="16.5">
      <c r="A6" s="1739" t="s">
        <v>1352</v>
      </c>
      <c r="B6" s="1739">
        <f ca="1">SUM(G14:G23)</f>
        <v>150306</v>
      </c>
      <c r="C6" s="1739">
        <f ca="1">ROUND(B6*10000/$B$1,0)</f>
        <v>24515</v>
      </c>
      <c r="D6" s="1739">
        <f ca="1">ROUND(B6*10000/$B$2,0)</f>
        <v>95220</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34081.78</v>
      </c>
      <c r="C14" s="1737">
        <f>结果表!C118</f>
        <v>8774.68</v>
      </c>
      <c r="D14" s="1737">
        <f ca="1">典型户型修正!B20</f>
        <v>107817</v>
      </c>
      <c r="E14" s="1737">
        <f ca="1">ROUND(D14*10000/B14,0)</f>
        <v>31635</v>
      </c>
      <c r="F14" s="1737">
        <f ca="1">ROUND(D14*10000/C14,0)</f>
        <v>122873</v>
      </c>
      <c r="G14" s="1737">
        <f ca="1">D14</f>
        <v>107817</v>
      </c>
      <c r="H14" s="1737" t="str">
        <f>结果表!D124</f>
        <v>——</v>
      </c>
      <c r="I14" s="1737" t="str">
        <f>结果表!D126</f>
        <v>——</v>
      </c>
      <c r="J14" s="1736"/>
    </row>
    <row r="15" spans="1:10" ht="16.5">
      <c r="A15" s="1735" t="s">
        <v>1345</v>
      </c>
      <c r="B15" s="1742">
        <f>[2]系统读取表!$B$14</f>
        <v>13224.310000000001</v>
      </c>
      <c r="C15" s="1742">
        <f>[2]系统读取表!$C$14</f>
        <v>3404.72</v>
      </c>
      <c r="D15" s="1742">
        <f ca="1">[2]系统读取表!$D$14</f>
        <v>35248</v>
      </c>
      <c r="E15" s="1737">
        <f t="shared" ref="E15:E23" ca="1" si="0">ROUND(D15*10000/B15,0)</f>
        <v>26654</v>
      </c>
      <c r="F15" s="1737">
        <f t="shared" ref="F15:F23" ca="1" si="1">ROUND(D15*10000/C15,0)</f>
        <v>103527</v>
      </c>
      <c r="G15" s="1743">
        <f ca="1">[2]系统读取表!$G$14</f>
        <v>35248</v>
      </c>
      <c r="H15" s="1743"/>
      <c r="I15" s="1742"/>
      <c r="J15" s="1736"/>
    </row>
    <row r="16" spans="1:10" ht="16.5">
      <c r="A16" s="1735" t="s">
        <v>1344</v>
      </c>
      <c r="B16" s="1742">
        <f>[3]系统读取表!$B$14</f>
        <v>14005.04</v>
      </c>
      <c r="C16" s="1742">
        <f>[3]系统读取表!$C$14</f>
        <v>3605.73</v>
      </c>
      <c r="D16" s="1742">
        <f ca="1">[3]结果表!$C$104</f>
        <v>7241</v>
      </c>
      <c r="E16" s="1737">
        <f t="shared" ca="1" si="0"/>
        <v>5170</v>
      </c>
      <c r="F16" s="1737">
        <f t="shared" ca="1" si="1"/>
        <v>20082</v>
      </c>
      <c r="G16" s="1743">
        <f ca="1">D16</f>
        <v>7241</v>
      </c>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C33" sqref="C33"/>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3054</v>
      </c>
      <c r="H1" s="2416" t="str">
        <f>IF(G1="现房","——","估价对象范围")</f>
        <v>——</v>
      </c>
      <c r="I1" s="2417"/>
    </row>
    <row r="2" spans="1:12" ht="21.75" customHeight="1" thickBot="1">
      <c r="A2" s="3426" t="str">
        <f>项目基本情况!S2</f>
        <v>北京市昌平区北七家镇1、2、4、7房地产</v>
      </c>
      <c r="B2" s="3427"/>
      <c r="C2" s="3427"/>
      <c r="D2" s="3427"/>
      <c r="E2" s="3427"/>
      <c r="F2" s="3427"/>
      <c r="G2" s="3427"/>
      <c r="H2" s="3427"/>
      <c r="I2" s="3428"/>
    </row>
    <row r="3" spans="1:12" ht="12.75">
      <c r="A3" s="3430" t="s">
        <v>2115</v>
      </c>
      <c r="B3" s="3431"/>
      <c r="C3" s="3431"/>
      <c r="D3" s="3431"/>
      <c r="E3" s="3431"/>
      <c r="F3" s="3431"/>
      <c r="G3" s="3431"/>
      <c r="H3" s="3431"/>
      <c r="I3" s="3431"/>
    </row>
    <row r="4" spans="1:12" ht="14.25">
      <c r="A4" s="2420" t="s">
        <v>2116</v>
      </c>
      <c r="B4" s="2421" t="s">
        <v>2117</v>
      </c>
      <c r="C4" s="2422" t="s">
        <v>3168</v>
      </c>
      <c r="D4" s="2422" t="s">
        <v>3161</v>
      </c>
      <c r="E4" s="3423" t="s">
        <v>2118</v>
      </c>
      <c r="F4" s="3424"/>
      <c r="G4" s="3424"/>
      <c r="H4" s="3424"/>
      <c r="I4" s="3432"/>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406" t="s">
        <v>2119</v>
      </c>
      <c r="B5" s="3344">
        <v>25</v>
      </c>
      <c r="C5" s="3409">
        <v>20</v>
      </c>
      <c r="D5" s="3429">
        <v>15</v>
      </c>
      <c r="E5" s="140" t="s">
        <v>2120</v>
      </c>
      <c r="F5" s="2424"/>
      <c r="G5" s="2424"/>
      <c r="H5" s="2424"/>
      <c r="I5" s="1827"/>
    </row>
    <row r="6" spans="1:12" ht="12.75">
      <c r="A6" s="3406"/>
      <c r="B6" s="3344"/>
      <c r="C6" s="3410"/>
      <c r="D6" s="3429"/>
      <c r="E6" s="140" t="s">
        <v>2121</v>
      </c>
      <c r="F6" s="2424"/>
      <c r="G6" s="2424"/>
      <c r="H6" s="2424"/>
      <c r="I6" s="1827"/>
    </row>
    <row r="7" spans="1:12" ht="12.75">
      <c r="A7" s="3406"/>
      <c r="B7" s="3344"/>
      <c r="C7" s="3411"/>
      <c r="D7" s="3429"/>
      <c r="E7" s="140" t="s">
        <v>2122</v>
      </c>
      <c r="F7" s="2424"/>
      <c r="G7" s="2424"/>
      <c r="H7" s="2424"/>
      <c r="I7" s="1827"/>
    </row>
    <row r="8" spans="1:12" ht="12.75">
      <c r="A8" s="3406" t="s">
        <v>2123</v>
      </c>
      <c r="B8" s="3344">
        <v>15</v>
      </c>
      <c r="C8" s="3409">
        <v>12</v>
      </c>
      <c r="D8" s="3429">
        <v>10</v>
      </c>
      <c r="E8" s="140" t="s">
        <v>2124</v>
      </c>
      <c r="F8" s="2424"/>
      <c r="G8" s="2424"/>
      <c r="H8" s="2424"/>
      <c r="I8" s="1827"/>
    </row>
    <row r="9" spans="1:12" ht="12.75">
      <c r="A9" s="3406"/>
      <c r="B9" s="3344"/>
      <c r="C9" s="3411"/>
      <c r="D9" s="3429"/>
      <c r="E9" s="140" t="s">
        <v>2125</v>
      </c>
      <c r="F9" s="2424"/>
      <c r="G9" s="2424"/>
      <c r="H9" s="2424"/>
      <c r="I9" s="1827"/>
    </row>
    <row r="10" spans="1:12" ht="12.75">
      <c r="A10" s="3406" t="s">
        <v>2126</v>
      </c>
      <c r="B10" s="3344">
        <v>15</v>
      </c>
      <c r="C10" s="3409">
        <v>12</v>
      </c>
      <c r="D10" s="3429">
        <v>10</v>
      </c>
      <c r="E10" s="140" t="s">
        <v>2127</v>
      </c>
      <c r="F10" s="2424"/>
      <c r="G10" s="2424"/>
      <c r="H10" s="2424"/>
      <c r="I10" s="1827"/>
    </row>
    <row r="11" spans="1:12" ht="12.75">
      <c r="A11" s="3406"/>
      <c r="B11" s="3344"/>
      <c r="C11" s="3411"/>
      <c r="D11" s="3429"/>
      <c r="E11" s="140" t="s">
        <v>2128</v>
      </c>
      <c r="F11" s="2424"/>
      <c r="G11" s="2424"/>
      <c r="H11" s="2424"/>
      <c r="I11" s="1827"/>
    </row>
    <row r="12" spans="1:12" ht="12.75">
      <c r="A12" s="3406" t="s">
        <v>2129</v>
      </c>
      <c r="B12" s="3344">
        <v>15</v>
      </c>
      <c r="C12" s="3409">
        <v>12</v>
      </c>
      <c r="D12" s="3429">
        <v>10</v>
      </c>
      <c r="E12" s="140" t="s">
        <v>2130</v>
      </c>
      <c r="F12" s="2424"/>
      <c r="G12" s="2424"/>
      <c r="H12" s="2424"/>
      <c r="I12" s="1827"/>
    </row>
    <row r="13" spans="1:12" ht="12.75">
      <c r="A13" s="3406"/>
      <c r="B13" s="3344"/>
      <c r="C13" s="3411"/>
      <c r="D13" s="3429"/>
      <c r="E13" s="140" t="s">
        <v>2131</v>
      </c>
      <c r="F13" s="2424"/>
      <c r="G13" s="2424"/>
      <c r="H13" s="2424"/>
      <c r="I13" s="1827"/>
    </row>
    <row r="14" spans="1:12" ht="12.75">
      <c r="A14" s="3406" t="s">
        <v>2132</v>
      </c>
      <c r="B14" s="3344">
        <v>30</v>
      </c>
      <c r="C14" s="3409">
        <v>25</v>
      </c>
      <c r="D14" s="3429">
        <v>20</v>
      </c>
      <c r="E14" s="140" t="s">
        <v>2133</v>
      </c>
      <c r="F14" s="2424"/>
      <c r="G14" s="2424"/>
      <c r="H14" s="2424"/>
      <c r="I14" s="1827"/>
    </row>
    <row r="15" spans="1:12" ht="12.75">
      <c r="A15" s="3406"/>
      <c r="B15" s="3344"/>
      <c r="C15" s="3410"/>
      <c r="D15" s="3429"/>
      <c r="E15" s="140" t="s">
        <v>2134</v>
      </c>
      <c r="F15" s="2424"/>
      <c r="G15" s="2424"/>
      <c r="H15" s="2424"/>
      <c r="I15" s="1827"/>
    </row>
    <row r="16" spans="1:12" ht="12.75">
      <c r="A16" s="3406"/>
      <c r="B16" s="3344"/>
      <c r="C16" s="3411"/>
      <c r="D16" s="3429"/>
      <c r="E16" s="140" t="s">
        <v>2135</v>
      </c>
      <c r="F16" s="2424"/>
      <c r="G16" s="2424"/>
      <c r="H16" s="2424"/>
      <c r="I16" s="1827"/>
    </row>
    <row r="17" spans="1:35" ht="15">
      <c r="A17" s="2425" t="s">
        <v>2136</v>
      </c>
      <c r="B17" s="64"/>
      <c r="C17" s="141">
        <f>SUM(C5:C16)</f>
        <v>81</v>
      </c>
      <c r="D17" s="141">
        <f>SUM(D5:D16)</f>
        <v>65</v>
      </c>
      <c r="E17" s="138"/>
      <c r="F17" s="138"/>
      <c r="G17" s="138"/>
      <c r="H17" s="138"/>
      <c r="I17" s="138"/>
      <c r="K17" s="2423"/>
      <c r="L17" s="2426" t="s">
        <v>2137</v>
      </c>
      <c r="M17" s="2426" t="s">
        <v>2138</v>
      </c>
    </row>
    <row r="18" spans="1:35" ht="15.75" thickBot="1">
      <c r="A18" s="2427" t="s">
        <v>2139</v>
      </c>
      <c r="B18" s="2428"/>
      <c r="C18" s="142">
        <f>ROUND(C17/SUM(C17:D17),2)</f>
        <v>0.55000000000000004</v>
      </c>
      <c r="D18" s="142">
        <f>1-C18</f>
        <v>0.44999999999999996</v>
      </c>
      <c r="E18" s="138"/>
      <c r="F18" s="138"/>
      <c r="G18" s="138"/>
      <c r="H18" s="138"/>
      <c r="I18" s="138"/>
      <c r="K18" s="2423" t="s">
        <v>2140</v>
      </c>
      <c r="L18" s="2423">
        <f>IF(C1="",'数据-汇总表'!E3,SUMIF(项目类型,C1,'数据-汇总表'!E17:E26)+SUMIF(项目类型,C1,'数据-汇总表'!I17:I26))</f>
        <v>34081.78</v>
      </c>
      <c r="M18" s="2423">
        <f>IF(C1="",'数据-汇总表'!E3,SUMIF(项目类型,C1,'数据-汇总表'!E17:E26))</f>
        <v>34081.78</v>
      </c>
    </row>
    <row r="19" spans="1:35" ht="15">
      <c r="A19" s="2429" t="s">
        <v>2141</v>
      </c>
      <c r="B19" s="2430" t="s">
        <v>2142</v>
      </c>
      <c r="C19" s="143">
        <f ca="1">SUMIF(INDIRECT("'"&amp;C4&amp;"'"&amp;"!A:A"),结果表!B19,INDIRECT("'"&amp;C4&amp;"'"&amp;"!B:B"))</f>
        <v>525</v>
      </c>
      <c r="D19" s="144">
        <f ca="1">SUMIF(INDIRECT("'"&amp;D4&amp;"'"&amp;"!A:A"),结果表!B19,INDIRECT("'"&amp;D4&amp;"'"&amp;"!B:B"))</f>
        <v>338</v>
      </c>
      <c r="E19" s="2429" t="s">
        <v>2143</v>
      </c>
      <c r="F19" s="2430" t="s">
        <v>2142</v>
      </c>
      <c r="G19" s="145">
        <f ca="1">ROUND(C19*$C$18+D19*$D$18,0)</f>
        <v>441</v>
      </c>
      <c r="H19" s="2431" t="s">
        <v>2144</v>
      </c>
      <c r="I19" s="138"/>
      <c r="K19" s="2423" t="s">
        <v>2145</v>
      </c>
      <c r="L19" s="2423">
        <f>IF(C1="",'数据-汇总表'!D3,SUMIF(项目类型,C1,'数据-汇总表'!D17:D26)+SUMIF(项目类型,C1,'数据-汇总表'!H17:H27))</f>
        <v>8774.68</v>
      </c>
      <c r="M19" s="2423">
        <f>IF(C1="",'数据-汇总表'!D3,SUMIF(项目类型,C1,'数据-汇总表'!D17:D26))</f>
        <v>8774.68</v>
      </c>
    </row>
    <row r="20" spans="1:35" ht="15">
      <c r="A20" s="2432"/>
      <c r="B20" s="1243" t="s">
        <v>2146</v>
      </c>
      <c r="C20" s="146">
        <f ca="1">SUMIF(INDIRECT("'"&amp;C4&amp;"'"&amp;"!A:A"),结果表!B20,INDIRECT("'"&amp;C4&amp;"'"&amp;"!B:B"))</f>
        <v>36218</v>
      </c>
      <c r="D20" s="147">
        <f ca="1">SUMIF(INDIRECT("'"&amp;D4&amp;"'"&amp;"!A:A"),结果表!B20,INDIRECT("'"&amp;D4&amp;"'"&amp;"!B:B"))</f>
        <v>23310</v>
      </c>
      <c r="E20" s="2432"/>
      <c r="F20" s="1243" t="s">
        <v>2146</v>
      </c>
      <c r="G20" s="148">
        <f ca="1">ROUND(C20*$C$18+D20*$D$18,0)</f>
        <v>30409</v>
      </c>
      <c r="H20" s="982" t="s">
        <v>2147</v>
      </c>
      <c r="I20" s="138"/>
    </row>
    <row r="21" spans="1:35" ht="15" customHeight="1" thickBot="1">
      <c r="A21" s="1002"/>
      <c r="B21" s="2433" t="s">
        <v>2148</v>
      </c>
      <c r="C21" s="788">
        <f ca="1">ROUND(C19*10000/L19,0)</f>
        <v>598</v>
      </c>
      <c r="D21" s="789">
        <f ca="1">ROUND(D19*10000/L19,0)</f>
        <v>385</v>
      </c>
      <c r="E21" s="1002"/>
      <c r="F21" s="2433" t="s">
        <v>2148</v>
      </c>
      <c r="G21" s="149">
        <f ca="1">ROUND(G19*10000/L19,0)</f>
        <v>503</v>
      </c>
      <c r="H21" s="2434" t="s">
        <v>2147</v>
      </c>
      <c r="I21" s="138"/>
    </row>
    <row r="22" spans="1:35" ht="15" thickBot="1">
      <c r="A22" s="2276" t="s">
        <v>2149</v>
      </c>
      <c r="B22" s="2435"/>
      <c r="C22" s="2436"/>
      <c r="D22" s="790">
        <f ca="1">IF(C19&lt;D19,D19/C19-1,C19/D19-1)</f>
        <v>0.55325443786982254</v>
      </c>
      <c r="E22" s="138"/>
      <c r="F22" s="138"/>
      <c r="G22" s="138"/>
      <c r="H22" s="138"/>
      <c r="I22" s="138"/>
    </row>
    <row r="23" spans="1:35" ht="13.5" thickBot="1">
      <c r="A23" s="2413"/>
      <c r="B23" s="2413"/>
      <c r="C23" s="2413"/>
      <c r="D23" s="2413"/>
      <c r="E23" s="138"/>
      <c r="F23" s="138"/>
      <c r="G23" s="138"/>
      <c r="H23" s="138"/>
      <c r="I23" s="138"/>
    </row>
    <row r="24" spans="1:35" ht="14.25">
      <c r="A24" s="3400" t="s">
        <v>2150</v>
      </c>
      <c r="B24" s="2430" t="s">
        <v>2142</v>
      </c>
      <c r="C24" s="145">
        <f>IF(B30=0,0,D30)</f>
        <v>0</v>
      </c>
      <c r="D24" s="2437"/>
      <c r="E24" s="138"/>
      <c r="F24" s="138"/>
      <c r="G24" s="138"/>
      <c r="H24" s="138"/>
      <c r="I24" s="138"/>
    </row>
    <row r="25" spans="1:35" ht="14.25">
      <c r="A25" s="3401"/>
      <c r="B25" s="1243"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22" t="s">
        <v>3031</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2156</v>
      </c>
      <c r="B32" s="2443"/>
      <c r="C32" s="153">
        <f ca="1">IF(D32="总价",G19-C24,G20-C25)</f>
        <v>441</v>
      </c>
      <c r="D32" s="2444" t="s">
        <v>2157</v>
      </c>
      <c r="E32" s="138"/>
      <c r="F32" s="138"/>
      <c r="G32" s="138"/>
      <c r="H32" s="138"/>
      <c r="I32" s="138"/>
    </row>
    <row r="33" spans="1:15" ht="15">
      <c r="A33" s="959"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2161</v>
      </c>
      <c r="F34" s="1732"/>
      <c r="G34" s="138"/>
      <c r="H34" s="138"/>
      <c r="I34" s="138"/>
    </row>
    <row r="35" spans="1:15" ht="15.75" thickBot="1">
      <c r="A35" s="2453"/>
      <c r="B35" s="2454"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418" t="s">
        <v>2164</v>
      </c>
      <c r="B36" s="2456" t="s">
        <v>2165</v>
      </c>
      <c r="C36" s="154"/>
      <c r="D36" s="2457"/>
      <c r="E36" s="2458"/>
      <c r="F36" s="2459"/>
      <c r="G36" s="138"/>
      <c r="H36" s="138"/>
      <c r="I36" s="138"/>
    </row>
    <row r="37" spans="1:15" ht="15.75" thickBot="1">
      <c r="A37" s="3419"/>
      <c r="B37" s="2262" t="s">
        <v>2166</v>
      </c>
      <c r="C37" s="156"/>
      <c r="D37" s="1388"/>
      <c r="E37" s="1388"/>
      <c r="F37" s="2459"/>
      <c r="G37" s="138"/>
      <c r="H37" s="138"/>
      <c r="I37" s="138"/>
    </row>
    <row r="38" spans="1:15" ht="15.75" thickBot="1">
      <c r="A38" s="3420"/>
      <c r="B38" s="2460" t="s">
        <v>2167</v>
      </c>
      <c r="C38" s="726"/>
      <c r="D38" s="2461" t="s">
        <v>2168</v>
      </c>
      <c r="E38" s="1388"/>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397" t="s">
        <v>2178</v>
      </c>
      <c r="B45" s="3398"/>
      <c r="C45" s="3399"/>
      <c r="D45" s="164">
        <f ca="1">ROUND(H101*F45,0)</f>
        <v>441</v>
      </c>
      <c r="E45" s="165" t="s">
        <v>2179</v>
      </c>
      <c r="F45" s="166">
        <v>1</v>
      </c>
      <c r="G45" s="167" t="s">
        <v>2180</v>
      </c>
      <c r="H45" s="138"/>
      <c r="I45" s="138"/>
      <c r="J45" s="3457" t="s">
        <v>2181</v>
      </c>
      <c r="K45" s="3457"/>
      <c r="L45" s="3457"/>
      <c r="M45" s="3457"/>
      <c r="N45" s="3457"/>
      <c r="O45" s="3457"/>
    </row>
    <row r="46" spans="1:15" ht="14.25" customHeight="1">
      <c r="A46" s="3394" t="s">
        <v>2182</v>
      </c>
      <c r="B46" s="3395"/>
      <c r="C46" s="3395"/>
      <c r="D46" s="3395"/>
      <c r="E46" s="3395"/>
      <c r="F46" s="3395"/>
      <c r="G46" s="3396"/>
      <c r="H46" s="2475"/>
      <c r="I46" s="168"/>
      <c r="J46" s="1805">
        <v>1</v>
      </c>
      <c r="K46" s="3457" t="s">
        <v>2183</v>
      </c>
      <c r="L46" s="3457"/>
      <c r="M46" s="3477"/>
      <c r="N46" s="3477"/>
      <c r="O46" s="3477"/>
    </row>
    <row r="47" spans="1:15" ht="12" customHeight="1">
      <c r="A47" s="169" t="s">
        <v>2184</v>
      </c>
      <c r="B47" s="170"/>
      <c r="C47" s="171"/>
      <c r="D47" s="172" t="s">
        <v>2185</v>
      </c>
      <c r="E47" s="24" t="s">
        <v>2186</v>
      </c>
      <c r="F47" s="173" t="s">
        <v>2187</v>
      </c>
      <c r="G47" s="174" t="s">
        <v>2188</v>
      </c>
      <c r="H47" s="2475"/>
      <c r="I47" s="168"/>
      <c r="J47" s="1805">
        <v>2</v>
      </c>
      <c r="K47" s="3457" t="s">
        <v>2189</v>
      </c>
      <c r="L47" s="3457"/>
      <c r="M47" s="3478">
        <f>'数据-取费表'!B2</f>
        <v>43465</v>
      </c>
      <c r="N47" s="3478"/>
      <c r="O47" s="3478"/>
    </row>
    <row r="48" spans="1:15" ht="25.5">
      <c r="A48" s="3425" t="s">
        <v>2190</v>
      </c>
      <c r="B48" s="3408"/>
      <c r="C48" s="3408"/>
      <c r="D48" s="140">
        <f>IF(H48="情况1",0,IF(H48="情况2",D52,IF(H48="情况3",D53,IF(H48="情况4",D54))))</f>
        <v>0</v>
      </c>
      <c r="E48" s="1794" t="str">
        <f>IF(H48="情况4","(销售额-原购置价)×税（费）率","销售额×税（费）率")</f>
        <v>销售额×税（费）率</v>
      </c>
      <c r="F48" s="175" t="str">
        <f>IF(H48="情况1","免征",'数据-取费表'!B41)</f>
        <v>免征</v>
      </c>
      <c r="G48" s="2476" t="s">
        <v>2191</v>
      </c>
      <c r="H48" s="2477" t="s">
        <v>2192</v>
      </c>
      <c r="I48" s="2475"/>
      <c r="J48" s="1805">
        <v>3</v>
      </c>
      <c r="K48" s="3457" t="s">
        <v>2193</v>
      </c>
      <c r="L48" s="3457"/>
      <c r="M48" s="3479">
        <f ca="1">H101</f>
        <v>441</v>
      </c>
      <c r="N48" s="3479"/>
      <c r="O48" s="3479"/>
    </row>
    <row r="49" spans="1:35" ht="25.5" customHeight="1">
      <c r="A49" s="176" t="s">
        <v>2194</v>
      </c>
      <c r="B49" s="3393" t="s">
        <v>2195</v>
      </c>
      <c r="C49" s="3393"/>
      <c r="D49" s="177">
        <v>0</v>
      </c>
      <c r="E49" s="23" t="s">
        <v>2196</v>
      </c>
      <c r="F49" s="28" t="s">
        <v>34</v>
      </c>
      <c r="G49" s="3463"/>
      <c r="H49" s="138"/>
      <c r="I49" s="2478"/>
      <c r="J49" s="1805">
        <v>4</v>
      </c>
      <c r="K49" s="3457" t="str">
        <f>IF(项目基本情况!E8="房地产抵押价值","房地产抵押价值","抵押担保权已注销时的房地产抵押价值")</f>
        <v>抵押担保权已注销时的房地产抵押价值</v>
      </c>
      <c r="L49" s="3457"/>
      <c r="M49" s="3479" t="str">
        <f>IF(项目基本情况!E8="房地产抵押价值",H107,H109)</f>
        <v>——</v>
      </c>
      <c r="N49" s="3479"/>
      <c r="O49" s="3479"/>
    </row>
    <row r="50" spans="1:35" ht="25.5" customHeight="1">
      <c r="A50" s="178"/>
      <c r="B50" s="3393" t="s">
        <v>2197</v>
      </c>
      <c r="C50" s="3393"/>
      <c r="D50" s="179"/>
      <c r="E50" s="31"/>
      <c r="F50" s="180"/>
      <c r="G50" s="3464"/>
      <c r="H50" s="138"/>
      <c r="I50" s="2478"/>
      <c r="J50" s="3457" t="s">
        <v>2198</v>
      </c>
      <c r="K50" s="3457"/>
      <c r="L50" s="3457"/>
      <c r="M50" s="3457"/>
      <c r="N50" s="3457"/>
      <c r="O50" s="3457"/>
    </row>
    <row r="51" spans="1:35" ht="12" customHeight="1">
      <c r="A51" s="181"/>
      <c r="B51" s="3393" t="s">
        <v>2199</v>
      </c>
      <c r="C51" s="3393"/>
      <c r="D51" s="182"/>
      <c r="E51" s="30"/>
      <c r="F51" s="180"/>
      <c r="G51" s="3465"/>
      <c r="H51" s="138"/>
      <c r="I51" s="2478"/>
      <c r="J51" s="2479" t="s">
        <v>2200</v>
      </c>
      <c r="K51" s="3457" t="s">
        <v>2201</v>
      </c>
      <c r="L51" s="3457"/>
      <c r="M51" s="2479" t="s">
        <v>2202</v>
      </c>
      <c r="N51" s="2479" t="s">
        <v>2203</v>
      </c>
      <c r="O51" s="2479" t="s">
        <v>2204</v>
      </c>
    </row>
    <row r="52" spans="1:35" ht="24" customHeight="1">
      <c r="A52" s="183" t="s">
        <v>2205</v>
      </c>
      <c r="B52" s="3393" t="s">
        <v>2206</v>
      </c>
      <c r="C52" s="3393"/>
      <c r="D52" s="182">
        <f ca="1">ROUND(D45*'数据-取费表'!B41/(1+'数据-取费表'!C42),0)</f>
        <v>23</v>
      </c>
      <c r="E52" s="11" t="s">
        <v>2207</v>
      </c>
      <c r="F52" s="184">
        <f>'数据-取费表'!B41</f>
        <v>5.5000000000000007E-2</v>
      </c>
      <c r="G52" s="2480"/>
      <c r="H52" s="138"/>
      <c r="I52" s="2478"/>
      <c r="J52" s="1805">
        <v>1</v>
      </c>
      <c r="K52" s="3458" t="s">
        <v>2208</v>
      </c>
      <c r="L52" s="3458"/>
      <c r="M52" s="1747">
        <f>D48</f>
        <v>0</v>
      </c>
      <c r="N52" s="1805" t="str">
        <f>E48</f>
        <v>销售额×税（费）率</v>
      </c>
      <c r="O52" s="1748" t="str">
        <f>F48</f>
        <v>免征</v>
      </c>
    </row>
    <row r="53" spans="1:35" ht="12" customHeight="1">
      <c r="A53" s="183" t="s">
        <v>2209</v>
      </c>
      <c r="B53" s="3416" t="s">
        <v>2210</v>
      </c>
      <c r="C53" s="3417"/>
      <c r="D53" s="182">
        <f ca="1">ROUND(D45*'数据-取费表'!B41/(1+'数据-取费表'!C42),0)</f>
        <v>23</v>
      </c>
      <c r="E53" s="11" t="s">
        <v>2207</v>
      </c>
      <c r="F53" s="184">
        <f>'数据-取费表'!B41</f>
        <v>5.5000000000000007E-2</v>
      </c>
      <c r="G53" s="2480"/>
      <c r="H53" s="138"/>
      <c r="I53" s="2478"/>
      <c r="J53" s="1805">
        <v>2</v>
      </c>
      <c r="K53" s="3458" t="s">
        <v>2211</v>
      </c>
      <c r="L53" s="3458"/>
      <c r="M53" s="1747">
        <f t="shared" ref="M53:O54" ca="1" si="0">D55</f>
        <v>0</v>
      </c>
      <c r="N53" s="1805" t="str">
        <f t="shared" si="0"/>
        <v>销售额×税（费）率</v>
      </c>
      <c r="O53" s="1748">
        <f t="shared" si="0"/>
        <v>5.0000000000000001E-4</v>
      </c>
    </row>
    <row r="54" spans="1:35" ht="12" customHeight="1">
      <c r="A54" s="183" t="s">
        <v>2212</v>
      </c>
      <c r="B54" s="3416" t="s">
        <v>2213</v>
      </c>
      <c r="C54" s="3417"/>
      <c r="D54" s="182">
        <f ca="1">C68</f>
        <v>23</v>
      </c>
      <c r="E54" s="30" t="s">
        <v>2214</v>
      </c>
      <c r="F54" s="184">
        <f>'数据-取费表'!B41</f>
        <v>5.5000000000000007E-2</v>
      </c>
      <c r="G54" s="2480"/>
      <c r="H54" s="2481"/>
      <c r="I54" s="2478"/>
      <c r="J54" s="1805">
        <v>3</v>
      </c>
      <c r="K54" s="3458" t="s">
        <v>2215</v>
      </c>
      <c r="L54" s="3458"/>
      <c r="M54" s="1747">
        <f t="shared" ca="1" si="0"/>
        <v>250</v>
      </c>
      <c r="N54" s="1805" t="str">
        <f t="shared" si="0"/>
        <v>增值额×税（费）率</v>
      </c>
      <c r="O54" s="1749" t="str">
        <f t="shared" si="0"/>
        <v>——</v>
      </c>
    </row>
    <row r="55" spans="1:35" ht="24" customHeight="1">
      <c r="A55" s="3407" t="s">
        <v>2216</v>
      </c>
      <c r="B55" s="3408"/>
      <c r="C55" s="3408"/>
      <c r="D55" s="185">
        <f ca="1">IF(H55="个人住宅",0,ROUND(D45*I55,0))</f>
        <v>0</v>
      </c>
      <c r="E55" s="11" t="s">
        <v>2217</v>
      </c>
      <c r="F55" s="184">
        <f>IF(H55="正常",I55,"免征")</f>
        <v>5.0000000000000001E-4</v>
      </c>
      <c r="G55" s="2480"/>
      <c r="H55" s="2477" t="s">
        <v>2218</v>
      </c>
      <c r="I55" s="186">
        <f>'数据-取费表'!B49</f>
        <v>5.0000000000000001E-4</v>
      </c>
      <c r="J55" s="1805" t="str">
        <f>IF(H59="非个人房产","",4)</f>
        <v/>
      </c>
      <c r="K55" s="3458" t="str">
        <f>IF(H59="非个人房产","——","个人所得税")</f>
        <v>——</v>
      </c>
      <c r="L55" s="3458"/>
      <c r="M55" s="1750" t="str">
        <f>D59</f>
        <v>——</v>
      </c>
      <c r="N55" s="1803" t="str">
        <f>E59</f>
        <v>——</v>
      </c>
      <c r="O55" s="1751" t="str">
        <f>F59</f>
        <v>——</v>
      </c>
    </row>
    <row r="56" spans="1:35" ht="24.75">
      <c r="A56" s="3407" t="s">
        <v>2219</v>
      </c>
      <c r="B56" s="3408"/>
      <c r="C56" s="3408"/>
      <c r="D56" s="185">
        <f ca="1">IF(H56="个人住宅",D57,D58)</f>
        <v>250</v>
      </c>
      <c r="E56" s="11" t="s">
        <v>2220</v>
      </c>
      <c r="F56" s="184" t="str">
        <f>IF(H56="正常",F58,"免征")</f>
        <v>——</v>
      </c>
      <c r="G56" s="2482" t="s">
        <v>2221</v>
      </c>
      <c r="H56" s="2483" t="s">
        <v>2218</v>
      </c>
      <c r="I56" s="2484"/>
      <c r="J56" s="1805" t="str">
        <f>IF(项目基本情况!K6="上海银行",IF(J55="",4,J55+1),"")</f>
        <v/>
      </c>
      <c r="K56" s="3481" t="str">
        <f>IF(项目基本情况!K6="上海银行","其他处置费用","")</f>
        <v/>
      </c>
      <c r="L56" s="3482"/>
      <c r="M56" s="1747" t="str">
        <f>IF(项目基本情况!K6="上海银行",M69,"")</f>
        <v/>
      </c>
      <c r="N56" s="3484" t="str">
        <f>IF(项目基本情况!K6="上海银行","包含处置中涉及的律师、诉讼、拍卖、评估等费用","")</f>
        <v/>
      </c>
      <c r="O56" s="3485"/>
    </row>
    <row r="57" spans="1:35" ht="12.75">
      <c r="A57" s="183" t="s">
        <v>2194</v>
      </c>
      <c r="B57" s="3423" t="s">
        <v>2222</v>
      </c>
      <c r="C57" s="3432"/>
      <c r="D57" s="187">
        <v>0</v>
      </c>
      <c r="E57" s="23" t="s">
        <v>2196</v>
      </c>
      <c r="F57" s="155"/>
      <c r="G57" s="2480"/>
      <c r="H57" s="2484"/>
      <c r="I57" s="2484"/>
      <c r="J57" s="3458">
        <f>IF(AND(J55="",J56=""),4,IF(项目基本情况!K6="上海银行",结果表!J56+1,结果表!J55+1))</f>
        <v>4</v>
      </c>
      <c r="K57" s="3458" t="s">
        <v>2223</v>
      </c>
      <c r="L57" s="2485" t="s">
        <v>2224</v>
      </c>
      <c r="M57" s="1752"/>
      <c r="N57" s="1753">
        <f ca="1">SUMIF(M52:M56,"&lt;9e307")</f>
        <v>250</v>
      </c>
      <c r="O57" s="2486"/>
      <c r="P57" s="1746" t="e">
        <f ca="1">N57/M49</f>
        <v>#VALUE!</v>
      </c>
    </row>
    <row r="58" spans="1:35" ht="24.75">
      <c r="A58" s="183" t="s">
        <v>2205</v>
      </c>
      <c r="B58" s="3423" t="s">
        <v>2225</v>
      </c>
      <c r="C58" s="3424"/>
      <c r="D58" s="185">
        <f ca="1">IF(H58="转让取得",C81,C97)</f>
        <v>250</v>
      </c>
      <c r="E58" s="11" t="s">
        <v>2220</v>
      </c>
      <c r="F58" s="24" t="s">
        <v>34</v>
      </c>
      <c r="G58" s="2480"/>
      <c r="H58" s="2483" t="s">
        <v>2226</v>
      </c>
      <c r="I58" s="2484"/>
      <c r="J58" s="3458"/>
      <c r="K58" s="3458"/>
      <c r="L58" s="2485" t="s">
        <v>2227</v>
      </c>
      <c r="M58" s="1754"/>
      <c r="N58" s="2487" t="str">
        <f ca="1">NUMBERSTRING(INT(N57*10000),2)&amp;"元整"</f>
        <v>贰佰伍拾万元整</v>
      </c>
      <c r="O58" s="2488"/>
    </row>
    <row r="59" spans="1:35" ht="24.75" thickBot="1">
      <c r="A59" s="3461" t="s">
        <v>2228</v>
      </c>
      <c r="B59" s="3462"/>
      <c r="C59" s="3462"/>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459">
        <f>J57+1</f>
        <v>5</v>
      </c>
      <c r="K59" s="3458" t="s">
        <v>2230</v>
      </c>
      <c r="L59" s="1805" t="s">
        <v>2224</v>
      </c>
      <c r="M59" s="1755"/>
      <c r="N59" s="1756" t="e">
        <f ca="1">M49-N57</f>
        <v>#VALUE!</v>
      </c>
      <c r="O59" s="2490"/>
    </row>
    <row r="60" spans="1:35" ht="12" customHeight="1">
      <c r="A60" s="2491"/>
      <c r="B60" s="2413"/>
      <c r="C60" s="2413"/>
      <c r="D60" s="2413"/>
      <c r="E60" s="2161"/>
      <c r="F60" s="2484"/>
      <c r="G60" s="2484"/>
      <c r="H60" s="2492"/>
      <c r="I60" s="138"/>
      <c r="J60" s="3460"/>
      <c r="K60" s="3458"/>
      <c r="L60" s="2485" t="s">
        <v>2227</v>
      </c>
      <c r="M60" s="1754"/>
      <c r="N60" s="2487" t="e">
        <f ca="1">NUMBERSTRING(INT(N59*10000),2)&amp;"元整"</f>
        <v>#VALUE!</v>
      </c>
      <c r="O60" s="2488"/>
    </row>
    <row r="61" spans="1:35" ht="13.5" thickBot="1">
      <c r="A61" s="3405" t="s">
        <v>2231</v>
      </c>
      <c r="B61" s="3405"/>
      <c r="C61" s="3405"/>
      <c r="D61" s="3405"/>
      <c r="E61" s="3405"/>
      <c r="F61" s="2484"/>
      <c r="G61" s="2484"/>
      <c r="H61" s="2492"/>
      <c r="I61" s="138"/>
      <c r="J61" s="1805">
        <f>J59+1</f>
        <v>6</v>
      </c>
      <c r="K61" s="3458" t="s">
        <v>2232</v>
      </c>
      <c r="L61" s="3458"/>
      <c r="M61" s="1757"/>
      <c r="N61" s="1758" t="e">
        <f ca="1">ROUND(N59*10000/'数据-汇总表'!E3,0)</f>
        <v>#VALUE!</v>
      </c>
      <c r="O61" s="2493"/>
    </row>
    <row r="62" spans="1:35" ht="12.75">
      <c r="A62" s="3421" t="s">
        <v>2233</v>
      </c>
      <c r="B62" s="3422"/>
      <c r="C62" s="1797"/>
      <c r="D62" s="1797" t="s">
        <v>2234</v>
      </c>
      <c r="E62" s="192" t="s">
        <v>2235</v>
      </c>
      <c r="F62" s="2484"/>
      <c r="G62" s="2484"/>
      <c r="H62" s="2492"/>
      <c r="I62" s="138"/>
    </row>
    <row r="63" spans="1:35" ht="12.75">
      <c r="A63" s="203" t="s">
        <v>775</v>
      </c>
      <c r="B63" s="193" t="s">
        <v>2236</v>
      </c>
      <c r="C63" s="194">
        <f ca="1">ROUND((C64+C65)/(1+'数据-取费表'!C42),0)</f>
        <v>420</v>
      </c>
      <c r="D63" s="195"/>
      <c r="E63" s="196"/>
      <c r="F63" s="2484"/>
      <c r="G63" s="2484"/>
      <c r="H63" s="2492"/>
      <c r="I63" s="138"/>
      <c r="J63" s="3483" t="s">
        <v>2237</v>
      </c>
      <c r="K63" s="2494" t="s">
        <v>2238</v>
      </c>
      <c r="L63" s="1745"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441</v>
      </c>
      <c r="D64" s="200" t="s">
        <v>32</v>
      </c>
      <c r="E64" s="201"/>
      <c r="F64" s="2484"/>
      <c r="G64" s="2484"/>
      <c r="H64" s="2492"/>
      <c r="I64" s="138"/>
      <c r="J64" s="3483"/>
      <c r="K64" s="2494" t="s">
        <v>2240</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483"/>
      <c r="K65" s="2494" t="s">
        <v>2243</v>
      </c>
      <c r="L65" s="1745"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69" t="s">
        <v>1367</v>
      </c>
      <c r="F66" s="2484"/>
      <c r="G66" s="2484"/>
      <c r="H66" s="2492"/>
      <c r="I66" s="138"/>
      <c r="J66" s="3483"/>
      <c r="K66" s="2494" t="s">
        <v>2245</v>
      </c>
      <c r="L66" s="1745" t="e">
        <f>M49*0.5%</f>
        <v>#VALUE!</v>
      </c>
      <c r="M66" s="24" t="e">
        <f>IF(L66&gt;0.5,0.5,ROUND(L66,0))</f>
        <v>#VALUE!</v>
      </c>
      <c r="N66" s="138" t="s">
        <v>2246</v>
      </c>
      <c r="Z66" s="2418"/>
      <c r="AI66" s="2419"/>
    </row>
    <row r="67" spans="1:35" ht="14.25" customHeight="1">
      <c r="A67" s="203" t="s">
        <v>773</v>
      </c>
      <c r="B67" s="204" t="s">
        <v>2247</v>
      </c>
      <c r="C67" s="207">
        <f ca="1">C63-C66</f>
        <v>420</v>
      </c>
      <c r="D67" s="200" t="s">
        <v>32</v>
      </c>
      <c r="E67" s="201"/>
      <c r="F67" s="2484"/>
      <c r="G67" s="2484"/>
      <c r="H67" s="2492"/>
      <c r="I67" s="138"/>
      <c r="J67" s="3483"/>
      <c r="K67" s="2494" t="s">
        <v>2248</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23</v>
      </c>
      <c r="D68" s="211">
        <f>'数据-取费表'!B41</f>
        <v>5.5000000000000007E-2</v>
      </c>
      <c r="E68" s="212"/>
      <c r="F68" s="2484"/>
      <c r="G68" s="2484"/>
      <c r="H68" s="2492"/>
      <c r="I68" s="138"/>
      <c r="J68" s="3483"/>
      <c r="K68" s="2494" t="s">
        <v>2250</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483"/>
      <c r="K69" s="2494" t="s">
        <v>2251</v>
      </c>
      <c r="L69" s="2500"/>
      <c r="M69" s="24" t="e">
        <f>ROUND(SUM(M63:M68),0)</f>
        <v>#VALUE!</v>
      </c>
      <c r="N69" s="1746"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442" t="s">
        <v>2252</v>
      </c>
      <c r="B70" s="3443"/>
      <c r="C70" s="3443"/>
      <c r="D70" s="3443"/>
      <c r="E70" s="3443"/>
      <c r="F70" s="3443"/>
      <c r="G70" s="3443"/>
      <c r="H70" s="344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21" t="s">
        <v>2233</v>
      </c>
      <c r="B71" s="3422"/>
      <c r="C71" s="1797"/>
      <c r="D71" s="1797"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420</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416" t="s">
        <v>2261</v>
      </c>
      <c r="F76" s="3393"/>
      <c r="G76" s="3393"/>
      <c r="H76" s="344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v>
      </c>
      <c r="D78" s="226">
        <f>'数据-取费表'!B43</f>
        <v>5.000000000000001E-3</v>
      </c>
      <c r="E78" s="3402" t="s">
        <v>2266</v>
      </c>
      <c r="F78" s="3403"/>
      <c r="G78" s="3403"/>
      <c r="H78" s="341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418</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209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42" t="s">
        <v>2270</v>
      </c>
      <c r="B83" s="3443"/>
      <c r="C83" s="3443"/>
      <c r="D83" s="3443"/>
      <c r="E83" s="3443"/>
      <c r="F83" s="3443"/>
      <c r="G83" s="3443"/>
      <c r="H83" s="344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21" t="s">
        <v>2233</v>
      </c>
      <c r="B84" s="3422"/>
      <c r="C84" s="1797"/>
      <c r="D84" s="1797"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420</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3"/>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402" t="s">
        <v>2279</v>
      </c>
      <c r="F91" s="3403"/>
      <c r="G91" s="3403"/>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02" t="s">
        <v>2283</v>
      </c>
      <c r="F92" s="3403"/>
      <c r="G92" s="3403"/>
      <c r="H92" s="341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v>
      </c>
      <c r="D93" s="226">
        <f>'数据-取费表'!B43</f>
        <v>5.000000000000001E-3</v>
      </c>
      <c r="E93" s="3402" t="s">
        <v>2266</v>
      </c>
      <c r="F93" s="3403"/>
      <c r="G93" s="3403"/>
      <c r="H93" s="341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13" t="s">
        <v>2287</v>
      </c>
      <c r="F94" s="3414"/>
      <c r="G94" s="3414"/>
      <c r="H94" s="341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418</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209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387" t="s">
        <v>2289</v>
      </c>
      <c r="B100" s="3388"/>
      <c r="C100" s="3388"/>
      <c r="D100" s="3404"/>
      <c r="E100" s="3388" t="s">
        <v>2290</v>
      </c>
      <c r="F100" s="3388"/>
      <c r="G100" s="3388"/>
      <c r="H100" s="3404"/>
      <c r="I100" s="138"/>
    </row>
    <row r="101" spans="1:35" ht="18.75" customHeight="1">
      <c r="A101" s="3466" t="s">
        <v>2291</v>
      </c>
      <c r="B101" s="3467"/>
      <c r="C101" s="735" t="str">
        <f>C4</f>
        <v>比较法-办公</v>
      </c>
      <c r="D101" s="736" t="str">
        <f>D4</f>
        <v>收益法</v>
      </c>
      <c r="E101" s="3480" t="s">
        <v>2292</v>
      </c>
      <c r="F101" s="3434"/>
      <c r="G101" s="2515" t="s">
        <v>2293</v>
      </c>
      <c r="H101" s="1047">
        <f ca="1">H118</f>
        <v>441</v>
      </c>
      <c r="I101" s="138"/>
    </row>
    <row r="102" spans="1:35" ht="18.75" customHeight="1">
      <c r="A102" s="3436" t="s">
        <v>2294</v>
      </c>
      <c r="B102" s="2515" t="s">
        <v>2293</v>
      </c>
      <c r="C102" s="735">
        <f ca="1">C19</f>
        <v>525</v>
      </c>
      <c r="D102" s="736">
        <f ca="1">D19</f>
        <v>338</v>
      </c>
      <c r="E102" s="3480"/>
      <c r="F102" s="3434"/>
      <c r="G102" s="2515" t="s">
        <v>2295</v>
      </c>
      <c r="H102" s="371">
        <f ca="1">I118</f>
        <v>129</v>
      </c>
      <c r="I102" s="138"/>
    </row>
    <row r="103" spans="1:35" ht="42.75" customHeight="1">
      <c r="A103" s="3436"/>
      <c r="B103" s="2515" t="s">
        <v>2295</v>
      </c>
      <c r="C103" s="737">
        <f ca="1">C20</f>
        <v>36218</v>
      </c>
      <c r="D103" s="738">
        <f ca="1">D20</f>
        <v>23310</v>
      </c>
      <c r="E103" s="3475" t="s">
        <v>2296</v>
      </c>
      <c r="F103" s="3476"/>
      <c r="G103" s="2516" t="s">
        <v>2297</v>
      </c>
      <c r="H103" s="1047">
        <f>IF(D36="正常操作",H104+H105+H106,H105+H106)</f>
        <v>0</v>
      </c>
      <c r="I103" s="138"/>
    </row>
    <row r="104" spans="1:35" ht="18.75" customHeight="1">
      <c r="A104" s="3436" t="s">
        <v>2298</v>
      </c>
      <c r="B104" s="2517" t="s">
        <v>2293</v>
      </c>
      <c r="C104" s="739">
        <f ca="1">H118</f>
        <v>441</v>
      </c>
      <c r="D104" s="740"/>
      <c r="E104" s="2262" t="s">
        <v>2299</v>
      </c>
      <c r="F104" s="2253"/>
      <c r="G104" s="2516" t="s">
        <v>2297</v>
      </c>
      <c r="H104" s="1048">
        <f>IF(D36="同一抵押权人同一抵押物续贷",C36&amp;"（未扣减，详见特别提示）",C36)</f>
        <v>0</v>
      </c>
      <c r="I104" s="138"/>
    </row>
    <row r="105" spans="1:35" ht="18.75" customHeight="1" thickBot="1">
      <c r="A105" s="3437"/>
      <c r="B105" s="2518" t="s">
        <v>2295</v>
      </c>
      <c r="C105" s="741">
        <f ca="1">I118</f>
        <v>129</v>
      </c>
      <c r="D105" s="742"/>
      <c r="E105" s="2262" t="s">
        <v>2300</v>
      </c>
      <c r="F105" s="2253"/>
      <c r="G105" s="2516" t="s">
        <v>2297</v>
      </c>
      <c r="H105" s="1048">
        <f>C37</f>
        <v>0</v>
      </c>
      <c r="I105" s="138"/>
    </row>
    <row r="106" spans="1:35" ht="18.75" customHeight="1">
      <c r="A106" s="2413" t="s">
        <v>2301</v>
      </c>
      <c r="B106" s="2413"/>
      <c r="C106" s="2413"/>
      <c r="D106" s="2413"/>
      <c r="E106" s="2519" t="s">
        <v>2302</v>
      </c>
      <c r="F106" s="2253"/>
      <c r="G106" s="2516" t="s">
        <v>2297</v>
      </c>
      <c r="H106" s="1048">
        <f>C38</f>
        <v>0</v>
      </c>
      <c r="I106" s="138"/>
    </row>
    <row r="107" spans="1:35" ht="18.75" customHeight="1">
      <c r="A107" s="138"/>
      <c r="B107" s="138"/>
      <c r="C107" s="138"/>
      <c r="D107" s="138"/>
      <c r="E107" s="3433" t="str">
        <f>IF(项目基本情况!E8="已注销","——","3.房地产抵押价值")</f>
        <v>3.房地产抵押价值</v>
      </c>
      <c r="F107" s="3434"/>
      <c r="G107" s="2515" t="s">
        <v>2293</v>
      </c>
      <c r="H107" s="1047">
        <f ca="1">IF(E107="——","——",H101-H103)</f>
        <v>441</v>
      </c>
      <c r="I107" s="138"/>
    </row>
    <row r="108" spans="1:35" ht="18.75" customHeight="1">
      <c r="A108" s="138"/>
      <c r="B108" s="138"/>
      <c r="C108" s="138"/>
      <c r="D108" s="138"/>
      <c r="E108" s="3433"/>
      <c r="F108" s="3434"/>
      <c r="G108" s="2515" t="s">
        <v>2295</v>
      </c>
      <c r="H108" s="371">
        <f ca="1">ROUND(H107*10000/'数据-汇总表'!E3,0)</f>
        <v>129</v>
      </c>
      <c r="I108" s="138"/>
    </row>
    <row r="109" spans="1:35" ht="18.75" customHeight="1">
      <c r="A109" s="138"/>
      <c r="B109" s="138"/>
      <c r="C109" s="138"/>
      <c r="D109" s="138"/>
      <c r="E109" s="3433" t="str">
        <f>IF(项目基本情况!E8="已注销及未注销","4.抵押担保权已注销时的房地产抵押价值",IF(项目基本情况!E8="已注销","3.抵押担保权已注销时的房地产抵押价值","——"))</f>
        <v>——</v>
      </c>
      <c r="F109" s="3434"/>
      <c r="G109" s="2515" t="s">
        <v>2293</v>
      </c>
      <c r="H109" s="348" t="str">
        <f>IF(E109="——","——",H101-H105-H106)</f>
        <v>——</v>
      </c>
      <c r="I109" s="138"/>
    </row>
    <row r="110" spans="1:35" ht="18.75" customHeight="1">
      <c r="A110" s="138"/>
      <c r="B110" s="138"/>
      <c r="C110" s="138"/>
      <c r="D110" s="138"/>
      <c r="E110" s="3433"/>
      <c r="F110" s="3434"/>
      <c r="G110" s="2515" t="s">
        <v>2295</v>
      </c>
      <c r="H110" s="371" t="str">
        <f>IF(H109="——","——",ROUND(H109*10000/'数据-汇总表'!E3,0))</f>
        <v>——</v>
      </c>
      <c r="I110" s="138"/>
    </row>
    <row r="111" spans="1:35" ht="18.75" customHeight="1">
      <c r="A111" s="138"/>
      <c r="B111" s="138"/>
      <c r="C111" s="138"/>
      <c r="D111" s="138"/>
      <c r="E111" s="3468" t="str">
        <f>IF(项目基本情况!E9="抵押净值",IF(OR(项目基本情况!E8="已注销",项目基本情况!E8="房地产抵押价值"),"4.抵押净值","5.抵押净值"),"——")</f>
        <v>——</v>
      </c>
      <c r="F111" s="3469"/>
      <c r="G111" s="2515" t="s">
        <v>2293</v>
      </c>
      <c r="H111" s="1047" t="str">
        <f>IF(E111="——","——",N59)</f>
        <v>——</v>
      </c>
      <c r="I111" s="138"/>
    </row>
    <row r="112" spans="1:35" ht="18.75" customHeight="1" thickBot="1">
      <c r="A112" s="138"/>
      <c r="B112" s="138"/>
      <c r="C112" s="138"/>
      <c r="D112" s="138"/>
      <c r="E112" s="3470"/>
      <c r="F112" s="3471"/>
      <c r="G112" s="2520" t="s">
        <v>2295</v>
      </c>
      <c r="H112" s="789" t="str">
        <f>IF(E111="——","——",N61)</f>
        <v>——</v>
      </c>
      <c r="I112" s="138"/>
    </row>
    <row r="113" spans="1:11" ht="18.75" customHeight="1">
      <c r="A113" s="138"/>
      <c r="B113" s="138"/>
      <c r="C113" s="138"/>
      <c r="D113" s="138"/>
      <c r="E113" s="3438" t="s">
        <v>2301</v>
      </c>
      <c r="F113" s="3438"/>
      <c r="G113" s="3438"/>
      <c r="H113" s="3438"/>
      <c r="I113" s="138"/>
    </row>
    <row r="114" spans="1:11" ht="3.75" customHeight="1">
      <c r="A114" s="2413"/>
      <c r="B114" s="2413"/>
      <c r="C114" s="2413"/>
      <c r="D114" s="2413"/>
      <c r="E114" s="2491"/>
      <c r="F114" s="2491"/>
      <c r="G114" s="2491"/>
      <c r="H114" s="2491"/>
      <c r="I114" s="2413"/>
    </row>
    <row r="115" spans="1:11" ht="18.75" customHeight="1">
      <c r="A115" s="3451" t="s">
        <v>2303</v>
      </c>
      <c r="B115" s="3452"/>
      <c r="C115" s="3452"/>
      <c r="D115" s="3452"/>
      <c r="E115" s="3452"/>
      <c r="F115" s="3452"/>
      <c r="G115" s="3452"/>
      <c r="H115" s="3452"/>
      <c r="I115" s="3453"/>
    </row>
    <row r="116" spans="1:11" ht="27" customHeight="1">
      <c r="A116" s="3344" t="s">
        <v>2304</v>
      </c>
      <c r="B116" s="3439" t="s">
        <v>2305</v>
      </c>
      <c r="C116" s="3439" t="s">
        <v>2306</v>
      </c>
      <c r="D116" s="3455" t="s">
        <v>2307</v>
      </c>
      <c r="E116" s="3456"/>
      <c r="F116" s="3447" t="s">
        <v>2308</v>
      </c>
      <c r="G116" s="3447"/>
      <c r="H116" s="3344" t="s">
        <v>2309</v>
      </c>
      <c r="I116" s="3344"/>
    </row>
    <row r="117" spans="1:11" ht="18.75" customHeight="1">
      <c r="A117" s="3344"/>
      <c r="B117" s="3440"/>
      <c r="C117" s="3440"/>
      <c r="D117" s="1791" t="s">
        <v>2310</v>
      </c>
      <c r="E117" s="1791" t="s">
        <v>2311</v>
      </c>
      <c r="F117" s="1791" t="s">
        <v>2310</v>
      </c>
      <c r="G117" s="1791" t="s">
        <v>2312</v>
      </c>
      <c r="H117" s="1791" t="s">
        <v>2310</v>
      </c>
      <c r="I117" s="1791" t="s">
        <v>2312</v>
      </c>
    </row>
    <row r="118" spans="1:11" ht="24.75" customHeight="1">
      <c r="A118" s="2521" t="str">
        <f>项目基本情况!S2</f>
        <v>北京市昌平区北七家镇1、2、4、7房地产</v>
      </c>
      <c r="B118" s="1791">
        <f>M18</f>
        <v>34081.78</v>
      </c>
      <c r="C118" s="1791">
        <f>M19</f>
        <v>8774.68</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441</v>
      </c>
      <c r="I118" s="1791">
        <f ca="1">ROUND(IF(D32="楼面单价",C32,H118*10000/B118),0)</f>
        <v>129</v>
      </c>
    </row>
    <row r="119" spans="1:11" ht="18.75" customHeight="1">
      <c r="A119" s="3344" t="s">
        <v>2313</v>
      </c>
      <c r="B119" s="3344"/>
      <c r="C119" s="3344"/>
      <c r="D119" s="3444" t="e">
        <f ca="1">NUMBERSTRING(INT(D118*10000),2)&amp;"元整"</f>
        <v>#REF!</v>
      </c>
      <c r="E119" s="3446"/>
      <c r="F119" s="3444" t="e">
        <f ca="1">NUMBERSTRING(INT(F118*10000),2)&amp;"元整"</f>
        <v>#REF!</v>
      </c>
      <c r="G119" s="3446"/>
      <c r="H119" s="3444" t="str">
        <f ca="1">NUMBERSTRING(INT(H118*10000),2)&amp;"元整"</f>
        <v>肆佰肆拾壹万元整</v>
      </c>
      <c r="I119" s="3446"/>
    </row>
    <row r="120" spans="1:11" ht="18.75" customHeight="1">
      <c r="A120" s="3472" t="str">
        <f>IF(项目基本情况!B9="房地产市场价值","",MID(E103,3,LEN(E103)-2))</f>
        <v>估价师知悉的法定优先受偿款</v>
      </c>
      <c r="B120" s="3473"/>
      <c r="C120" s="3474"/>
      <c r="D120" s="3472">
        <f>H103</f>
        <v>0</v>
      </c>
      <c r="E120" s="3473"/>
      <c r="F120" s="3473"/>
      <c r="G120" s="3473"/>
      <c r="H120" s="3473"/>
      <c r="I120" s="3474"/>
      <c r="K120" s="2418" t="str">
        <f>IF(D120=0,"故，本次评估不存在"&amp;A120,"故，本次评估"&amp;A120&amp;"为人民币"&amp;D120&amp;"万元整。")</f>
        <v>故，本次评估不存在估价师知悉的法定优先受偿款</v>
      </c>
    </row>
    <row r="121" spans="1:11" ht="18.75" customHeight="1">
      <c r="A121" s="3448" t="s">
        <v>2313</v>
      </c>
      <c r="B121" s="3449"/>
      <c r="C121" s="3450"/>
      <c r="D121" s="3444" t="str">
        <f>IF(D120=0,"零元整",NUMBERSTRING(INT(D120*10000),2)&amp;"元整")</f>
        <v>零元整</v>
      </c>
      <c r="E121" s="3445"/>
      <c r="F121" s="3445"/>
      <c r="G121" s="3445"/>
      <c r="H121" s="3445"/>
      <c r="I121" s="3446"/>
    </row>
    <row r="122" spans="1:11" ht="18.75" customHeight="1">
      <c r="A122" s="3435" t="str">
        <f>IF(项目基本情况!B9="房地产市场价值","",MID(E107,3,LEN(E107)-2))</f>
        <v>房地产抵押价值</v>
      </c>
      <c r="B122" s="3435"/>
      <c r="C122" s="3435"/>
      <c r="D122" s="3472">
        <f ca="1">H107</f>
        <v>441</v>
      </c>
      <c r="E122" s="3473"/>
      <c r="F122" s="3473"/>
      <c r="G122" s="3473"/>
      <c r="H122" s="3473"/>
      <c r="I122" s="3474"/>
    </row>
    <row r="123" spans="1:11" ht="18.75" customHeight="1">
      <c r="A123" s="3344" t="s">
        <v>2313</v>
      </c>
      <c r="B123" s="3344"/>
      <c r="C123" s="3344"/>
      <c r="D123" s="3444" t="str">
        <f ca="1">NUMBERSTRING(INT(D122*10000),2)&amp;"元整"</f>
        <v>肆佰肆拾壹万元整</v>
      </c>
      <c r="E123" s="3445"/>
      <c r="F123" s="3445"/>
      <c r="G123" s="3445"/>
      <c r="H123" s="3445"/>
      <c r="I123" s="3446"/>
    </row>
    <row r="124" spans="1:11" ht="18.75" customHeight="1">
      <c r="A124" s="3435" t="str">
        <f>IF(项目基本情况!B9="房地产市场价值","",MID(E109,3,LEN(E109)-2))</f>
        <v/>
      </c>
      <c r="B124" s="3435"/>
      <c r="C124" s="3435"/>
      <c r="D124" s="3472" t="str">
        <f>H109</f>
        <v>——</v>
      </c>
      <c r="E124" s="3473"/>
      <c r="F124" s="3473"/>
      <c r="G124" s="3473"/>
      <c r="H124" s="3473"/>
      <c r="I124" s="3474"/>
    </row>
    <row r="125" spans="1:11" ht="18.75" customHeight="1">
      <c r="A125" s="3344" t="s">
        <v>2313</v>
      </c>
      <c r="B125" s="3344"/>
      <c r="C125" s="3344"/>
      <c r="D125" s="3444" t="e">
        <f>NUMBERSTRING(INT(D124*10000),2)&amp;"元整"</f>
        <v>#VALUE!</v>
      </c>
      <c r="E125" s="3445"/>
      <c r="F125" s="3445"/>
      <c r="G125" s="3445"/>
      <c r="H125" s="3445"/>
      <c r="I125" s="3446"/>
    </row>
    <row r="126" spans="1:11" ht="18.75" customHeight="1">
      <c r="A126" s="3435" t="str">
        <f>IF(项目基本情况!B9="房地产市场价值","",MID(E111,3,LEN(E111)-2))</f>
        <v/>
      </c>
      <c r="B126" s="3435"/>
      <c r="C126" s="3435"/>
      <c r="D126" s="3472" t="str">
        <f>H111</f>
        <v>——</v>
      </c>
      <c r="E126" s="3473"/>
      <c r="F126" s="3473"/>
      <c r="G126" s="3473"/>
      <c r="H126" s="3473"/>
      <c r="I126" s="3474"/>
    </row>
    <row r="127" spans="1:11" ht="18.75" customHeight="1">
      <c r="A127" s="3344" t="s">
        <v>2313</v>
      </c>
      <c r="B127" s="3344"/>
      <c r="C127" s="3344"/>
      <c r="D127" s="3444" t="e">
        <f>NUMBERSTRING(INT(D126*10000),2)&amp;"元整"</f>
        <v>#VALUE!</v>
      </c>
      <c r="E127" s="3445"/>
      <c r="F127" s="3445"/>
      <c r="G127" s="3445"/>
      <c r="H127" s="3445"/>
      <c r="I127" s="3446"/>
    </row>
    <row r="128" spans="1:11" ht="21.75" customHeight="1">
      <c r="A128" s="3454" t="s">
        <v>2314</v>
      </c>
      <c r="B128" s="3454"/>
      <c r="C128" s="3454"/>
      <c r="D128" s="3454"/>
      <c r="E128" s="3454"/>
      <c r="F128" s="3454"/>
      <c r="G128" s="3454"/>
      <c r="H128" s="3454"/>
      <c r="I128" s="3454"/>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2317</v>
      </c>
      <c r="G135" s="2539"/>
      <c r="H135" s="2539"/>
      <c r="I135" s="2540" t="s">
        <v>2318</v>
      </c>
    </row>
    <row r="136" spans="1:35" ht="21.75" customHeight="1">
      <c r="A136" s="794"/>
      <c r="B136" s="2541"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2320</v>
      </c>
    </row>
    <row r="139" spans="1:35" ht="21.75" customHeight="1">
      <c r="A139" s="794"/>
      <c r="B139" s="2541" t="s">
        <v>2321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2320</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5">
        <f>MATCH(B1,'数据-取费表'!A6:A16,0)+5</f>
        <v>8</v>
      </c>
    </row>
    <row r="2" spans="1:9" s="244" customFormat="1" ht="18" customHeight="1">
      <c r="A2" s="245" t="s">
        <v>2323</v>
      </c>
      <c r="B2" s="246">
        <f ca="1">IF(D2="——",C52,C52-E2)</f>
        <v>1953</v>
      </c>
      <c r="C2" s="243" t="s">
        <v>2324</v>
      </c>
      <c r="D2" s="2544" t="s">
        <v>70</v>
      </c>
      <c r="E2" s="1436"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573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0</v>
      </c>
      <c r="D8" s="266"/>
      <c r="E8" s="264"/>
      <c r="F8" s="265"/>
      <c r="G8" s="2547"/>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150</v>
      </c>
      <c r="F9" s="265"/>
      <c r="G9" s="2548"/>
      <c r="H9" s="1386"/>
      <c r="I9" s="2549" t="s">
        <v>2340</v>
      </c>
    </row>
    <row r="10" spans="1:9" s="258" customFormat="1" ht="13.5" customHeight="1">
      <c r="A10" s="952" t="s">
        <v>801</v>
      </c>
      <c r="B10" s="268" t="s">
        <v>2341</v>
      </c>
      <c r="C10" s="269">
        <f ca="1">ROUND(D10*E10/10000,0)</f>
        <v>648</v>
      </c>
      <c r="D10" s="1034">
        <f ca="1">IF(B1="",'数据-汇总表'!E6,IF(INDIRECT("'数据-取费表'!c"&amp;$G$1)="住宅",INDIRECT("'数据-取费表'!s"&amp;$G$1),INDIRECT("'数据-取费表'!k"&amp;$G$1)+INDIRECT("'数据-取费表'!s"&amp;$G$1)))</f>
        <v>34081.78</v>
      </c>
      <c r="E10" s="269">
        <f>'数据-取费表'!B28</f>
        <v>190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682</v>
      </c>
      <c r="D19" s="1038">
        <f ca="1">D9+D10</f>
        <v>34081.78</v>
      </c>
      <c r="E19" s="255">
        <f>'数据-取费表'!B31</f>
        <v>200</v>
      </c>
      <c r="F19" s="275"/>
      <c r="G19" s="2547"/>
    </row>
    <row r="20" spans="1:7" s="258" customFormat="1" ht="13.5" customHeight="1">
      <c r="A20" s="299" t="s">
        <v>2354</v>
      </c>
      <c r="B20" s="254" t="s">
        <v>2355</v>
      </c>
      <c r="C20" s="276">
        <f ca="1">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67</v>
      </c>
      <c r="D22" s="279">
        <f ca="1">C26</f>
        <v>1E-3</v>
      </c>
      <c r="E22" s="280" t="s">
        <v>2359</v>
      </c>
      <c r="F22" s="281">
        <f ca="1">'数据-取费表'!B40</f>
        <v>4.7500000000000001E-2</v>
      </c>
      <c r="G22" s="278" t="str">
        <f>IF('数据-取费表'!B22&lt;=1,"单利计息","复利计息")</f>
        <v>复利计息</v>
      </c>
    </row>
    <row r="23" spans="1:7" s="258" customFormat="1" ht="13.5" customHeight="1">
      <c r="A23" s="953" t="s">
        <v>2363</v>
      </c>
      <c r="B23" s="259" t="s">
        <v>2364</v>
      </c>
      <c r="C23" s="1351">
        <f ca="1">ROUND(IF('数据-取费表'!B22&lt;=1,C5*F22*'数据-取费表'!B23,C5*(POWER((1+F22),'数据-取费表'!B23)-1)),0)</f>
        <v>0</v>
      </c>
      <c r="D23" s="282"/>
      <c r="E23" s="282"/>
      <c r="F23" s="283"/>
      <c r="G23" s="284" t="s">
        <v>2365</v>
      </c>
    </row>
    <row r="24" spans="1:7" s="258" customFormat="1" ht="13.5" customHeight="1">
      <c r="A24" s="953" t="s">
        <v>2366</v>
      </c>
      <c r="B24" s="259" t="s">
        <v>2367</v>
      </c>
      <c r="C24" s="1351">
        <f ca="1">ROUND(IF('数据-取费表'!B22&lt;=1,C19*F22*('数据-取费表'!B19/2+'数据-取费表'!B21),C19*(POWER((1+F22),('数据-取费表'!B19/2+'数据-取费表'!B21))-1)),0)</f>
        <v>66</v>
      </c>
      <c r="D24" s="282"/>
      <c r="E24" s="282"/>
      <c r="F24" s="283"/>
      <c r="G24" s="284" t="s">
        <v>2368</v>
      </c>
    </row>
    <row r="25" spans="1:7" s="258" customFormat="1" ht="24">
      <c r="A25" s="953" t="s">
        <v>2369</v>
      </c>
      <c r="B25" s="259" t="s">
        <v>2370</v>
      </c>
      <c r="C25" s="1351">
        <f ca="1">ROUND(IF('数据-取费表'!B22&lt;=1,C20*F22*'数据-取费表'!B23/2,C20*(POWER((1+F22),'数据-取费表'!B23/2)-1)),0)</f>
        <v>1</v>
      </c>
      <c r="D25" s="282"/>
      <c r="E25" s="285"/>
      <c r="F25" s="283"/>
      <c r="G25" s="286" t="s">
        <v>2371</v>
      </c>
    </row>
    <row r="26" spans="1:7" s="258" customFormat="1">
      <c r="A26" s="95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139</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ROUND((C5+C19+C20)*F27*'数据-取费表'!B21/'数据-取费表'!B20,0)</f>
        <v>139</v>
      </c>
      <c r="D28" s="279"/>
      <c r="E28" s="280"/>
      <c r="F28" s="290"/>
      <c r="G28" s="291"/>
    </row>
    <row r="29" spans="1:7" s="258" customFormat="1" ht="13.5" customHeight="1">
      <c r="A29" s="953"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978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730</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46</v>
      </c>
      <c r="D34" s="261"/>
      <c r="E34" s="264"/>
      <c r="F34" s="301">
        <f ca="1">IF('数据-取费表'!B24=0,1,IF(B1="",'数据-取费表'!N16,INDIRECT("'数据-取费表'!n"&amp;$G$1)))</f>
        <v>1</v>
      </c>
      <c r="G34" s="263" t="s">
        <v>2387</v>
      </c>
    </row>
    <row r="35" spans="1:7" ht="13.5" customHeight="1">
      <c r="A35" s="953" t="s">
        <v>796</v>
      </c>
      <c r="B35" s="259" t="s">
        <v>2388</v>
      </c>
      <c r="C35" s="264">
        <f ca="1">ROUND(C34*F35,0)</f>
        <v>1</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3" t="s">
        <v>798</v>
      </c>
      <c r="B37" s="259" t="s">
        <v>2392</v>
      </c>
      <c r="C37" s="293">
        <f ca="1">ROUND(E37*D37*F34/10000,0)</f>
        <v>682</v>
      </c>
      <c r="D37" s="261">
        <f ca="1">D19</f>
        <v>34081.78</v>
      </c>
      <c r="E37" s="293">
        <f>'数据-取费表'!B35</f>
        <v>200</v>
      </c>
      <c r="F37" s="303"/>
      <c r="G37" s="305" t="s">
        <v>2393</v>
      </c>
    </row>
    <row r="38" spans="1:7" ht="13.5" customHeight="1">
      <c r="A38" s="953"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36</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ROUND(IF('数据-取费表'!B22&lt;=1,C33*F22*'数据-取费表'!B21/2,C33*(POWER((1+F22),'数据-取费表'!B21/2)-1)),0)</f>
        <v>35</v>
      </c>
      <c r="D42" s="282"/>
      <c r="E42" s="282"/>
      <c r="F42" s="283"/>
      <c r="G42" s="3486" t="s">
        <v>2405</v>
      </c>
    </row>
    <row r="43" spans="1:7" ht="13.5" customHeight="1">
      <c r="A43" s="953" t="s">
        <v>792</v>
      </c>
      <c r="B43" s="259" t="s">
        <v>2406</v>
      </c>
      <c r="C43" s="282">
        <f ca="1">ROUND(IF('数据-取费表'!B22&lt;=1,C39*F22*'数据-取费表'!B21/2,C39*(POWER((1+F22),'数据-取费表'!B21/2)-1)),0)</f>
        <v>1</v>
      </c>
      <c r="D43" s="282"/>
      <c r="E43" s="282"/>
      <c r="F43" s="283"/>
      <c r="G43" s="3487"/>
    </row>
    <row r="44" spans="1:7" ht="13.5" customHeight="1">
      <c r="A44" s="953" t="s">
        <v>793</v>
      </c>
      <c r="B44" s="259" t="s">
        <v>2407</v>
      </c>
      <c r="C44" s="282">
        <f ca="1">ROUND(IF('数据-取费表'!B22&lt;=1,C40*F22*'数据-取费表'!B21/2,C40*(POWER((1+F22),'数据-取费表'!B21/2)-1)),4)</f>
        <v>1E-3</v>
      </c>
      <c r="D44" s="282"/>
      <c r="E44" s="282"/>
      <c r="F44" s="283"/>
      <c r="G44" s="3488"/>
    </row>
    <row r="45" spans="1:7" s="258" customFormat="1" ht="13.5" customHeight="1">
      <c r="A45" s="299" t="s">
        <v>2408</v>
      </c>
      <c r="B45" s="288" t="s">
        <v>2374</v>
      </c>
      <c r="C45" s="289">
        <f ca="1">C46</f>
        <v>149</v>
      </c>
      <c r="D45" s="279">
        <f ca="1">C47</f>
        <v>4.0000000000000001E-3</v>
      </c>
      <c r="E45" s="280" t="s">
        <v>2400</v>
      </c>
      <c r="F45" s="290"/>
      <c r="G45" s="291" t="s">
        <v>2409</v>
      </c>
    </row>
    <row r="46" spans="1:7" s="258" customFormat="1" ht="13.5" customHeight="1">
      <c r="A46" s="953" t="s">
        <v>791</v>
      </c>
      <c r="B46" s="292" t="s">
        <v>2410</v>
      </c>
      <c r="C46" s="293">
        <f ca="1">ROUND((C33+C39)*F27,0)</f>
        <v>149</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1724">
        <f>ROUND(F30/(1+'数据-取费表'!C42),4)</f>
        <v>5.2400000000000002E-2</v>
      </c>
      <c r="D48" s="280" t="s">
        <v>2400</v>
      </c>
      <c r="E48" s="276"/>
      <c r="F48" s="281"/>
      <c r="G48" s="278" t="s">
        <v>2413</v>
      </c>
    </row>
    <row r="49" spans="1:7" ht="16.5" customHeight="1">
      <c r="A49" s="299" t="s">
        <v>2379</v>
      </c>
      <c r="B49" s="254" t="s">
        <v>2414</v>
      </c>
      <c r="C49" s="276">
        <f ca="1">ROUND((C33+C39+C41+C45)/(1-C40-D41-D45-C48),0)</f>
        <v>1008</v>
      </c>
      <c r="D49" s="276"/>
      <c r="E49" s="276"/>
      <c r="F49" s="308"/>
      <c r="G49" s="278" t="s">
        <v>2415</v>
      </c>
    </row>
    <row r="50" spans="1:7" s="302" customFormat="1" ht="24">
      <c r="A50" s="299" t="s">
        <v>2416</v>
      </c>
      <c r="B50" s="254" t="s">
        <v>2417</v>
      </c>
      <c r="C50" s="276"/>
      <c r="D50" s="276"/>
      <c r="E50" s="276"/>
      <c r="F50" s="308">
        <f>IF('数据-取费表'!B24=0,'数据-取费表'!N16,1)</f>
        <v>0.96699999999999997</v>
      </c>
      <c r="G50" s="291" t="s">
        <v>2418</v>
      </c>
    </row>
    <row r="51" spans="1:7" ht="16.5" customHeight="1">
      <c r="A51" s="299" t="s">
        <v>2419</v>
      </c>
      <c r="B51" s="254" t="s">
        <v>2420</v>
      </c>
      <c r="C51" s="276">
        <f ca="1">ROUND(C49*F50,0)</f>
        <v>975</v>
      </c>
      <c r="D51" s="276"/>
      <c r="E51" s="276"/>
      <c r="F51" s="308"/>
      <c r="G51" s="278" t="s">
        <v>2421</v>
      </c>
    </row>
    <row r="52" spans="1:7" s="252" customFormat="1" ht="16.5" thickBot="1">
      <c r="A52" s="309" t="s">
        <v>2422</v>
      </c>
      <c r="B52" s="310"/>
      <c r="C52" s="311">
        <f ca="1">C31+C51</f>
        <v>1953</v>
      </c>
      <c r="D52" s="310"/>
      <c r="E52" s="310"/>
      <c r="F52" s="310"/>
      <c r="G52" s="312"/>
    </row>
    <row r="55" spans="1:7" ht="15">
      <c r="B55" s="314" t="s">
        <v>2423</v>
      </c>
      <c r="C55" s="315"/>
    </row>
    <row r="56" spans="1:7">
      <c r="B56" s="317" t="s">
        <v>1509</v>
      </c>
      <c r="C56" s="319">
        <f ca="1">1-C57</f>
        <v>0.501</v>
      </c>
    </row>
    <row r="57" spans="1:7">
      <c r="B57" s="317" t="s">
        <v>1510</v>
      </c>
      <c r="C57" s="318">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0" t="str">
        <f>项目基本情况!B1</f>
        <v>北京市昌平区北七家镇1、2、4、7预评估</v>
      </c>
      <c r="C37" s="3300"/>
      <c r="D37" s="3300"/>
      <c r="E37" s="3300"/>
      <c r="F37" s="3300"/>
      <c r="G37" s="3300"/>
      <c r="H37" s="3300"/>
      <c r="I37" s="3300"/>
    </row>
    <row r="38" spans="1:9">
      <c r="A38" s="1018"/>
      <c r="B38" s="1018"/>
    </row>
    <row r="39" spans="1:9">
      <c r="A39" s="1016" t="s">
        <v>818</v>
      </c>
      <c r="B39" s="1016" t="s">
        <v>820</v>
      </c>
    </row>
    <row r="40" spans="1:9">
      <c r="A40" s="1016"/>
      <c r="B40" s="1938" t="e">
        <f>项目基本情况!#REF!</f>
        <v>#REF!</v>
      </c>
    </row>
    <row r="41" spans="1:9">
      <c r="A41" s="1016"/>
      <c r="B41" s="1016"/>
    </row>
    <row r="42" spans="1:9">
      <c r="A42" s="1016" t="s">
        <v>818</v>
      </c>
      <c r="B42" s="1016" t="s">
        <v>821</v>
      </c>
    </row>
    <row r="43" spans="1:9">
      <c r="A43" s="1016"/>
      <c r="B43" s="1938" t="s">
        <v>822</v>
      </c>
    </row>
    <row r="44" spans="1:9">
      <c r="A44" s="1016"/>
      <c r="B44" s="1016"/>
    </row>
    <row r="45" spans="1:9">
      <c r="A45" s="1016" t="s">
        <v>818</v>
      </c>
      <c r="B45" s="1016" t="s">
        <v>823</v>
      </c>
    </row>
    <row r="46" spans="1:9" s="1016" customFormat="1" ht="12.75">
      <c r="B46" s="1938" t="str">
        <f ca="1">项目基本情况!K4</f>
        <v>吴薇（注册号：1419970001)、刘梅（注册号：1120140022)</v>
      </c>
    </row>
    <row r="47" spans="1:9">
      <c r="A47" s="1016"/>
      <c r="B47" s="1016" t="str">
        <f>项目基本情况!K5</f>
        <v/>
      </c>
    </row>
    <row r="48" spans="1:9">
      <c r="A48" s="1016" t="s">
        <v>818</v>
      </c>
      <c r="B48" s="1016"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50" t="s">
        <v>2424</v>
      </c>
      <c r="D1" s="242"/>
      <c r="E1" s="242"/>
      <c r="F1" s="242"/>
      <c r="G1" s="1375">
        <f>MATCH(B1,'数据-取费表'!A6:A16,0)+5</f>
        <v>8</v>
      </c>
      <c r="H1" s="1278" t="str">
        <f>IF(ISERROR(FIND("住宅",B1)),"非住宅","住宅")</f>
        <v>非住宅</v>
      </c>
    </row>
    <row r="2" spans="1:8" s="244" customFormat="1" ht="18" customHeight="1">
      <c r="A2" s="245" t="s">
        <v>2323</v>
      </c>
      <c r="B2" s="246">
        <f ca="1">ROUND(IF(D2="——",C52/10000,C52/10000-E2),0)</f>
        <v>2879</v>
      </c>
      <c r="C2" s="243" t="s">
        <v>2324</v>
      </c>
      <c r="D2" s="2544" t="s">
        <v>70</v>
      </c>
      <c r="E2" s="1436"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845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6475538</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6475538</v>
      </c>
      <c r="D8" s="266"/>
      <c r="E8" s="264"/>
      <c r="F8" s="265"/>
      <c r="G8" s="2547"/>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2341</v>
      </c>
      <c r="C10" s="269">
        <f ca="1">ROUND(D10*E10,0)</f>
        <v>6475538</v>
      </c>
      <c r="D10" s="1034">
        <f ca="1">IF(B1="",'数据-汇总表'!E6,IF(INDIRECT("'数据-取费表'!c"&amp;$G$1)="住宅",INDIRECT("'数据-取费表'!s"&amp;$G$1),INDIRECT("'数据-取费表'!k"&amp;$G$1)+INDIRECT("'数据-取费表'!s"&amp;$G$1)))</f>
        <v>34081.78</v>
      </c>
      <c r="E10" s="269">
        <f>'数据-取费表'!B28</f>
        <v>190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6816356</v>
      </c>
      <c r="D19" s="1038">
        <f ca="1">D9+D10</f>
        <v>34081.78</v>
      </c>
      <c r="E19" s="255">
        <f>'数据-取费表'!B31</f>
        <v>200</v>
      </c>
      <c r="F19" s="275"/>
      <c r="G19" s="2547"/>
    </row>
    <row r="20" spans="1:7" s="258" customFormat="1" ht="13.5" customHeight="1">
      <c r="A20" s="299" t="s">
        <v>2435</v>
      </c>
      <c r="B20" s="254" t="s">
        <v>2436</v>
      </c>
      <c r="C20" s="276">
        <f ca="1">ROUND((C5+C19)*F20,0)</f>
        <v>265838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1305347</v>
      </c>
      <c r="D22" s="279">
        <f ca="1">C26</f>
        <v>1E-3</v>
      </c>
      <c r="E22" s="280" t="s">
        <v>2440</v>
      </c>
      <c r="F22" s="281">
        <f ca="1">'数据-取费表'!B40</f>
        <v>4.7500000000000001E-2</v>
      </c>
      <c r="G22" s="278" t="str">
        <f>IF('数据-取费表'!B22&lt;=1,"单利计息","复利计息")</f>
        <v>复利计息</v>
      </c>
    </row>
    <row r="23" spans="1:7" s="258" customFormat="1" ht="13.5" customHeight="1">
      <c r="A23" s="953" t="s">
        <v>2333</v>
      </c>
      <c r="B23" s="259" t="s">
        <v>2444</v>
      </c>
      <c r="C23" s="1377">
        <f ca="1">ROUND(IF('数据-取费表'!B22&lt;=1,C5*F22*'数据-取费表'!B22,C5*(POWER((1+F22),'数据-取费表'!B22)-1)),0)</f>
        <v>629787</v>
      </c>
      <c r="D23" s="282"/>
      <c r="E23" s="282"/>
      <c r="F23" s="283"/>
      <c r="G23" s="284" t="s">
        <v>2445</v>
      </c>
    </row>
    <row r="24" spans="1:7" s="258" customFormat="1" ht="13.5" customHeight="1">
      <c r="A24" s="953" t="s">
        <v>2335</v>
      </c>
      <c r="B24" s="259" t="s">
        <v>2446</v>
      </c>
      <c r="C24" s="1377">
        <f ca="1">ROUND(IF('数据-取费表'!B22&lt;=1,C19*F22*('数据-取费表'!B19/2+'数据-取费表'!B20),C19*(POWER((1+F22),('数据-取费表'!B19/2+'数据-取费表'!B20))-1)),0)</f>
        <v>662933</v>
      </c>
      <c r="D24" s="282"/>
      <c r="E24" s="282"/>
      <c r="F24" s="283"/>
      <c r="G24" s="284" t="s">
        <v>2447</v>
      </c>
    </row>
    <row r="25" spans="1:7" s="258" customFormat="1" ht="24">
      <c r="A25" s="953" t="s">
        <v>2337</v>
      </c>
      <c r="B25" s="259" t="s">
        <v>2448</v>
      </c>
      <c r="C25" s="1377">
        <f ca="1">ROUND(IF('数据-取费表'!B22&lt;=1,C20*F22*'数据-取费表'!B22/2,C20*(POWER((1+F22),'数据-取费表'!B22/2)-1)),0)</f>
        <v>12627</v>
      </c>
      <c r="D25" s="282"/>
      <c r="E25" s="285"/>
      <c r="F25" s="283"/>
      <c r="G25" s="286" t="s">
        <v>2449</v>
      </c>
    </row>
    <row r="26" spans="1:7" s="258" customFormat="1">
      <c r="A26" s="95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2711546</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ROUND((C5+C19+C20)*F27,0)</f>
        <v>2711546</v>
      </c>
      <c r="D28" s="279"/>
      <c r="E28" s="280"/>
      <c r="F28" s="290"/>
      <c r="G28" s="291"/>
    </row>
    <row r="29" spans="1:7" s="258" customFormat="1" ht="13.5" customHeight="1">
      <c r="A29" s="95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19049019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7301236</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464000</v>
      </c>
      <c r="D34" s="261"/>
      <c r="E34" s="264"/>
      <c r="F34" s="301"/>
      <c r="G34" s="263"/>
    </row>
    <row r="35" spans="1:7" ht="13.5" customHeight="1">
      <c r="A35" s="953" t="s">
        <v>796</v>
      </c>
      <c r="B35" s="259" t="s">
        <v>2388</v>
      </c>
      <c r="C35" s="264">
        <f ca="1">ROUND(C34*F35,0)</f>
        <v>13920</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3" t="s">
        <v>798</v>
      </c>
      <c r="B37" s="259" t="s">
        <v>2392</v>
      </c>
      <c r="C37" s="293">
        <f ca="1">ROUND(E37*D37,0)</f>
        <v>6816356</v>
      </c>
      <c r="D37" s="261">
        <f ca="1">D19</f>
        <v>34081.78</v>
      </c>
      <c r="E37" s="293">
        <f>'数据-取费表'!B35</f>
        <v>200</v>
      </c>
      <c r="F37" s="303"/>
      <c r="G37" s="305"/>
    </row>
    <row r="38" spans="1:7" ht="13.5" customHeight="1">
      <c r="A38" s="953" t="s">
        <v>799</v>
      </c>
      <c r="B38" s="259" t="s">
        <v>2394</v>
      </c>
      <c r="C38" s="264">
        <f ca="1">ROUND(C34*F38,0)</f>
        <v>6960</v>
      </c>
      <c r="D38" s="264"/>
      <c r="E38" s="264"/>
      <c r="F38" s="303">
        <f>'数据-取费表'!B36</f>
        <v>1.4999999999999999E-2</v>
      </c>
      <c r="G38" s="263" t="s">
        <v>2389</v>
      </c>
    </row>
    <row r="39" spans="1:7" s="258" customFormat="1" ht="13.5" customHeight="1">
      <c r="A39" s="299" t="s">
        <v>2395</v>
      </c>
      <c r="B39" s="254" t="s">
        <v>2396</v>
      </c>
      <c r="C39" s="276">
        <f ca="1">ROUND(C33*F20,0)</f>
        <v>146025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353745</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ROUND(IF('数据-取费表'!B22&lt;=1,C33*F22*'数据-取费表'!B20/2,C33*(POWER((1+F22),'数据-取费表'!B20/2)-1)),0)</f>
        <v>346809</v>
      </c>
      <c r="D42" s="282"/>
      <c r="E42" s="282"/>
      <c r="F42" s="283"/>
      <c r="G42" s="3486" t="s">
        <v>2452</v>
      </c>
    </row>
    <row r="43" spans="1:7" ht="13.5" customHeight="1">
      <c r="A43" s="953" t="s">
        <v>792</v>
      </c>
      <c r="B43" s="259" t="s">
        <v>2406</v>
      </c>
      <c r="C43" s="282">
        <f ca="1">ROUND(IF('数据-取费表'!B22&lt;=1,C39*F22*'数据-取费表'!B20/2,C39*(POWER((1+F22),'数据-取费表'!B20/2)-1)),0)</f>
        <v>6936</v>
      </c>
      <c r="D43" s="282"/>
      <c r="E43" s="282"/>
      <c r="F43" s="283"/>
      <c r="G43" s="3487"/>
    </row>
    <row r="44" spans="1:7" ht="13.5" customHeight="1">
      <c r="A44" s="953" t="s">
        <v>793</v>
      </c>
      <c r="B44" s="259" t="s">
        <v>2407</v>
      </c>
      <c r="C44" s="282">
        <f ca="1">ROUND(IF('数据-取费表'!B22&lt;=1,C40*F22*'数据-取费表'!B20/2,C40*(POWER((1+F22),'数据-取费表'!B20/2)-1)),4)</f>
        <v>1E-3</v>
      </c>
      <c r="D44" s="282"/>
      <c r="E44" s="282"/>
      <c r="F44" s="283"/>
      <c r="G44" s="3488"/>
    </row>
    <row r="45" spans="1:7" s="258" customFormat="1" ht="13.5" customHeight="1">
      <c r="A45" s="299" t="s">
        <v>2408</v>
      </c>
      <c r="B45" s="288" t="s">
        <v>2374</v>
      </c>
      <c r="C45" s="289">
        <f ca="1">C46</f>
        <v>1489452</v>
      </c>
      <c r="D45" s="279">
        <f ca="1">C47</f>
        <v>4.0000000000000001E-3</v>
      </c>
      <c r="E45" s="280" t="s">
        <v>2400</v>
      </c>
      <c r="F45" s="290"/>
      <c r="G45" s="291" t="s">
        <v>2409</v>
      </c>
    </row>
    <row r="46" spans="1:7" s="258" customFormat="1" ht="13.5" customHeight="1">
      <c r="A46" s="953" t="s">
        <v>791</v>
      </c>
      <c r="B46" s="292" t="s">
        <v>2410</v>
      </c>
      <c r="C46" s="293">
        <f ca="1">ROUND((C33+C39)*F27,0)</f>
        <v>1489452</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10069866</v>
      </c>
      <c r="D49" s="276"/>
      <c r="E49" s="276"/>
      <c r="F49" s="308"/>
      <c r="G49" s="278" t="s">
        <v>2415</v>
      </c>
    </row>
    <row r="50" spans="1:7" s="302" customFormat="1">
      <c r="A50" s="299" t="s">
        <v>2416</v>
      </c>
      <c r="B50" s="254" t="s">
        <v>2417</v>
      </c>
      <c r="C50" s="276"/>
      <c r="D50" s="276"/>
      <c r="E50" s="276"/>
      <c r="F50" s="308">
        <f>IF('数据-取费表'!B24=0,'数据-取费表'!N16,1)</f>
        <v>0.96699999999999997</v>
      </c>
      <c r="G50" s="291"/>
    </row>
    <row r="51" spans="1:7" ht="16.5" customHeight="1">
      <c r="A51" s="299" t="s">
        <v>2419</v>
      </c>
      <c r="B51" s="254" t="s">
        <v>2454</v>
      </c>
      <c r="C51" s="276">
        <f ca="1">ROUND(C49*F50,0)</f>
        <v>9737560</v>
      </c>
      <c r="D51" s="276"/>
      <c r="E51" s="276"/>
      <c r="F51" s="308"/>
      <c r="G51" s="278" t="s">
        <v>2421</v>
      </c>
    </row>
    <row r="52" spans="1:7" s="252" customFormat="1" ht="16.5" thickBot="1">
      <c r="A52" s="309" t="s">
        <v>2422</v>
      </c>
      <c r="B52" s="310"/>
      <c r="C52" s="311">
        <f ca="1">C31+C51</f>
        <v>28786579</v>
      </c>
      <c r="D52" s="310"/>
      <c r="E52" s="310"/>
      <c r="F52" s="310"/>
      <c r="G52" s="312"/>
    </row>
    <row r="55" spans="1:7" ht="15">
      <c r="B55" s="314" t="s">
        <v>2423</v>
      </c>
      <c r="C55" s="315"/>
    </row>
    <row r="56" spans="1:7">
      <c r="B56" s="317" t="s">
        <v>1509</v>
      </c>
      <c r="C56" s="319">
        <f ca="1">1-C57</f>
        <v>0.66199999999999992</v>
      </c>
    </row>
    <row r="57" spans="1:7">
      <c r="B57" s="317" t="s">
        <v>1510</v>
      </c>
      <c r="C57" s="318">
        <f ca="1">ROUND(C51/C52,3)</f>
        <v>0.33800000000000002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77"/>
      <c r="C1" s="1578"/>
      <c r="D1" s="1576"/>
      <c r="E1" s="320"/>
      <c r="F1" s="320"/>
      <c r="G1" s="1577"/>
      <c r="H1" s="320"/>
      <c r="I1" s="320"/>
      <c r="J1" s="320"/>
      <c r="K1" s="320">
        <f>MATCH(C1,'数据-取费表'!A6:A16,0)+5</f>
        <v>8</v>
      </c>
    </row>
    <row r="2" spans="1:33" ht="18" customHeight="1">
      <c r="A2" s="245" t="s">
        <v>2323</v>
      </c>
      <c r="B2" s="248">
        <f ca="1">C32</f>
        <v>-771</v>
      </c>
      <c r="C2" s="320" t="s">
        <v>2456</v>
      </c>
      <c r="D2" s="320"/>
      <c r="E2" s="320"/>
      <c r="F2" s="320"/>
      <c r="G2" s="320"/>
      <c r="H2" s="320"/>
      <c r="I2" s="320"/>
      <c r="J2" s="320"/>
      <c r="K2" s="320"/>
    </row>
    <row r="3" spans="1:33" ht="18" customHeight="1" thickBot="1">
      <c r="A3" s="247" t="s">
        <v>2325</v>
      </c>
      <c r="B3" s="248">
        <f ca="1">ROUND(B2*10000/IF(C1="",'数据-汇总表'!E3,INDIRECT("'数据-取费表'!K"&amp;$K$1)),0)</f>
        <v>-226</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51" t="s">
        <v>2461</v>
      </c>
      <c r="D5" s="2551" t="s">
        <v>2462</v>
      </c>
      <c r="E5" s="2551" t="s">
        <v>2463</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34081.78</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74"/>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34081.78</v>
      </c>
      <c r="E17" s="24">
        <f>'数据-取费表'!B32</f>
        <v>0</v>
      </c>
      <c r="F17" s="980"/>
      <c r="G17" s="140" t="s">
        <v>2487</v>
      </c>
      <c r="H17" s="1574"/>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648</v>
      </c>
      <c r="D18" s="1035"/>
      <c r="E18" s="24"/>
      <c r="F18" s="978"/>
      <c r="G18" s="2553"/>
      <c r="H18" s="1573"/>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150</v>
      </c>
      <c r="F19" s="978"/>
      <c r="G19" s="15"/>
      <c r="H19" s="1575"/>
      <c r="I19" s="983"/>
      <c r="J19" s="983"/>
      <c r="K19" s="984"/>
    </row>
    <row r="20" spans="1:33" s="977" customFormat="1" ht="13.5" customHeight="1">
      <c r="A20" s="973" t="s">
        <v>806</v>
      </c>
      <c r="B20" s="974" t="s">
        <v>2491</v>
      </c>
      <c r="C20" s="24">
        <f ca="1">ROUND(D20*E20/10000,0)</f>
        <v>648</v>
      </c>
      <c r="D20" s="1035">
        <f ca="1">IF(C1="",'数据-汇总表'!E6,IF(INDIRECT("'数据-取费表'!c"&amp;$K$1)="住宅",INDIRECT("'数据-取费表'!s"&amp;$K$1),INDIRECT("'数据-取费表'!k"&amp;$K$1)+INDIRECT("'数据-取费表'!s"&amp;$K$1)))</f>
        <v>34081.78</v>
      </c>
      <c r="E20" s="24">
        <f>'数据-取费表'!B28</f>
        <v>190</v>
      </c>
      <c r="F20" s="978"/>
      <c r="G20" s="15"/>
      <c r="H20" s="983"/>
      <c r="I20" s="983"/>
      <c r="J20" s="983"/>
      <c r="K20" s="984"/>
    </row>
    <row r="21" spans="1:33" s="977" customFormat="1" ht="13.5" customHeight="1">
      <c r="A21" s="963" t="s">
        <v>802</v>
      </c>
      <c r="B21" s="987" t="s">
        <v>2492</v>
      </c>
      <c r="C21" s="988">
        <f ca="1">C16+C17+C18</f>
        <v>648</v>
      </c>
      <c r="D21" s="989"/>
      <c r="E21" s="325"/>
      <c r="F21" s="325"/>
      <c r="G21" s="140" t="s">
        <v>2493</v>
      </c>
      <c r="H21" s="981"/>
      <c r="I21" s="981"/>
      <c r="J21" s="981"/>
      <c r="K21" s="982"/>
    </row>
    <row r="22" spans="1:33" s="977" customFormat="1" ht="13.5" customHeight="1">
      <c r="A22" s="963" t="s">
        <v>2465</v>
      </c>
      <c r="B22" s="987" t="s">
        <v>2494</v>
      </c>
      <c r="C22" s="988">
        <f ca="1">ROUND(C21*F22,0)</f>
        <v>13</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2503</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2504</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2505</v>
      </c>
      <c r="B28" s="2556" t="s">
        <v>2506</v>
      </c>
      <c r="C28" s="331">
        <f ca="1">C30</f>
        <v>132</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132</v>
      </c>
      <c r="D30" s="328"/>
      <c r="E30" s="329"/>
      <c r="F30" s="334"/>
      <c r="G30" s="140"/>
      <c r="H30" s="981"/>
      <c r="I30" s="981"/>
      <c r="J30" s="981"/>
      <c r="K30" s="982"/>
    </row>
    <row r="31" spans="1:33" s="977" customFormat="1" ht="13.5" customHeight="1" thickBot="1">
      <c r="A31" s="2557" t="s">
        <v>2510</v>
      </c>
      <c r="B31" s="1007" t="s">
        <v>2511</v>
      </c>
      <c r="C31" s="1008">
        <f>ROUND(C4*F31/(1+'数据-取费表'!C42),0)</f>
        <v>0</v>
      </c>
      <c r="D31" s="1009"/>
      <c r="E31" s="1010"/>
      <c r="F31" s="1011">
        <f>'数据-取费表'!B41</f>
        <v>5.5000000000000007E-2</v>
      </c>
      <c r="G31" s="1012" t="s">
        <v>2512</v>
      </c>
      <c r="H31" s="1013"/>
      <c r="I31" s="1013"/>
      <c r="J31" s="1013"/>
      <c r="K31" s="1014"/>
    </row>
    <row r="32" spans="1:33" s="972" customFormat="1" ht="13.5" customHeight="1" thickBot="1">
      <c r="A32" s="1002" t="s">
        <v>2513</v>
      </c>
      <c r="B32" s="1003"/>
      <c r="C32" s="1004">
        <f ca="1">ROUND((C4-C21-C22-C23-C25-C28-C31)/(1+C24+D25+D28),0)</f>
        <v>-771</v>
      </c>
      <c r="D32" s="1003"/>
      <c r="E32" s="1003"/>
      <c r="F32" s="1003"/>
      <c r="G32" s="1005" t="s">
        <v>2514</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9" zoomScale="90" zoomScaleNormal="90" workbookViewId="0">
      <selection activeCell="C114" sqref="C11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2682</v>
      </c>
      <c r="C1" s="1616" t="s">
        <v>2526</v>
      </c>
      <c r="D1" s="1617" t="s">
        <v>3157</v>
      </c>
      <c r="E1" s="1626"/>
      <c r="F1" s="2581" t="s">
        <v>3166</v>
      </c>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f>IF(C2="——",ROUND(C50*D3/10000,0),ROUND(C50*D3/10000,0)-D2)</f>
        <v>525</v>
      </c>
      <c r="C2" s="2583" t="s">
        <v>70</v>
      </c>
      <c r="D2" s="1361"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36218</v>
      </c>
      <c r="C3" s="400" t="s">
        <v>2640</v>
      </c>
      <c r="D3" s="399">
        <f>IF(D1="",'数据-汇总表'!E3,SUMIF('数据-汇总表'!$C19:$C33,D1,'数据-汇总表'!$E19:$E33))</f>
        <v>145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507" t="s">
        <v>2642</v>
      </c>
      <c r="D4" s="3508"/>
      <c r="E4" s="3509" t="s">
        <v>2643</v>
      </c>
      <c r="F4" s="3510"/>
      <c r="G4" s="3507" t="s">
        <v>2644</v>
      </c>
      <c r="H4" s="3508"/>
      <c r="I4" s="3507" t="s">
        <v>2645</v>
      </c>
      <c r="J4" s="3508"/>
      <c r="K4" s="610" t="s">
        <v>2646</v>
      </c>
      <c r="L4" s="1132"/>
      <c r="M4" s="1133"/>
      <c r="N4" s="1133"/>
      <c r="O4" s="1133"/>
      <c r="P4" s="3511" t="s">
        <v>2647</v>
      </c>
      <c r="Q4" s="3512"/>
      <c r="R4" s="3517" t="s">
        <v>2643</v>
      </c>
      <c r="S4" s="3518"/>
      <c r="T4" s="3517" t="s">
        <v>2644</v>
      </c>
      <c r="U4" s="3518"/>
      <c r="V4" s="3523" t="s">
        <v>2645</v>
      </c>
      <c r="W4" s="3523"/>
      <c r="X4" s="2667"/>
      <c r="Y4" s="3517" t="s">
        <v>2647</v>
      </c>
      <c r="Z4" s="3518"/>
      <c r="AA4" s="3537" t="s">
        <v>2643</v>
      </c>
      <c r="AB4" s="3537" t="s">
        <v>2644</v>
      </c>
      <c r="AC4" s="3504" t="s">
        <v>2645</v>
      </c>
    </row>
    <row r="5" spans="1:29" ht="15">
      <c r="A5" s="404"/>
      <c r="B5" s="405"/>
      <c r="C5" s="3533" t="s">
        <v>2538</v>
      </c>
      <c r="D5" s="3528"/>
      <c r="E5" s="3540" t="s">
        <v>3167</v>
      </c>
      <c r="F5" s="3541"/>
      <c r="G5" s="3527" t="s">
        <v>3187</v>
      </c>
      <c r="H5" s="3528"/>
      <c r="I5" s="3527" t="s">
        <v>3186</v>
      </c>
      <c r="J5" s="3528"/>
      <c r="K5" s="610"/>
      <c r="L5" s="1132"/>
      <c r="M5" s="1133"/>
      <c r="N5" s="1133"/>
      <c r="O5" s="1133"/>
      <c r="P5" s="3513"/>
      <c r="Q5" s="3514"/>
      <c r="R5" s="3519"/>
      <c r="S5" s="3520"/>
      <c r="T5" s="3519"/>
      <c r="U5" s="3520"/>
      <c r="V5" s="3524"/>
      <c r="W5" s="3524"/>
      <c r="X5" s="1809"/>
      <c r="Y5" s="3519"/>
      <c r="Z5" s="3520"/>
      <c r="AA5" s="3538"/>
      <c r="AB5" s="3538"/>
      <c r="AC5" s="3505"/>
    </row>
    <row r="6" spans="1:29" ht="36" customHeight="1" thickBot="1">
      <c r="A6" s="406"/>
      <c r="B6" s="407"/>
      <c r="C6" s="3534" t="s">
        <v>2542</v>
      </c>
      <c r="D6" s="3526"/>
      <c r="E6" s="3535" t="s">
        <v>3213</v>
      </c>
      <c r="F6" s="3536"/>
      <c r="G6" s="3525" t="s">
        <v>3190</v>
      </c>
      <c r="H6" s="3526"/>
      <c r="I6" s="3525" t="s">
        <v>3191</v>
      </c>
      <c r="J6" s="3526"/>
      <c r="K6" s="610" t="s">
        <v>2543</v>
      </c>
      <c r="L6" s="1132"/>
      <c r="M6" s="1133"/>
      <c r="N6" s="1133"/>
      <c r="O6" s="1133"/>
      <c r="P6" s="3515"/>
      <c r="Q6" s="3516"/>
      <c r="R6" s="3519"/>
      <c r="S6" s="3520"/>
      <c r="T6" s="3521"/>
      <c r="U6" s="3522"/>
      <c r="V6" s="3524"/>
      <c r="W6" s="3524"/>
      <c r="X6" s="1809"/>
      <c r="Y6" s="3521"/>
      <c r="Z6" s="3522"/>
      <c r="AA6" s="3539"/>
      <c r="AB6" s="3539"/>
      <c r="AC6" s="3506"/>
    </row>
    <row r="7" spans="1:29" s="117" customFormat="1" ht="15.75" thickBot="1">
      <c r="A7" s="408" t="s">
        <v>2544</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4"/>
      <c r="M7" s="1135"/>
      <c r="N7" s="1135"/>
      <c r="O7" s="1135"/>
      <c r="P7" s="3529" t="s">
        <v>2545</v>
      </c>
      <c r="Q7" s="3532"/>
      <c r="R7" s="769" t="s">
        <v>17</v>
      </c>
      <c r="S7" s="770">
        <f t="shared" ref="S7:S15" si="0">F7</f>
        <v>100</v>
      </c>
      <c r="T7" s="769" t="s">
        <v>17</v>
      </c>
      <c r="U7" s="770">
        <f t="shared" ref="U7:U15" si="1">H7</f>
        <v>100</v>
      </c>
      <c r="V7" s="769" t="s">
        <v>17</v>
      </c>
      <c r="W7" s="770">
        <f t="shared" ref="W7:W15" si="2">J7</f>
        <v>100</v>
      </c>
      <c r="X7" s="771"/>
      <c r="Y7" s="3531" t="s">
        <v>2545</v>
      </c>
      <c r="Z7" s="3530"/>
      <c r="AA7" s="772">
        <f>D7/F7</f>
        <v>1</v>
      </c>
      <c r="AB7" s="772">
        <f>D7/H7</f>
        <v>1</v>
      </c>
      <c r="AC7" s="2668">
        <f>D7/J7</f>
        <v>1</v>
      </c>
    </row>
    <row r="8" spans="1:29" s="117" customFormat="1" ht="15.75" thickBot="1">
      <c r="A8" s="408" t="s">
        <v>2546</v>
      </c>
      <c r="B8" s="409"/>
      <c r="C8" s="414" t="s">
        <v>2648</v>
      </c>
      <c r="D8" s="411">
        <v>100</v>
      </c>
      <c r="E8" s="414" t="s">
        <v>2648</v>
      </c>
      <c r="F8" s="413">
        <f>SUMIF(62:62,E8,63:63)-SUMIF(62:62,C8,63:63)+100</f>
        <v>100</v>
      </c>
      <c r="G8" s="414" t="s">
        <v>2648</v>
      </c>
      <c r="H8" s="411">
        <f>SUMIF(62:62,G8,63:63)-SUMIF(62:62,C8,63:63)+100</f>
        <v>100</v>
      </c>
      <c r="I8" s="414" t="s">
        <v>2648</v>
      </c>
      <c r="J8" s="411">
        <f>SUMIF(62:62,I8,63:63)-SUMIF(62:62,C8,63:63)+100</f>
        <v>100</v>
      </c>
      <c r="K8" s="611"/>
      <c r="L8" s="1134"/>
      <c r="M8" s="1135"/>
      <c r="N8" s="1135"/>
      <c r="O8" s="1135"/>
      <c r="P8" s="3529" t="s">
        <v>2548</v>
      </c>
      <c r="Q8" s="3530"/>
      <c r="R8" s="769" t="s">
        <v>17</v>
      </c>
      <c r="S8" s="770">
        <f t="shared" si="0"/>
        <v>100</v>
      </c>
      <c r="T8" s="769" t="s">
        <v>17</v>
      </c>
      <c r="U8" s="770">
        <f t="shared" si="1"/>
        <v>100</v>
      </c>
      <c r="V8" s="769" t="s">
        <v>17</v>
      </c>
      <c r="W8" s="770">
        <f t="shared" si="2"/>
        <v>100</v>
      </c>
      <c r="X8" s="771"/>
      <c r="Y8" s="3531" t="s">
        <v>2548</v>
      </c>
      <c r="Z8" s="3530"/>
      <c r="AA8" s="772">
        <f t="shared" ref="AA8:AA47" si="3">D8/F8</f>
        <v>1</v>
      </c>
      <c r="AB8" s="772">
        <f t="shared" ref="AB8:AB47" si="4">D8/H8</f>
        <v>1</v>
      </c>
      <c r="AC8" s="2668">
        <f t="shared" ref="AC8:AC47" si="5">D8/J8</f>
        <v>1</v>
      </c>
    </row>
    <row r="9" spans="1:29" s="117" customFormat="1">
      <c r="A9" s="415" t="s">
        <v>2549</v>
      </c>
      <c r="B9" s="71" t="s">
        <v>2550</v>
      </c>
      <c r="C9" s="2965" t="s">
        <v>3189</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489" t="s">
        <v>2551</v>
      </c>
      <c r="Q9" s="1791" t="str">
        <f t="shared" ref="Q9:Q15" si="6">B9</f>
        <v>用途</v>
      </c>
      <c r="R9" s="769" t="s">
        <v>17</v>
      </c>
      <c r="S9" s="770">
        <f t="shared" si="0"/>
        <v>100</v>
      </c>
      <c r="T9" s="769" t="s">
        <v>17</v>
      </c>
      <c r="U9" s="770">
        <f t="shared" si="1"/>
        <v>100</v>
      </c>
      <c r="V9" s="769" t="s">
        <v>17</v>
      </c>
      <c r="W9" s="770">
        <f t="shared" si="2"/>
        <v>100</v>
      </c>
      <c r="X9" s="771"/>
      <c r="Y9" s="3344" t="s">
        <v>2552</v>
      </c>
      <c r="Z9" s="55" t="str">
        <f t="shared" ref="Z9:Z15" si="7">Q9</f>
        <v>用途</v>
      </c>
      <c r="AA9" s="772">
        <f t="shared" si="3"/>
        <v>1</v>
      </c>
      <c r="AB9" s="772">
        <f t="shared" si="4"/>
        <v>1</v>
      </c>
      <c r="AC9" s="2668">
        <f t="shared" si="5"/>
        <v>1</v>
      </c>
    </row>
    <row r="10" spans="1:29" s="427" customFormat="1" ht="27">
      <c r="A10" s="421"/>
      <c r="B10" s="422" t="s">
        <v>2553</v>
      </c>
      <c r="C10" s="423" t="s">
        <v>3188</v>
      </c>
      <c r="D10" s="136">
        <v>100</v>
      </c>
      <c r="E10" s="423" t="s">
        <v>3188</v>
      </c>
      <c r="F10" s="136">
        <f>SUMIF(66:66,E10,67:67)-SUMIF(66:66,C10,67:67)+100</f>
        <v>100</v>
      </c>
      <c r="G10" s="423" t="s">
        <v>3188</v>
      </c>
      <c r="H10" s="136">
        <f>SUMIF(66:66,G10,67:67)-SUMIF(66:66,C10,67:67)+100</f>
        <v>100</v>
      </c>
      <c r="I10" s="423" t="s">
        <v>3188</v>
      </c>
      <c r="J10" s="136">
        <f>SUMIF(66:66,I10,67:67)-SUMIF(66:66,C10,67:67)+100</f>
        <v>100</v>
      </c>
      <c r="K10" s="612"/>
      <c r="L10" s="1137"/>
      <c r="M10" s="1138"/>
      <c r="N10" s="1138"/>
      <c r="O10" s="1138"/>
      <c r="P10" s="3489"/>
      <c r="Q10" s="1791" t="str">
        <f t="shared" si="6"/>
        <v>土地使用年限（年）</v>
      </c>
      <c r="R10" s="769" t="s">
        <v>17</v>
      </c>
      <c r="S10" s="770">
        <f t="shared" si="0"/>
        <v>100</v>
      </c>
      <c r="T10" s="769" t="s">
        <v>17</v>
      </c>
      <c r="U10" s="770">
        <f t="shared" si="1"/>
        <v>100</v>
      </c>
      <c r="V10" s="769" t="s">
        <v>17</v>
      </c>
      <c r="W10" s="770">
        <f t="shared" si="2"/>
        <v>100</v>
      </c>
      <c r="X10" s="771"/>
      <c r="Y10" s="3344"/>
      <c r="Z10" s="55" t="str">
        <f t="shared" si="7"/>
        <v>土地使用年限（年）</v>
      </c>
      <c r="AA10" s="772">
        <f t="shared" si="3"/>
        <v>1</v>
      </c>
      <c r="AB10" s="772">
        <f t="shared" si="4"/>
        <v>1</v>
      </c>
      <c r="AC10" s="2668">
        <f t="shared" si="5"/>
        <v>1</v>
      </c>
    </row>
    <row r="11" spans="1:29" ht="15.75" thickBot="1">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489"/>
      <c r="Q11" s="1791" t="str">
        <f t="shared" si="6"/>
        <v>容积率</v>
      </c>
      <c r="R11" s="769" t="s">
        <v>17</v>
      </c>
      <c r="S11" s="770">
        <f t="shared" si="0"/>
        <v>100</v>
      </c>
      <c r="T11" s="769" t="s">
        <v>17</v>
      </c>
      <c r="U11" s="770">
        <f t="shared" si="1"/>
        <v>100</v>
      </c>
      <c r="V11" s="769" t="s">
        <v>17</v>
      </c>
      <c r="W11" s="770">
        <f t="shared" si="2"/>
        <v>100</v>
      </c>
      <c r="X11" s="771"/>
      <c r="Y11" s="3344"/>
      <c r="Z11" s="55" t="str">
        <f t="shared" si="7"/>
        <v>容积率</v>
      </c>
      <c r="AA11" s="772">
        <f t="shared" si="3"/>
        <v>1</v>
      </c>
      <c r="AB11" s="772">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489"/>
      <c r="Q12" s="1791">
        <f t="shared" si="6"/>
        <v>111</v>
      </c>
      <c r="R12" s="769" t="s">
        <v>17</v>
      </c>
      <c r="S12" s="770">
        <f t="shared" si="0"/>
        <v>100</v>
      </c>
      <c r="T12" s="769" t="s">
        <v>17</v>
      </c>
      <c r="U12" s="770">
        <f t="shared" si="1"/>
        <v>100</v>
      </c>
      <c r="V12" s="769" t="s">
        <v>17</v>
      </c>
      <c r="W12" s="770">
        <f t="shared" si="2"/>
        <v>100</v>
      </c>
      <c r="X12" s="771"/>
      <c r="Y12" s="3344"/>
      <c r="Z12" s="55">
        <f t="shared" si="7"/>
        <v>111</v>
      </c>
      <c r="AA12" s="772">
        <f>D12/F12</f>
        <v>1</v>
      </c>
      <c r="AB12" s="772">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489"/>
      <c r="Q13" s="1791">
        <f t="shared" si="6"/>
        <v>111</v>
      </c>
      <c r="R13" s="769" t="s">
        <v>17</v>
      </c>
      <c r="S13" s="770">
        <f t="shared" si="0"/>
        <v>100</v>
      </c>
      <c r="T13" s="769" t="s">
        <v>17</v>
      </c>
      <c r="U13" s="770">
        <f t="shared" si="1"/>
        <v>100</v>
      </c>
      <c r="V13" s="769" t="s">
        <v>17</v>
      </c>
      <c r="W13" s="770">
        <f t="shared" si="2"/>
        <v>100</v>
      </c>
      <c r="X13" s="771"/>
      <c r="Y13" s="3344"/>
      <c r="Z13" s="55">
        <f t="shared" si="7"/>
        <v>111</v>
      </c>
      <c r="AA13" s="772">
        <f t="shared" si="3"/>
        <v>1</v>
      </c>
      <c r="AB13" s="772">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489"/>
      <c r="Q14" s="1791">
        <f t="shared" si="6"/>
        <v>111</v>
      </c>
      <c r="R14" s="769" t="s">
        <v>17</v>
      </c>
      <c r="S14" s="770">
        <f t="shared" si="0"/>
        <v>100</v>
      </c>
      <c r="T14" s="769" t="s">
        <v>17</v>
      </c>
      <c r="U14" s="770">
        <f t="shared" si="1"/>
        <v>100</v>
      </c>
      <c r="V14" s="769" t="s">
        <v>17</v>
      </c>
      <c r="W14" s="770">
        <f t="shared" si="2"/>
        <v>100</v>
      </c>
      <c r="X14" s="771"/>
      <c r="Y14" s="3344"/>
      <c r="Z14" s="55">
        <f t="shared" si="7"/>
        <v>111</v>
      </c>
      <c r="AA14" s="772">
        <f t="shared" si="3"/>
        <v>1</v>
      </c>
      <c r="AB14" s="772">
        <f t="shared" si="4"/>
        <v>1</v>
      </c>
      <c r="AC14" s="2668">
        <f t="shared" si="5"/>
        <v>1</v>
      </c>
    </row>
    <row r="15" spans="1:29" ht="94.5">
      <c r="A15" s="440" t="s">
        <v>2555</v>
      </c>
      <c r="B15" s="629" t="s">
        <v>2683</v>
      </c>
      <c r="C15" s="2670" t="str">
        <f>估价对象房地状况!C5</f>
        <v>估价对象位于昌平区北七家镇，周边办公楼项目较多，入驻率高，办公集聚程度较好。</v>
      </c>
      <c r="D15" s="441">
        <v>100</v>
      </c>
      <c r="E15" s="2967" t="s">
        <v>3201</v>
      </c>
      <c r="F15" s="441">
        <f>SUMIF(77:77,E16,78:78)-SUMIF(77:77,C16,78:78)+100</f>
        <v>97</v>
      </c>
      <c r="G15" s="2968" t="s">
        <v>3202</v>
      </c>
      <c r="H15" s="441">
        <f>SUMIF(77:77,G16,78:78)-SUMIF(77:77,C16,78:78)+100</f>
        <v>100</v>
      </c>
      <c r="I15" s="2968" t="s">
        <v>3215</v>
      </c>
      <c r="J15" s="441">
        <f>SUMIF(77:77,I16,78:78)-SUMIF(77:77,C16,78:78)+100</f>
        <v>100</v>
      </c>
      <c r="K15" s="614">
        <v>3</v>
      </c>
      <c r="L15" s="1142"/>
      <c r="M15" s="1133"/>
      <c r="N15" s="1133"/>
      <c r="O15" s="1133"/>
      <c r="P15" s="3495" t="s">
        <v>2556</v>
      </c>
      <c r="Q15" s="1806" t="str">
        <f t="shared" si="6"/>
        <v>办公集聚程度</v>
      </c>
      <c r="R15" s="773" t="s">
        <v>17</v>
      </c>
      <c r="S15" s="774">
        <f t="shared" si="0"/>
        <v>97</v>
      </c>
      <c r="T15" s="773" t="s">
        <v>17</v>
      </c>
      <c r="U15" s="774">
        <f t="shared" si="1"/>
        <v>100</v>
      </c>
      <c r="V15" s="773" t="s">
        <v>17</v>
      </c>
      <c r="W15" s="774">
        <f t="shared" si="2"/>
        <v>100</v>
      </c>
      <c r="X15" s="1809"/>
      <c r="Y15" s="3497" t="s">
        <v>2556</v>
      </c>
      <c r="Z15" s="1810" t="str">
        <f t="shared" si="7"/>
        <v>办公集聚程度</v>
      </c>
      <c r="AA15" s="1807">
        <f t="shared" si="3"/>
        <v>1.0309278350515463</v>
      </c>
      <c r="AB15" s="1807">
        <f t="shared" si="4"/>
        <v>1</v>
      </c>
      <c r="AC15" s="2671">
        <f t="shared" si="5"/>
        <v>1</v>
      </c>
    </row>
    <row r="16" spans="1:29" ht="15">
      <c r="A16" s="428"/>
      <c r="B16" s="630"/>
      <c r="C16" s="2608" t="s">
        <v>3199</v>
      </c>
      <c r="D16" s="448"/>
      <c r="E16" s="447" t="s">
        <v>3200</v>
      </c>
      <c r="F16" s="448"/>
      <c r="G16" s="2608" t="s">
        <v>3199</v>
      </c>
      <c r="H16" s="450"/>
      <c r="I16" s="2608" t="s">
        <v>3199</v>
      </c>
      <c r="J16" s="448"/>
      <c r="K16" s="615"/>
      <c r="L16" s="1142"/>
      <c r="M16" s="1133"/>
      <c r="N16" s="1133"/>
      <c r="O16" s="1133"/>
      <c r="P16" s="3496"/>
      <c r="Q16" s="1806"/>
      <c r="R16" s="773"/>
      <c r="S16" s="774"/>
      <c r="T16" s="773"/>
      <c r="U16" s="774"/>
      <c r="V16" s="773"/>
      <c r="W16" s="774"/>
      <c r="X16" s="1809"/>
      <c r="Y16" s="3498"/>
      <c r="Z16" s="1810"/>
      <c r="AA16" s="1807">
        <v>1</v>
      </c>
      <c r="AB16" s="1807">
        <v>1</v>
      </c>
      <c r="AC16" s="2671">
        <v>1</v>
      </c>
    </row>
    <row r="17" spans="1:29" ht="136.5">
      <c r="A17" s="428"/>
      <c r="B17" s="631" t="s">
        <v>2093</v>
      </c>
      <c r="C17" s="2672" t="str">
        <f>估价对象房地状况!C6</f>
        <v>估价对象周边路网较为密集、公共交通通达情况较好，有417、607、871路等公共交通，停车便捷程度较好，综合评价交通便捷度较好。</v>
      </c>
      <c r="D17" s="450">
        <v>100</v>
      </c>
      <c r="E17" s="454" t="s">
        <v>3214</v>
      </c>
      <c r="F17" s="450">
        <f>SUMIF(79:79,E18,80:80)-SUMIF(79:79,C18,80:80)+100</f>
        <v>100</v>
      </c>
      <c r="G17" s="452" t="s">
        <v>3212</v>
      </c>
      <c r="H17" s="455">
        <f>SUMIF(79:79,G18,80:80)-SUMIF(79:79,C18,80:80)+100</f>
        <v>100</v>
      </c>
      <c r="I17" s="452" t="s">
        <v>3216</v>
      </c>
      <c r="J17" s="455">
        <f>SUMIF(79:79,I18,80:80)-SUMIF(79:79,C18,80:80)+100</f>
        <v>100</v>
      </c>
      <c r="K17" s="614"/>
      <c r="L17" s="1142"/>
      <c r="M17" s="1133"/>
      <c r="N17" s="1133"/>
      <c r="O17" s="1133"/>
      <c r="P17" s="3496"/>
      <c r="Q17" s="1806" t="str">
        <f>B17</f>
        <v>交通便捷度</v>
      </c>
      <c r="R17" s="773" t="s">
        <v>17</v>
      </c>
      <c r="S17" s="774">
        <f>F17</f>
        <v>100</v>
      </c>
      <c r="T17" s="773" t="s">
        <v>17</v>
      </c>
      <c r="U17" s="774">
        <f>H17</f>
        <v>100</v>
      </c>
      <c r="V17" s="773" t="s">
        <v>17</v>
      </c>
      <c r="W17" s="774">
        <f>J17</f>
        <v>100</v>
      </c>
      <c r="X17" s="1809"/>
      <c r="Y17" s="3498"/>
      <c r="Z17" s="1810" t="str">
        <f>Q17</f>
        <v>交通便捷度</v>
      </c>
      <c r="AA17" s="1807">
        <f t="shared" si="3"/>
        <v>1</v>
      </c>
      <c r="AB17" s="1807">
        <f t="shared" si="4"/>
        <v>1</v>
      </c>
      <c r="AC17" s="2671">
        <f t="shared" si="5"/>
        <v>1</v>
      </c>
    </row>
    <row r="18" spans="1:29" ht="15">
      <c r="A18" s="428"/>
      <c r="B18" s="632"/>
      <c r="C18" s="2673" t="s">
        <v>3199</v>
      </c>
      <c r="D18" s="450"/>
      <c r="E18" s="2673" t="s">
        <v>3199</v>
      </c>
      <c r="F18" s="450"/>
      <c r="G18" s="2673" t="s">
        <v>3199</v>
      </c>
      <c r="H18" s="448"/>
      <c r="I18" s="2673" t="s">
        <v>3199</v>
      </c>
      <c r="J18" s="448"/>
      <c r="K18" s="615"/>
      <c r="L18" s="1142"/>
      <c r="M18" s="1133"/>
      <c r="N18" s="1133"/>
      <c r="O18" s="1133"/>
      <c r="P18" s="3496"/>
      <c r="Q18" s="1806"/>
      <c r="R18" s="773"/>
      <c r="S18" s="774"/>
      <c r="T18" s="773"/>
      <c r="U18" s="774"/>
      <c r="V18" s="773"/>
      <c r="W18" s="774"/>
      <c r="X18" s="1809"/>
      <c r="Y18" s="3498"/>
      <c r="Z18" s="1810"/>
      <c r="AA18" s="1807">
        <v>1</v>
      </c>
      <c r="AB18" s="1807">
        <v>1</v>
      </c>
      <c r="AC18" s="2671">
        <v>1</v>
      </c>
    </row>
    <row r="19" spans="1:29" ht="189.75">
      <c r="A19" s="428"/>
      <c r="B19" s="631" t="s">
        <v>2684</v>
      </c>
      <c r="C19" s="2672"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t="s">
        <v>3203</v>
      </c>
      <c r="F19" s="455">
        <f>SUMIF(81:81,E20,82:82)-SUMIF(81:81,C20,82:82)+100</f>
        <v>100</v>
      </c>
      <c r="G19" s="457" t="s">
        <v>3204</v>
      </c>
      <c r="H19" s="450">
        <f>SUMIF(81:81,G20,82:82)-SUMIF(81:81,C20,82:82)+100</f>
        <v>100</v>
      </c>
      <c r="I19" s="457" t="s">
        <v>3217</v>
      </c>
      <c r="J19" s="450">
        <f>SUMIF(81:81,I20,82:82)-SUMIF(81:81,C20,82:82)+100</f>
        <v>100</v>
      </c>
      <c r="K19" s="614"/>
      <c r="L19" s="1142"/>
      <c r="M19" s="1133"/>
      <c r="N19" s="1133"/>
      <c r="O19" s="1133"/>
      <c r="P19" s="3496"/>
      <c r="Q19" s="1806" t="str">
        <f>B19</f>
        <v>公共配套设施</v>
      </c>
      <c r="R19" s="773" t="s">
        <v>17</v>
      </c>
      <c r="S19" s="774">
        <f>F19</f>
        <v>100</v>
      </c>
      <c r="T19" s="773" t="s">
        <v>17</v>
      </c>
      <c r="U19" s="774">
        <f>H19</f>
        <v>100</v>
      </c>
      <c r="V19" s="773" t="s">
        <v>17</v>
      </c>
      <c r="W19" s="774">
        <f>J19</f>
        <v>100</v>
      </c>
      <c r="X19" s="1809"/>
      <c r="Y19" s="3498"/>
      <c r="Z19" s="1810" t="str">
        <f>Q19</f>
        <v>公共配套设施</v>
      </c>
      <c r="AA19" s="1807">
        <f t="shared" si="3"/>
        <v>1</v>
      </c>
      <c r="AB19" s="1807">
        <f t="shared" si="4"/>
        <v>1</v>
      </c>
      <c r="AC19" s="2671">
        <f t="shared" si="5"/>
        <v>1</v>
      </c>
    </row>
    <row r="20" spans="1:29" ht="15">
      <c r="A20" s="428"/>
      <c r="B20" s="632"/>
      <c r="C20" s="2608" t="s">
        <v>3199</v>
      </c>
      <c r="D20" s="448"/>
      <c r="E20" s="2608" t="s">
        <v>3199</v>
      </c>
      <c r="F20" s="448"/>
      <c r="G20" s="2608" t="s">
        <v>3199</v>
      </c>
      <c r="H20" s="448"/>
      <c r="I20" s="2608" t="s">
        <v>3199</v>
      </c>
      <c r="J20" s="448"/>
      <c r="K20" s="615"/>
      <c r="L20" s="1142"/>
      <c r="M20" s="1133"/>
      <c r="N20" s="1133"/>
      <c r="O20" s="1133"/>
      <c r="P20" s="3496"/>
      <c r="Q20" s="1806"/>
      <c r="R20" s="773"/>
      <c r="S20" s="774"/>
      <c r="T20" s="773"/>
      <c r="U20" s="774"/>
      <c r="V20" s="773"/>
      <c r="W20" s="774"/>
      <c r="X20" s="1809"/>
      <c r="Y20" s="3498"/>
      <c r="Z20" s="1810"/>
      <c r="AA20" s="1807">
        <v>1</v>
      </c>
      <c r="AB20" s="1807">
        <v>1</v>
      </c>
      <c r="AC20" s="2671">
        <v>1</v>
      </c>
    </row>
    <row r="21" spans="1:29" ht="42.75">
      <c r="A21" s="428"/>
      <c r="B21" s="633" t="s">
        <v>2685</v>
      </c>
      <c r="C21" s="2672" t="str">
        <f>估价对象房地状况!C8</f>
        <v>估价对象所在区域基础设施水平达到“七通”。</v>
      </c>
      <c r="D21" s="450">
        <v>100</v>
      </c>
      <c r="E21" s="459" t="s">
        <v>3206</v>
      </c>
      <c r="F21" s="455">
        <f>SUMIF(83:83,E22,84:84)-SUMIF(83:83,C22,84:84)+100</f>
        <v>100</v>
      </c>
      <c r="G21" s="459" t="s">
        <v>3207</v>
      </c>
      <c r="H21" s="450">
        <f>SUMIF(83:83,G22,84:84)-SUMIF(83:83,C22,84:84)+100</f>
        <v>100</v>
      </c>
      <c r="I21" s="459" t="s">
        <v>3207</v>
      </c>
      <c r="J21" s="450">
        <f>SUMIF(83:83,I22,84:84)-SUMIF(83:83,C22,84:84)+100</f>
        <v>100</v>
      </c>
      <c r="K21" s="614"/>
      <c r="L21" s="1142"/>
      <c r="M21" s="1133"/>
      <c r="N21" s="1133"/>
      <c r="O21" s="1133"/>
      <c r="P21" s="3496"/>
      <c r="Q21" s="1806" t="str">
        <f>B21</f>
        <v>基础设施水平</v>
      </c>
      <c r="R21" s="773" t="s">
        <v>17</v>
      </c>
      <c r="S21" s="774">
        <f>F21</f>
        <v>100</v>
      </c>
      <c r="T21" s="773" t="s">
        <v>17</v>
      </c>
      <c r="U21" s="774">
        <f>H21</f>
        <v>100</v>
      </c>
      <c r="V21" s="773" t="s">
        <v>17</v>
      </c>
      <c r="W21" s="774">
        <f>J21</f>
        <v>100</v>
      </c>
      <c r="X21" s="1809"/>
      <c r="Y21" s="3498"/>
      <c r="Z21" s="1810" t="str">
        <f>Q21</f>
        <v>基础设施水平</v>
      </c>
      <c r="AA21" s="1807">
        <f t="shared" ref="AA21" si="8">D21/F21</f>
        <v>1</v>
      </c>
      <c r="AB21" s="1807">
        <f t="shared" ref="AB21" si="9">D21/H21</f>
        <v>1</v>
      </c>
      <c r="AC21" s="2671">
        <f t="shared" ref="AC21" si="10">D21/J21</f>
        <v>1</v>
      </c>
    </row>
    <row r="22" spans="1:29" ht="15">
      <c r="A22" s="428"/>
      <c r="B22" s="633"/>
      <c r="C22" s="2673" t="s">
        <v>3205</v>
      </c>
      <c r="D22" s="448"/>
      <c r="E22" s="2673" t="s">
        <v>3205</v>
      </c>
      <c r="F22" s="448"/>
      <c r="G22" s="2673" t="s">
        <v>3205</v>
      </c>
      <c r="H22" s="448"/>
      <c r="I22" s="2673" t="s">
        <v>3205</v>
      </c>
      <c r="J22" s="448"/>
      <c r="K22" s="1379"/>
      <c r="L22" s="1142"/>
      <c r="M22" s="1133"/>
      <c r="N22" s="1133"/>
      <c r="O22" s="1133"/>
      <c r="P22" s="3496"/>
      <c r="Q22" s="1806"/>
      <c r="R22" s="773"/>
      <c r="S22" s="774"/>
      <c r="T22" s="773"/>
      <c r="U22" s="774"/>
      <c r="V22" s="773"/>
      <c r="W22" s="774"/>
      <c r="X22" s="1809"/>
      <c r="Y22" s="3498"/>
      <c r="Z22" s="1810"/>
      <c r="AA22" s="1807">
        <v>1</v>
      </c>
      <c r="AB22" s="1807">
        <v>1</v>
      </c>
      <c r="AC22" s="2671">
        <v>1</v>
      </c>
    </row>
    <row r="23" spans="1:29" ht="85.5">
      <c r="A23" s="428"/>
      <c r="B23" s="631" t="s">
        <v>2686</v>
      </c>
      <c r="C23" s="2672" t="str">
        <f>估价对象房地状况!C9</f>
        <v>区域自然环境：秀水湖公园；人文环境：北京邮电大学（洪福校区）；综合评价环境状况较好。</v>
      </c>
      <c r="D23" s="450">
        <v>100</v>
      </c>
      <c r="E23" s="2969" t="s">
        <v>3208</v>
      </c>
      <c r="F23" s="450">
        <f>SUMIF(85:85,E24,86:86)-SUMIF(85:85,C24,86:86)+100</f>
        <v>100</v>
      </c>
      <c r="G23" s="2970" t="s">
        <v>3209</v>
      </c>
      <c r="H23" s="450">
        <f>SUMIF(85:85,G24,86:86)-SUMIF(85:85,C24,86:86)+100</f>
        <v>100</v>
      </c>
      <c r="I23" s="2970" t="s">
        <v>3218</v>
      </c>
      <c r="J23" s="450">
        <f>SUMIF(85:85,I24,86:86)-SUMIF(85:85,C24,86:86)+100</f>
        <v>100</v>
      </c>
      <c r="K23" s="614"/>
      <c r="L23" s="1142"/>
      <c r="M23" s="1133"/>
      <c r="N23" s="1133"/>
      <c r="O23" s="1133"/>
      <c r="P23" s="3496"/>
      <c r="Q23" s="1806" t="str">
        <f>B23</f>
        <v>环境质量</v>
      </c>
      <c r="R23" s="773" t="s">
        <v>17</v>
      </c>
      <c r="S23" s="774">
        <f>F23</f>
        <v>100</v>
      </c>
      <c r="T23" s="773" t="s">
        <v>17</v>
      </c>
      <c r="U23" s="774">
        <f>H23</f>
        <v>100</v>
      </c>
      <c r="V23" s="773" t="s">
        <v>17</v>
      </c>
      <c r="W23" s="774">
        <f>J23</f>
        <v>100</v>
      </c>
      <c r="X23" s="1809"/>
      <c r="Y23" s="3498"/>
      <c r="Z23" s="1810" t="str">
        <f>Q23</f>
        <v>环境质量</v>
      </c>
      <c r="AA23" s="1807">
        <f t="shared" si="3"/>
        <v>1</v>
      </c>
      <c r="AB23" s="1807">
        <f t="shared" si="4"/>
        <v>1</v>
      </c>
      <c r="AC23" s="2671">
        <f t="shared" si="5"/>
        <v>1</v>
      </c>
    </row>
    <row r="24" spans="1:29" ht="15">
      <c r="A24" s="428"/>
      <c r="B24" s="633"/>
      <c r="C24" s="2608" t="s">
        <v>3199</v>
      </c>
      <c r="D24" s="448"/>
      <c r="E24" s="2608" t="s">
        <v>3199</v>
      </c>
      <c r="F24" s="448"/>
      <c r="G24" s="2608" t="s">
        <v>3199</v>
      </c>
      <c r="H24" s="448"/>
      <c r="I24" s="2608" t="s">
        <v>3199</v>
      </c>
      <c r="J24" s="448"/>
      <c r="K24" s="615"/>
      <c r="L24" s="1142"/>
      <c r="M24" s="1133"/>
      <c r="N24" s="1133"/>
      <c r="O24" s="1133"/>
      <c r="P24" s="3496"/>
      <c r="Q24" s="1806"/>
      <c r="R24" s="773"/>
      <c r="S24" s="774"/>
      <c r="T24" s="773"/>
      <c r="U24" s="774"/>
      <c r="V24" s="773"/>
      <c r="W24" s="774"/>
      <c r="X24" s="1809"/>
      <c r="Y24" s="3498"/>
      <c r="Z24" s="1810"/>
      <c r="AA24" s="1807">
        <v>1</v>
      </c>
      <c r="AB24" s="1807">
        <v>1</v>
      </c>
      <c r="AC24" s="2671">
        <v>1</v>
      </c>
    </row>
    <row r="25" spans="1:29" ht="27">
      <c r="A25" s="404"/>
      <c r="B25" s="631" t="s">
        <v>2687</v>
      </c>
      <c r="C25" s="2971" t="s">
        <v>3210</v>
      </c>
      <c r="D25" s="435">
        <v>100</v>
      </c>
      <c r="E25" s="2971" t="s">
        <v>3211</v>
      </c>
      <c r="F25" s="435">
        <f>SUMIF(87:87,E26,88:88)-SUMIF(87:87,C26,88:88)+100</f>
        <v>100</v>
      </c>
      <c r="G25" s="2971" t="s">
        <v>3210</v>
      </c>
      <c r="H25" s="435">
        <f>SUMIF(87:87,G26,88:88)-SUMIF(87:87,C26,88:88)+100</f>
        <v>100</v>
      </c>
      <c r="I25" s="2971" t="s">
        <v>3219</v>
      </c>
      <c r="J25" s="435">
        <f>SUMIF(87:87,I26,88:88)-SUMIF(87:87,C26,88:88)+100</f>
        <v>100</v>
      </c>
      <c r="K25" s="614"/>
      <c r="L25" s="1142"/>
      <c r="M25" s="1133"/>
      <c r="N25" s="1133"/>
      <c r="O25" s="1133"/>
      <c r="P25" s="3496"/>
      <c r="Q25" s="1806" t="str">
        <f>B25</f>
        <v>毗邻道路的类型与等级</v>
      </c>
      <c r="R25" s="773" t="s">
        <v>17</v>
      </c>
      <c r="S25" s="774">
        <f>F25</f>
        <v>100</v>
      </c>
      <c r="T25" s="773" t="s">
        <v>17</v>
      </c>
      <c r="U25" s="774">
        <f>H25</f>
        <v>100</v>
      </c>
      <c r="V25" s="773" t="s">
        <v>17</v>
      </c>
      <c r="W25" s="774">
        <f>J25</f>
        <v>100</v>
      </c>
      <c r="X25" s="1809"/>
      <c r="Y25" s="3498"/>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42"/>
      <c r="M26" s="1133"/>
      <c r="N26" s="1133"/>
      <c r="O26" s="1133"/>
      <c r="P26" s="3496"/>
      <c r="Q26" s="1806"/>
      <c r="R26" s="773"/>
      <c r="S26" s="774"/>
      <c r="T26" s="773"/>
      <c r="U26" s="774"/>
      <c r="V26" s="773"/>
      <c r="W26" s="774"/>
      <c r="X26" s="1809"/>
      <c r="Y26" s="3498"/>
      <c r="Z26" s="1810"/>
      <c r="AA26" s="1807">
        <v>1</v>
      </c>
      <c r="AB26" s="1807">
        <v>1</v>
      </c>
      <c r="AC26" s="2671">
        <v>1</v>
      </c>
    </row>
    <row r="27" spans="1:29" ht="15">
      <c r="A27" s="428"/>
      <c r="B27" s="632" t="s">
        <v>2655</v>
      </c>
      <c r="C27" s="634" t="s">
        <v>3173</v>
      </c>
      <c r="D27" s="435">
        <v>100</v>
      </c>
      <c r="E27" s="616" t="s">
        <v>3173</v>
      </c>
      <c r="F27" s="435">
        <f>SUMIF(89:89,E27,90:90)-SUMIF(89:89,C27,90:90)+100</f>
        <v>100</v>
      </c>
      <c r="G27" s="634" t="s">
        <v>3171</v>
      </c>
      <c r="H27" s="435">
        <f>SUMIF(89:89,G27,90:90)-SUMIF(89:89,C27,90:90)+100</f>
        <v>102</v>
      </c>
      <c r="I27" s="616" t="s">
        <v>3173</v>
      </c>
      <c r="J27" s="435">
        <f>SUMIF(89:89,I27,90:90)-SUMIF(89:89,C27,90:90)+100</f>
        <v>100</v>
      </c>
      <c r="K27" s="612">
        <v>2</v>
      </c>
      <c r="L27" s="1142"/>
      <c r="M27" s="1133"/>
      <c r="N27" s="1133"/>
      <c r="O27" s="1133"/>
      <c r="P27" s="3496"/>
      <c r="Q27" s="1806" t="str">
        <f t="shared" ref="Q27:Q47" si="11">B27</f>
        <v>楼层</v>
      </c>
      <c r="R27" s="773" t="s">
        <v>17</v>
      </c>
      <c r="S27" s="774">
        <f>F27</f>
        <v>100</v>
      </c>
      <c r="T27" s="773" t="s">
        <v>17</v>
      </c>
      <c r="U27" s="774">
        <f>H27</f>
        <v>102</v>
      </c>
      <c r="V27" s="773" t="s">
        <v>17</v>
      </c>
      <c r="W27" s="774">
        <f>J27</f>
        <v>100</v>
      </c>
      <c r="X27" s="1809"/>
      <c r="Y27" s="3498"/>
      <c r="Z27" s="1810" t="str">
        <f>Q27</f>
        <v>楼层</v>
      </c>
      <c r="AA27" s="1807">
        <f t="shared" si="3"/>
        <v>1</v>
      </c>
      <c r="AB27" s="1807">
        <f t="shared" si="4"/>
        <v>0.98039215686274506</v>
      </c>
      <c r="AC27" s="2671">
        <f t="shared" si="5"/>
        <v>1</v>
      </c>
    </row>
    <row r="28" spans="1:29" s="117" customFormat="1" ht="15.75" thickBot="1">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496"/>
      <c r="Q28" s="1791" t="str">
        <f t="shared" si="11"/>
        <v>朝向</v>
      </c>
      <c r="R28" s="769" t="s">
        <v>17</v>
      </c>
      <c r="S28" s="770">
        <f>F28</f>
        <v>100</v>
      </c>
      <c r="T28" s="769" t="s">
        <v>17</v>
      </c>
      <c r="U28" s="770">
        <f>H28</f>
        <v>100</v>
      </c>
      <c r="V28" s="769" t="s">
        <v>17</v>
      </c>
      <c r="W28" s="770">
        <f>J28</f>
        <v>100</v>
      </c>
      <c r="X28" s="771"/>
      <c r="Y28" s="3498"/>
      <c r="Z28" s="55" t="str">
        <f>Q28</f>
        <v>朝向</v>
      </c>
      <c r="AA28" s="1807">
        <f>D28/F28</f>
        <v>1</v>
      </c>
      <c r="AB28" s="1807">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496"/>
      <c r="Q29" s="1806">
        <f t="shared" si="11"/>
        <v>111</v>
      </c>
      <c r="R29" s="773" t="s">
        <v>17</v>
      </c>
      <c r="S29" s="774">
        <f t="shared" ref="S29:S47" si="12">F29</f>
        <v>100</v>
      </c>
      <c r="T29" s="773" t="s">
        <v>17</v>
      </c>
      <c r="U29" s="774">
        <f t="shared" ref="U29:U47" si="13">H29</f>
        <v>100</v>
      </c>
      <c r="V29" s="773" t="s">
        <v>17</v>
      </c>
      <c r="W29" s="774">
        <f t="shared" ref="W29:W47" si="14">J29</f>
        <v>100</v>
      </c>
      <c r="X29" s="1809"/>
      <c r="Y29" s="3498"/>
      <c r="Z29" s="1810">
        <f t="shared" ref="Z29:Z47" si="15">Q29</f>
        <v>111</v>
      </c>
      <c r="AA29" s="1807">
        <f t="shared" si="3"/>
        <v>1</v>
      </c>
      <c r="AB29" s="1807">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496"/>
      <c r="Q30" s="1806">
        <f t="shared" si="11"/>
        <v>111</v>
      </c>
      <c r="R30" s="773" t="s">
        <v>17</v>
      </c>
      <c r="S30" s="774">
        <f t="shared" si="12"/>
        <v>100</v>
      </c>
      <c r="T30" s="773" t="s">
        <v>17</v>
      </c>
      <c r="U30" s="774">
        <f t="shared" si="13"/>
        <v>100</v>
      </c>
      <c r="V30" s="773" t="s">
        <v>17</v>
      </c>
      <c r="W30" s="774">
        <f t="shared" si="14"/>
        <v>100</v>
      </c>
      <c r="X30" s="1809"/>
      <c r="Y30" s="3498"/>
      <c r="Z30" s="1810">
        <f t="shared" si="15"/>
        <v>111</v>
      </c>
      <c r="AA30" s="1807">
        <f t="shared" si="3"/>
        <v>1</v>
      </c>
      <c r="AB30" s="1807">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496"/>
      <c r="Q31" s="1806">
        <f t="shared" si="11"/>
        <v>111</v>
      </c>
      <c r="R31" s="773" t="s">
        <v>17</v>
      </c>
      <c r="S31" s="774">
        <f t="shared" si="12"/>
        <v>100</v>
      </c>
      <c r="T31" s="773" t="s">
        <v>17</v>
      </c>
      <c r="U31" s="774">
        <f t="shared" si="13"/>
        <v>100</v>
      </c>
      <c r="V31" s="773" t="s">
        <v>17</v>
      </c>
      <c r="W31" s="774">
        <f t="shared" si="14"/>
        <v>100</v>
      </c>
      <c r="X31" s="1809"/>
      <c r="Y31" s="3498"/>
      <c r="Z31" s="1810">
        <f t="shared" si="15"/>
        <v>111</v>
      </c>
      <c r="AA31" s="1807">
        <f t="shared" si="3"/>
        <v>1</v>
      </c>
      <c r="AB31" s="1807">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496"/>
      <c r="Q32" s="1806">
        <f t="shared" si="11"/>
        <v>111</v>
      </c>
      <c r="R32" s="773" t="s">
        <v>17</v>
      </c>
      <c r="S32" s="774">
        <f t="shared" si="12"/>
        <v>100</v>
      </c>
      <c r="T32" s="773" t="s">
        <v>17</v>
      </c>
      <c r="U32" s="774">
        <f t="shared" si="13"/>
        <v>100</v>
      </c>
      <c r="V32" s="773" t="s">
        <v>17</v>
      </c>
      <c r="W32" s="774">
        <f t="shared" si="14"/>
        <v>100</v>
      </c>
      <c r="X32" s="1809"/>
      <c r="Y32" s="3498"/>
      <c r="Z32" s="1810">
        <f t="shared" si="15"/>
        <v>111</v>
      </c>
      <c r="AA32" s="1807">
        <f t="shared" si="3"/>
        <v>1</v>
      </c>
      <c r="AB32" s="1807">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499" t="s">
        <v>2561</v>
      </c>
      <c r="Q33" s="1806" t="str">
        <f t="shared" si="11"/>
        <v>建筑类型</v>
      </c>
      <c r="R33" s="773" t="s">
        <v>17</v>
      </c>
      <c r="S33" s="774">
        <f t="shared" si="12"/>
        <v>100</v>
      </c>
      <c r="T33" s="773" t="s">
        <v>17</v>
      </c>
      <c r="U33" s="774">
        <f t="shared" si="13"/>
        <v>100</v>
      </c>
      <c r="V33" s="773" t="s">
        <v>17</v>
      </c>
      <c r="W33" s="774">
        <f t="shared" si="14"/>
        <v>100</v>
      </c>
      <c r="X33" s="1809"/>
      <c r="Y33" s="3502" t="s">
        <v>2561</v>
      </c>
      <c r="Z33" s="1810" t="str">
        <f t="shared" si="15"/>
        <v>建筑类型</v>
      </c>
      <c r="AA33" s="1807">
        <f t="shared" si="3"/>
        <v>1</v>
      </c>
      <c r="AB33" s="1807">
        <f t="shared" si="4"/>
        <v>1</v>
      </c>
      <c r="AC33" s="2671">
        <f t="shared" si="5"/>
        <v>1</v>
      </c>
    </row>
    <row r="34" spans="1:29" s="471" customFormat="1" ht="15">
      <c r="A34" s="468"/>
      <c r="B34" s="422" t="s">
        <v>2562</v>
      </c>
      <c r="C34" s="469">
        <f>'数据-汇总表'!F19</f>
        <v>145</v>
      </c>
      <c r="D34" s="136">
        <v>100</v>
      </c>
      <c r="E34" s="430">
        <v>1700</v>
      </c>
      <c r="F34" s="425">
        <f>LOOKUP(E34,104:104,105:105)-LOOKUP(C34,104:104,105:105)+100</f>
        <v>97</v>
      </c>
      <c r="G34" s="429">
        <v>50</v>
      </c>
      <c r="H34" s="136">
        <f>LOOKUP(G34,104:104,105:105)-LOOKUP(C34,104:104,105:105)+100</f>
        <v>100</v>
      </c>
      <c r="I34" s="429">
        <v>40</v>
      </c>
      <c r="J34" s="136">
        <f>LOOKUP(I34,104:104,105:105)-LOOKUP(C34,104:104,105:105)+100</f>
        <v>100</v>
      </c>
      <c r="K34" s="613"/>
      <c r="L34" s="1140"/>
      <c r="M34" s="1143"/>
      <c r="N34" s="1143"/>
      <c r="O34" s="1143"/>
      <c r="P34" s="3500"/>
      <c r="Q34" s="775" t="str">
        <f t="shared" si="11"/>
        <v>项目建筑规模</v>
      </c>
      <c r="R34" s="776" t="s">
        <v>17</v>
      </c>
      <c r="S34" s="777">
        <f t="shared" si="12"/>
        <v>97</v>
      </c>
      <c r="T34" s="776" t="s">
        <v>17</v>
      </c>
      <c r="U34" s="777">
        <f t="shared" si="13"/>
        <v>100</v>
      </c>
      <c r="V34" s="776" t="s">
        <v>17</v>
      </c>
      <c r="W34" s="777">
        <f t="shared" si="14"/>
        <v>100</v>
      </c>
      <c r="X34" s="778"/>
      <c r="Y34" s="3502"/>
      <c r="Z34" s="779" t="str">
        <f t="shared" si="15"/>
        <v>项目建筑规模</v>
      </c>
      <c r="AA34" s="1807">
        <f t="shared" si="3"/>
        <v>1.0309278350515463</v>
      </c>
      <c r="AB34" s="1807">
        <f t="shared" si="4"/>
        <v>1</v>
      </c>
      <c r="AC34" s="267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00"/>
      <c r="Q35" s="1806" t="str">
        <f t="shared" si="11"/>
        <v>建筑结构</v>
      </c>
      <c r="R35" s="773" t="s">
        <v>17</v>
      </c>
      <c r="S35" s="774">
        <f t="shared" si="12"/>
        <v>100</v>
      </c>
      <c r="T35" s="773" t="s">
        <v>17</v>
      </c>
      <c r="U35" s="774">
        <f t="shared" si="13"/>
        <v>100</v>
      </c>
      <c r="V35" s="773" t="s">
        <v>17</v>
      </c>
      <c r="W35" s="774">
        <f t="shared" si="14"/>
        <v>100</v>
      </c>
      <c r="X35" s="1809"/>
      <c r="Y35" s="3502"/>
      <c r="Z35" s="1810" t="str">
        <f t="shared" si="15"/>
        <v>建筑结构</v>
      </c>
      <c r="AA35" s="1807">
        <f t="shared" si="3"/>
        <v>1</v>
      </c>
      <c r="AB35" s="1807">
        <f t="shared" si="4"/>
        <v>1</v>
      </c>
      <c r="AC35" s="2671">
        <f t="shared" si="5"/>
        <v>1</v>
      </c>
    </row>
    <row r="36" spans="1:29" ht="15">
      <c r="A36" s="472"/>
      <c r="B36" s="422" t="s">
        <v>2657</v>
      </c>
      <c r="C36" s="460" t="s">
        <v>3193</v>
      </c>
      <c r="D36" s="435">
        <v>100</v>
      </c>
      <c r="E36" s="460" t="s">
        <v>3193</v>
      </c>
      <c r="F36" s="461">
        <f>SUMIF(108:108,E36,109:109)-SUMIF(108:108,C36,109:109)+100</f>
        <v>100</v>
      </c>
      <c r="G36" s="460" t="s">
        <v>3193</v>
      </c>
      <c r="H36" s="435">
        <f>SUMIF(108:108,G36,109:109)-SUMIF(108:108,C36,109:109)+100</f>
        <v>100</v>
      </c>
      <c r="I36" s="460" t="s">
        <v>3193</v>
      </c>
      <c r="J36" s="435">
        <f>SUMIF(108:108,I36,109:109)-SUMIF(108:108,C36,109:109)+100</f>
        <v>100</v>
      </c>
      <c r="K36" s="612"/>
      <c r="L36" s="1142"/>
      <c r="M36" s="1133"/>
      <c r="N36" s="1133"/>
      <c r="O36" s="1133"/>
      <c r="P36" s="3500"/>
      <c r="Q36" s="1806" t="str">
        <f t="shared" si="11"/>
        <v>公共部分装修</v>
      </c>
      <c r="R36" s="773" t="s">
        <v>17</v>
      </c>
      <c r="S36" s="774">
        <f t="shared" si="12"/>
        <v>100</v>
      </c>
      <c r="T36" s="773" t="s">
        <v>17</v>
      </c>
      <c r="U36" s="774">
        <f t="shared" si="13"/>
        <v>100</v>
      </c>
      <c r="V36" s="773" t="s">
        <v>17</v>
      </c>
      <c r="W36" s="774">
        <f t="shared" si="14"/>
        <v>100</v>
      </c>
      <c r="X36" s="1809"/>
      <c r="Y36" s="3502"/>
      <c r="Z36" s="1810" t="str">
        <f t="shared" si="15"/>
        <v>公共部分装修</v>
      </c>
      <c r="AA36" s="1807">
        <f t="shared" si="3"/>
        <v>1</v>
      </c>
      <c r="AB36" s="1807">
        <f t="shared" si="4"/>
        <v>1</v>
      </c>
      <c r="AC36" s="2671">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2"/>
      <c r="M37" s="1133"/>
      <c r="N37" s="1133"/>
      <c r="O37" s="1133"/>
      <c r="P37" s="3500"/>
      <c r="Q37" s="1806" t="str">
        <f t="shared" si="11"/>
        <v>成新度</v>
      </c>
      <c r="R37" s="773" t="s">
        <v>17</v>
      </c>
      <c r="S37" s="774">
        <f t="shared" si="12"/>
        <v>100</v>
      </c>
      <c r="T37" s="773" t="s">
        <v>17</v>
      </c>
      <c r="U37" s="774">
        <f t="shared" si="13"/>
        <v>100</v>
      </c>
      <c r="V37" s="773" t="s">
        <v>17</v>
      </c>
      <c r="W37" s="774">
        <f t="shared" si="14"/>
        <v>100</v>
      </c>
      <c r="X37" s="1809"/>
      <c r="Y37" s="3502"/>
      <c r="Z37" s="1810" t="str">
        <f t="shared" si="15"/>
        <v>成新度</v>
      </c>
      <c r="AA37" s="1807">
        <f t="shared" si="3"/>
        <v>1</v>
      </c>
      <c r="AB37" s="1807">
        <f t="shared" si="4"/>
        <v>1</v>
      </c>
      <c r="AC37" s="267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00"/>
      <c r="Q38" s="1791" t="str">
        <f t="shared" si="11"/>
        <v>写字楼等级</v>
      </c>
      <c r="R38" s="769" t="s">
        <v>17</v>
      </c>
      <c r="S38" s="770">
        <f t="shared" si="12"/>
        <v>100</v>
      </c>
      <c r="T38" s="769" t="s">
        <v>17</v>
      </c>
      <c r="U38" s="770">
        <f t="shared" si="13"/>
        <v>100</v>
      </c>
      <c r="V38" s="769" t="s">
        <v>17</v>
      </c>
      <c r="W38" s="770">
        <f t="shared" si="14"/>
        <v>100</v>
      </c>
      <c r="X38" s="771"/>
      <c r="Y38" s="3502"/>
      <c r="Z38" s="55" t="str">
        <f t="shared" si="15"/>
        <v>写字楼等级</v>
      </c>
      <c r="AA38" s="772">
        <f t="shared" si="3"/>
        <v>1</v>
      </c>
      <c r="AB38" s="772">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00" t="s">
        <v>2561</v>
      </c>
      <c r="Q39" s="1806" t="str">
        <f t="shared" si="11"/>
        <v>物业管理</v>
      </c>
      <c r="R39" s="773" t="s">
        <v>17</v>
      </c>
      <c r="S39" s="774">
        <f t="shared" si="12"/>
        <v>100</v>
      </c>
      <c r="T39" s="773" t="s">
        <v>17</v>
      </c>
      <c r="U39" s="774">
        <f t="shared" si="13"/>
        <v>100</v>
      </c>
      <c r="V39" s="773" t="s">
        <v>17</v>
      </c>
      <c r="W39" s="774">
        <f t="shared" si="14"/>
        <v>100</v>
      </c>
      <c r="X39" s="1809"/>
      <c r="Y39" s="3502" t="s">
        <v>2561</v>
      </c>
      <c r="Z39" s="1810" t="str">
        <f t="shared" si="15"/>
        <v>物业管理</v>
      </c>
      <c r="AA39" s="1807">
        <f t="shared" si="3"/>
        <v>1</v>
      </c>
      <c r="AB39" s="1807">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00"/>
      <c r="Q40" s="1806" t="str">
        <f t="shared" si="11"/>
        <v>市政基础设施</v>
      </c>
      <c r="R40" s="773" t="s">
        <v>17</v>
      </c>
      <c r="S40" s="774">
        <f t="shared" si="12"/>
        <v>100</v>
      </c>
      <c r="T40" s="773" t="s">
        <v>17</v>
      </c>
      <c r="U40" s="774">
        <f t="shared" si="13"/>
        <v>100</v>
      </c>
      <c r="V40" s="773" t="s">
        <v>17</v>
      </c>
      <c r="W40" s="774">
        <f t="shared" si="14"/>
        <v>100</v>
      </c>
      <c r="X40" s="1809"/>
      <c r="Y40" s="3502"/>
      <c r="Z40" s="1810" t="str">
        <f t="shared" si="15"/>
        <v>市政基础设施</v>
      </c>
      <c r="AA40" s="1807">
        <f t="shared" si="3"/>
        <v>1</v>
      </c>
      <c r="AB40" s="1807">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00"/>
      <c r="Q41" s="1806" t="str">
        <f t="shared" si="11"/>
        <v>层高</v>
      </c>
      <c r="R41" s="773" t="s">
        <v>17</v>
      </c>
      <c r="S41" s="774">
        <f t="shared" si="12"/>
        <v>100</v>
      </c>
      <c r="T41" s="773" t="s">
        <v>17</v>
      </c>
      <c r="U41" s="774">
        <f t="shared" si="13"/>
        <v>100</v>
      </c>
      <c r="V41" s="773" t="s">
        <v>17</v>
      </c>
      <c r="W41" s="774">
        <f t="shared" si="14"/>
        <v>100</v>
      </c>
      <c r="X41" s="1809"/>
      <c r="Y41" s="3502"/>
      <c r="Z41" s="1810" t="str">
        <f t="shared" si="15"/>
        <v>层高</v>
      </c>
      <c r="AA41" s="1807">
        <f t="shared" si="3"/>
        <v>1</v>
      </c>
      <c r="AB41" s="1807">
        <f t="shared" si="4"/>
        <v>1</v>
      </c>
      <c r="AC41" s="2671">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00"/>
      <c r="Q42" s="775" t="str">
        <f t="shared" si="11"/>
        <v>单套建筑面积</v>
      </c>
      <c r="R42" s="776" t="s">
        <v>17</v>
      </c>
      <c r="S42" s="777">
        <f t="shared" si="12"/>
        <v>100</v>
      </c>
      <c r="T42" s="776" t="s">
        <v>17</v>
      </c>
      <c r="U42" s="777">
        <f t="shared" si="13"/>
        <v>100</v>
      </c>
      <c r="V42" s="776" t="s">
        <v>17</v>
      </c>
      <c r="W42" s="777">
        <f t="shared" si="14"/>
        <v>100</v>
      </c>
      <c r="X42" s="778"/>
      <c r="Y42" s="3502"/>
      <c r="Z42" s="779" t="str">
        <f t="shared" si="15"/>
        <v>单套建筑面积</v>
      </c>
      <c r="AA42" s="1807">
        <f t="shared" si="3"/>
        <v>1</v>
      </c>
      <c r="AB42" s="1807">
        <f t="shared" si="4"/>
        <v>1</v>
      </c>
      <c r="AC42" s="2671">
        <f t="shared" si="5"/>
        <v>1</v>
      </c>
    </row>
    <row r="43" spans="1:29" ht="15">
      <c r="A43" s="472"/>
      <c r="B43" s="422" t="s">
        <v>2664</v>
      </c>
      <c r="C43" s="460" t="s">
        <v>3197</v>
      </c>
      <c r="D43" s="435">
        <v>100</v>
      </c>
      <c r="E43" s="460" t="s">
        <v>3195</v>
      </c>
      <c r="F43" s="461">
        <f>SUMIF(123:123,E43,124:124)-SUMIF(123:123,C43,124:124)+100</f>
        <v>103</v>
      </c>
      <c r="G43" s="460" t="s">
        <v>3197</v>
      </c>
      <c r="H43" s="435">
        <f>SUMIF(123:123,G43,124:124)-SUMIF(123:123,C43,124:124)+100</f>
        <v>100</v>
      </c>
      <c r="I43" s="460" t="s">
        <v>3197</v>
      </c>
      <c r="J43" s="435">
        <f>SUMIF(123:123,I43,124:124)-SUMIF(123:123,C43,124:124)+100</f>
        <v>100</v>
      </c>
      <c r="K43" s="612">
        <v>3</v>
      </c>
      <c r="L43" s="1142"/>
      <c r="M43" s="1133"/>
      <c r="N43" s="1133"/>
      <c r="O43" s="1133"/>
      <c r="P43" s="3500"/>
      <c r="Q43" s="1806" t="str">
        <f t="shared" si="11"/>
        <v>内部装修</v>
      </c>
      <c r="R43" s="773" t="s">
        <v>17</v>
      </c>
      <c r="S43" s="774">
        <f t="shared" si="12"/>
        <v>103</v>
      </c>
      <c r="T43" s="773" t="s">
        <v>17</v>
      </c>
      <c r="U43" s="774">
        <f t="shared" si="13"/>
        <v>100</v>
      </c>
      <c r="V43" s="773" t="s">
        <v>17</v>
      </c>
      <c r="W43" s="774">
        <f t="shared" si="14"/>
        <v>100</v>
      </c>
      <c r="X43" s="1809"/>
      <c r="Y43" s="3502"/>
      <c r="Z43" s="1810" t="str">
        <f t="shared" si="15"/>
        <v>内部装修</v>
      </c>
      <c r="AA43" s="1807">
        <f t="shared" si="3"/>
        <v>0.970873786407767</v>
      </c>
      <c r="AB43" s="1807">
        <f t="shared" si="4"/>
        <v>1</v>
      </c>
      <c r="AC43" s="2671">
        <f t="shared" si="5"/>
        <v>1</v>
      </c>
    </row>
    <row r="44" spans="1:29" ht="15.75" thickBot="1">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00"/>
      <c r="Q44" s="1806" t="str">
        <f t="shared" si="11"/>
        <v>内部装修维护情况</v>
      </c>
      <c r="R44" s="773" t="s">
        <v>17</v>
      </c>
      <c r="S44" s="774">
        <f t="shared" si="12"/>
        <v>100</v>
      </c>
      <c r="T44" s="773" t="s">
        <v>17</v>
      </c>
      <c r="U44" s="774">
        <f t="shared" si="13"/>
        <v>100</v>
      </c>
      <c r="V44" s="773" t="s">
        <v>17</v>
      </c>
      <c r="W44" s="774">
        <f t="shared" si="14"/>
        <v>100</v>
      </c>
      <c r="X44" s="1809"/>
      <c r="Y44" s="3502"/>
      <c r="Z44" s="1810" t="str">
        <f t="shared" si="15"/>
        <v>内部装修维护情况</v>
      </c>
      <c r="AA44" s="1807">
        <f t="shared" si="3"/>
        <v>1</v>
      </c>
      <c r="AB44" s="1807">
        <f t="shared" si="4"/>
        <v>1</v>
      </c>
      <c r="AC44" s="2671">
        <f t="shared" si="5"/>
        <v>1</v>
      </c>
    </row>
    <row r="45" spans="1:29" s="117" customFormat="1" ht="15" hidden="1">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00"/>
      <c r="Q45" s="1791">
        <f t="shared" si="11"/>
        <v>111</v>
      </c>
      <c r="R45" s="769" t="s">
        <v>17</v>
      </c>
      <c r="S45" s="770">
        <f t="shared" si="12"/>
        <v>100</v>
      </c>
      <c r="T45" s="769" t="s">
        <v>17</v>
      </c>
      <c r="U45" s="770">
        <f t="shared" si="13"/>
        <v>100</v>
      </c>
      <c r="V45" s="769" t="s">
        <v>17</v>
      </c>
      <c r="W45" s="770">
        <f t="shared" si="14"/>
        <v>100</v>
      </c>
      <c r="X45" s="771"/>
      <c r="Y45" s="3502"/>
      <c r="Z45" s="55">
        <f t="shared" si="15"/>
        <v>111</v>
      </c>
      <c r="AA45" s="772">
        <f t="shared" si="3"/>
        <v>1</v>
      </c>
      <c r="AB45" s="772">
        <f t="shared" si="4"/>
        <v>1</v>
      </c>
      <c r="AC45" s="2668">
        <f t="shared" si="5"/>
        <v>1</v>
      </c>
    </row>
    <row r="46" spans="1:29" ht="15" hidden="1">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00"/>
      <c r="Q46" s="1806">
        <f t="shared" si="11"/>
        <v>111</v>
      </c>
      <c r="R46" s="773" t="s">
        <v>17</v>
      </c>
      <c r="S46" s="774">
        <f t="shared" si="12"/>
        <v>100</v>
      </c>
      <c r="T46" s="773" t="s">
        <v>17</v>
      </c>
      <c r="U46" s="774">
        <f t="shared" si="13"/>
        <v>100</v>
      </c>
      <c r="V46" s="773" t="s">
        <v>17</v>
      </c>
      <c r="W46" s="774">
        <f t="shared" si="14"/>
        <v>100</v>
      </c>
      <c r="X46" s="1809"/>
      <c r="Y46" s="3502"/>
      <c r="Z46" s="1810">
        <f t="shared" si="15"/>
        <v>111</v>
      </c>
      <c r="AA46" s="1807">
        <f t="shared" si="3"/>
        <v>1</v>
      </c>
      <c r="AB46" s="1807">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01"/>
      <c r="Q47" s="1806">
        <f t="shared" si="11"/>
        <v>111</v>
      </c>
      <c r="R47" s="773" t="s">
        <v>17</v>
      </c>
      <c r="S47" s="774">
        <f t="shared" si="12"/>
        <v>100</v>
      </c>
      <c r="T47" s="773" t="s">
        <v>17</v>
      </c>
      <c r="U47" s="774">
        <f t="shared" si="13"/>
        <v>100</v>
      </c>
      <c r="V47" s="773" t="s">
        <v>17</v>
      </c>
      <c r="W47" s="774">
        <f t="shared" si="14"/>
        <v>100</v>
      </c>
      <c r="X47" s="1809"/>
      <c r="Y47" s="3503"/>
      <c r="Z47" s="1810">
        <f t="shared" si="15"/>
        <v>111</v>
      </c>
      <c r="AA47" s="1807">
        <f t="shared" si="3"/>
        <v>1</v>
      </c>
      <c r="AB47" s="1807">
        <f t="shared" si="4"/>
        <v>1</v>
      </c>
      <c r="AC47" s="2671">
        <f t="shared" si="5"/>
        <v>1</v>
      </c>
    </row>
    <row r="48" spans="1:29" ht="15">
      <c r="A48" s="479" t="s">
        <v>2573</v>
      </c>
      <c r="B48" s="480"/>
      <c r="C48" s="1403" t="s">
        <v>1</v>
      </c>
      <c r="D48" s="1404"/>
      <c r="E48" s="1405">
        <f>35000*0.98</f>
        <v>34300</v>
      </c>
      <c r="F48" s="1406"/>
      <c r="G48" s="1407">
        <f>38000*0.98</f>
        <v>37240</v>
      </c>
      <c r="H48" s="1408"/>
      <c r="I48" s="1405">
        <f>ROUND(37500*0.98,0)</f>
        <v>36750</v>
      </c>
      <c r="J48" s="485"/>
      <c r="K48" s="782"/>
      <c r="L48" s="1145"/>
      <c r="M48" s="1133"/>
      <c r="N48" s="1133"/>
      <c r="O48" s="1133"/>
      <c r="P48" s="3489" t="str">
        <f>A48</f>
        <v>成交单价（元/平方米）</v>
      </c>
      <c r="Q48" s="3490"/>
      <c r="R48" s="3491">
        <f>E48</f>
        <v>34300</v>
      </c>
      <c r="S48" s="3491"/>
      <c r="T48" s="3491">
        <f>G48</f>
        <v>37240</v>
      </c>
      <c r="U48" s="3491"/>
      <c r="V48" s="3491">
        <f>I48</f>
        <v>36750</v>
      </c>
      <c r="W48" s="3491"/>
      <c r="X48" s="446"/>
      <c r="Y48" s="780"/>
      <c r="Z48" s="446"/>
      <c r="AA48" s="446"/>
      <c r="AB48" s="446"/>
      <c r="AC48" s="630"/>
    </row>
    <row r="49" spans="1:29" ht="15.75" thickBot="1">
      <c r="A49" s="486" t="s">
        <v>2665</v>
      </c>
      <c r="B49" s="487"/>
      <c r="C49" s="1409">
        <f>R50</f>
        <v>36218</v>
      </c>
      <c r="D49" s="1410"/>
      <c r="E49" s="1411">
        <f>R49</f>
        <v>35393</v>
      </c>
      <c r="F49" s="1411"/>
      <c r="G49" s="1409">
        <f>T49</f>
        <v>36510</v>
      </c>
      <c r="H49" s="1410"/>
      <c r="I49" s="1411">
        <f>V49</f>
        <v>36750</v>
      </c>
      <c r="J49" s="489"/>
      <c r="K49" s="783"/>
      <c r="L49" s="1145"/>
      <c r="M49" s="1133"/>
      <c r="N49" s="1133"/>
      <c r="O49" s="1133"/>
      <c r="P49" s="3489" t="str">
        <f>A49</f>
        <v>比较价值（元/平方米）</v>
      </c>
      <c r="Q49" s="3490"/>
      <c r="R49" s="3491">
        <f>IF(F1="售价",ROUND(PRODUCT(R48,AA7:AA47),0),ROUND(PRODUCT(R48,AA7:AA47),1))</f>
        <v>35393</v>
      </c>
      <c r="S49" s="3491"/>
      <c r="T49" s="3491">
        <f>IF(F1="售价",ROUND(PRODUCT(T48,AB7:AB47),0),ROUND(PRODUCT(T48,AB7:AB47),1))</f>
        <v>36510</v>
      </c>
      <c r="U49" s="3491"/>
      <c r="V49" s="3491">
        <f>IF(F1="售价",ROUND(PRODUCT(V48,AC7:AC47),0),ROUND(PRODUCT(V48,AC7:AC47),1))</f>
        <v>36750</v>
      </c>
      <c r="W49" s="3491"/>
      <c r="X49" s="446"/>
      <c r="Y49" s="446"/>
      <c r="Z49" s="446"/>
      <c r="AA49" s="446"/>
      <c r="AB49" s="446"/>
      <c r="AC49" s="630"/>
    </row>
    <row r="50" spans="1:29" ht="15.75" thickBot="1">
      <c r="A50" s="492" t="s">
        <v>2666</v>
      </c>
      <c r="B50" s="493"/>
      <c r="C50" s="1413">
        <f>R50</f>
        <v>36218</v>
      </c>
      <c r="D50" s="1413"/>
      <c r="E50" s="1413"/>
      <c r="F50" s="1413"/>
      <c r="G50" s="1413"/>
      <c r="H50" s="1413"/>
      <c r="I50" s="1413"/>
      <c r="J50" s="494"/>
      <c r="K50" s="784"/>
      <c r="L50" s="1145"/>
      <c r="M50" s="1133"/>
      <c r="N50" s="1133"/>
      <c r="O50" s="1133"/>
      <c r="P50" s="3492" t="str">
        <f>A50</f>
        <v>估价对象XX用房的比较价值（楼面单价，元/平方米）</v>
      </c>
      <c r="Q50" s="3493"/>
      <c r="R50" s="3494">
        <f>IF(F1="售价",ROUND(AVERAGE(R49:V49),0),ROUND(AVERAGE(R49:V49),1))</f>
        <v>36218</v>
      </c>
      <c r="S50" s="3494"/>
      <c r="T50" s="3494"/>
      <c r="U50" s="3494"/>
      <c r="V50" s="3494"/>
      <c r="W50" s="3494"/>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3.1865889212828069E-2</v>
      </c>
      <c r="F53" s="500" t="str">
        <f>IF(OR(E53&gt;=0.3,E53&lt;=-0.3),"超过30%","")</f>
        <v/>
      </c>
      <c r="G53" s="499">
        <f>IF(G48&lt;G49,G49/G48-1,G48/G49-1)</f>
        <v>1.9994522048753849E-2</v>
      </c>
      <c r="H53" s="500" t="str">
        <f>IF(OR(G53&gt;=0.3,G53&lt;=-0.3),"超过30%","")</f>
        <v/>
      </c>
      <c r="I53" s="499">
        <f>IF(I48&lt;I49,I49/I48-1,I48/I49-1)</f>
        <v>0</v>
      </c>
      <c r="J53" s="500" t="str">
        <f>IF(OR(I53&gt;=0.3,I53&lt;=-0.3),"超过30%","")</f>
        <v/>
      </c>
      <c r="K53" s="1107"/>
      <c r="L53" s="1108"/>
      <c r="M53" s="1146"/>
      <c r="N53" s="1146"/>
      <c r="O53" s="1146"/>
    </row>
    <row r="54" spans="1:29" ht="13.5" customHeight="1">
      <c r="A54" s="1146"/>
      <c r="B54" s="1146"/>
      <c r="C54" s="497" t="s">
        <v>2668</v>
      </c>
      <c r="D54" s="501"/>
      <c r="E54" s="499">
        <f>IF(E49&lt;G49,G49/E49-1,E49/G49-1)</f>
        <v>3.1559912977142446E-2</v>
      </c>
      <c r="F54" s="500" t="str">
        <f>IF(OR(E54&gt;=0.2,E54&lt;=-0.2),"超过20%","")</f>
        <v/>
      </c>
      <c r="G54" s="499">
        <f>IF(G49&lt;I49,I49/G49-1,G49/I49-1)</f>
        <v>6.5735414954806171E-3</v>
      </c>
      <c r="H54" s="500" t="str">
        <f>IF(OR(G54&gt;=0.2,G54&lt;=-0.2),"超过20%","")</f>
        <v/>
      </c>
      <c r="I54" s="499">
        <f>IF(I49&lt;E49,E49/I49-1,I49/E49-1)</f>
        <v>3.8340914870172105E-2</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8.5714285714285632E-2</v>
      </c>
      <c r="F55" s="500" t="str">
        <f>IF(OR(E55&gt;=0.3,E55&lt;=-0.3),"超过30%","")</f>
        <v/>
      </c>
      <c r="G55" s="499">
        <f>IF(G48&lt;I48,I48/G48-1,G48/I48-1)</f>
        <v>1.3333333333333419E-2</v>
      </c>
      <c r="H55" s="500" t="str">
        <f>IF(OR(G55&gt;=0.3,G55&lt;=-0.3),"超过30%","")</f>
        <v/>
      </c>
      <c r="I55" s="499">
        <f>IF(I48&lt;E48,E48/I48-1,I48/E48-1)</f>
        <v>7.1428571428571397E-2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78"/>
      <c r="Q58" s="504"/>
    </row>
    <row r="59" spans="1:29" s="508" customFormat="1" ht="15">
      <c r="A59" s="505" t="s">
        <v>2544</v>
      </c>
      <c r="B59" s="506"/>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2584</v>
      </c>
      <c r="B64" s="528" t="s">
        <v>2550</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1"/>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5"/>
      <c r="O78" s="1155"/>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2954" t="s">
        <v>3170</v>
      </c>
      <c r="D89" s="2954" t="s">
        <v>3172</v>
      </c>
      <c r="E89" s="2954" t="s">
        <v>3174</v>
      </c>
      <c r="F89" s="2632"/>
      <c r="G89" s="554"/>
      <c r="H89" s="554"/>
      <c r="I89" s="554"/>
      <c r="J89" s="554"/>
      <c r="K89" s="554"/>
      <c r="L89" s="554"/>
      <c r="M89" s="581"/>
      <c r="N89" s="1153"/>
      <c r="O89" s="1153"/>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2559</v>
      </c>
      <c r="B101" s="528" t="s">
        <v>2608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29.2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6"/>
      <c r="O104" s="1156"/>
      <c r="P104" s="2682"/>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5"/>
      <c r="O105" s="1155"/>
      <c r="P105" s="2682"/>
      <c r="Q105" s="559"/>
    </row>
    <row r="106" spans="1:17" ht="15" thickTop="1">
      <c r="A106" s="599"/>
      <c r="B106" s="538" t="s">
        <v>2610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2612</v>
      </c>
      <c r="C108" s="2954" t="s">
        <v>3192</v>
      </c>
      <c r="D108" s="2954" t="s">
        <v>3194</v>
      </c>
      <c r="E108" s="2954" t="s">
        <v>3196</v>
      </c>
      <c r="F108" s="2966" t="s">
        <v>3198</v>
      </c>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2616</v>
      </c>
      <c r="C123" s="2954" t="s">
        <v>3192</v>
      </c>
      <c r="D123" s="2954" t="s">
        <v>3194</v>
      </c>
      <c r="E123" s="2954" t="s">
        <v>3196</v>
      </c>
      <c r="F123" s="2966" t="s">
        <v>3198</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t="s">
        <v>3157</v>
      </c>
      <c r="D1" s="1816" t="s">
        <v>70</v>
      </c>
      <c r="E1" s="1817" t="s">
        <v>1383</v>
      </c>
      <c r="F1" s="1279">
        <f ca="1">J53</f>
        <v>44.3</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338</v>
      </c>
      <c r="C2" s="1841" t="s">
        <v>1512</v>
      </c>
      <c r="D2" s="1841"/>
      <c r="E2" s="1842"/>
      <c r="F2" s="1843"/>
      <c r="G2" s="1844"/>
      <c r="H2" s="1836"/>
      <c r="I2" s="1836"/>
      <c r="J2" s="1836"/>
      <c r="K2" s="1837"/>
      <c r="L2" s="1836"/>
      <c r="M2" s="1836"/>
    </row>
    <row r="3" spans="1:37" ht="18" customHeight="1" thickBot="1">
      <c r="A3" s="1845" t="s">
        <v>1513</v>
      </c>
      <c r="B3" s="1846">
        <f ca="1">IF(ISERROR(B2*10000/F43),0,ROUND(B2*10000/F43,0))</f>
        <v>23310</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19</v>
      </c>
      <c r="D5" s="1818" t="s">
        <v>1398</v>
      </c>
      <c r="E5" s="1289"/>
      <c r="F5" s="1290"/>
      <c r="G5" s="1847"/>
      <c r="H5" s="344">
        <v>1</v>
      </c>
      <c r="I5" s="345" t="s">
        <v>1397</v>
      </c>
      <c r="J5" s="1288">
        <f ca="1">J6+J10+J12</f>
        <v>0</v>
      </c>
      <c r="K5" s="1818" t="s">
        <v>1398</v>
      </c>
      <c r="L5" s="1289"/>
      <c r="M5" s="1290"/>
    </row>
    <row r="6" spans="1:37" ht="18" customHeight="1">
      <c r="A6" s="1287" t="s">
        <v>1032</v>
      </c>
      <c r="B6" s="3544" t="s">
        <v>1399</v>
      </c>
      <c r="C6" s="1292">
        <f ca="1">ROUND(F6*F8*F7*(1-F9)/10000,0)</f>
        <v>19</v>
      </c>
      <c r="D6" s="164" t="s">
        <v>3027</v>
      </c>
      <c r="E6" s="347" t="s">
        <v>1401</v>
      </c>
      <c r="F6" s="348">
        <f ca="1">INDIRECT("'数据-取费表'!u"&amp;$G$1)</f>
        <v>3.9</v>
      </c>
      <c r="G6" s="1847"/>
      <c r="H6" s="1287" t="s">
        <v>1032</v>
      </c>
      <c r="I6" s="3544" t="s">
        <v>1399</v>
      </c>
      <c r="J6" s="346">
        <f ca="1">ROUND(M6*M8*M7*(1-M9)/10000,0)</f>
        <v>0</v>
      </c>
      <c r="K6" s="164" t="s">
        <v>3026</v>
      </c>
      <c r="L6" s="347" t="s">
        <v>1401</v>
      </c>
      <c r="M6" s="348">
        <f ca="1">INDIRECT("'数据-取费表'!z"&amp;$G$1)</f>
        <v>0</v>
      </c>
    </row>
    <row r="7" spans="1:37" ht="18" customHeight="1">
      <c r="A7" s="1291"/>
      <c r="B7" s="3545"/>
      <c r="C7" s="1293"/>
      <c r="D7" s="352"/>
      <c r="E7" s="1294" t="s">
        <v>1402</v>
      </c>
      <c r="F7" s="348">
        <f ca="1">IF(INDIRECT("'数据-取费表'!ah"&amp;$G$1)="",INDIRECT("'数据-取费表'!k"&amp;$G$1),INDIRECT("'数据-取费表'!ah"&amp;$G$1))</f>
        <v>145</v>
      </c>
      <c r="G7" s="1847"/>
      <c r="H7" s="349"/>
      <c r="I7" s="3545"/>
      <c r="J7" s="351"/>
      <c r="K7" s="352"/>
      <c r="L7" s="347" t="s">
        <v>1402</v>
      </c>
      <c r="M7" s="348">
        <f ca="1">F7</f>
        <v>145</v>
      </c>
    </row>
    <row r="8" spans="1:37" ht="18" customHeight="1">
      <c r="A8" s="349"/>
      <c r="B8" s="3545"/>
      <c r="C8" s="351"/>
      <c r="D8" s="352"/>
      <c r="E8" s="347" t="s">
        <v>1403</v>
      </c>
      <c r="F8" s="348">
        <f ca="1">INDIRECT("'数据-取费表'!ai"&amp;$G$1)</f>
        <v>365</v>
      </c>
      <c r="G8" s="1847"/>
      <c r="H8" s="349"/>
      <c r="I8" s="3545"/>
      <c r="J8" s="351"/>
      <c r="K8" s="352"/>
      <c r="L8" s="347" t="s">
        <v>1403</v>
      </c>
      <c r="M8" s="348">
        <f ca="1">INDIRECT("'数据-取费表'!ai"&amp;$G$1)</f>
        <v>365</v>
      </c>
    </row>
    <row r="9" spans="1:37" ht="18" customHeight="1">
      <c r="A9" s="349"/>
      <c r="B9" s="3546"/>
      <c r="C9" s="351"/>
      <c r="D9" s="352"/>
      <c r="E9" s="347" t="s">
        <v>1404</v>
      </c>
      <c r="F9" s="357">
        <f ca="1">INDIRECT("'数据-取费表'!w"&amp;$G$1)</f>
        <v>0.1</v>
      </c>
      <c r="G9" s="1847"/>
      <c r="H9" s="349"/>
      <c r="I9" s="3546"/>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3036</v>
      </c>
      <c r="E10" s="358" t="s">
        <v>1406</v>
      </c>
      <c r="F10" s="1362" t="s">
        <v>3165</v>
      </c>
      <c r="G10" s="1847"/>
      <c r="H10" s="1287" t="s">
        <v>1036</v>
      </c>
      <c r="I10" s="1819" t="s">
        <v>1405</v>
      </c>
      <c r="J10" s="346">
        <f ca="1">ROUND(IF(M10="押一",J6/12*M11,IF(M10="押二",J6/12*2*M11,IF(M10="押三",J6/12*3*M11,J11*M11))),0)</f>
        <v>0</v>
      </c>
      <c r="K10" s="1820" t="s">
        <v>3035</v>
      </c>
      <c r="L10" s="358" t="s">
        <v>1406</v>
      </c>
      <c r="M10" s="1362" t="s">
        <v>1407</v>
      </c>
    </row>
    <row r="11" spans="1:37" ht="18" customHeight="1">
      <c r="A11" s="353"/>
      <c r="B11" s="1821" t="s">
        <v>1384</v>
      </c>
      <c r="C11" s="1180"/>
      <c r="D11" s="1822"/>
      <c r="E11" s="358" t="s">
        <v>1408</v>
      </c>
      <c r="F11" s="359">
        <f ca="1">'数据-取费表'!B39</f>
        <v>1.4999999999999999E-2</v>
      </c>
      <c r="G11" s="1847"/>
      <c r="H11" s="1295"/>
      <c r="I11" s="1821" t="s">
        <v>1384</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v>
      </c>
      <c r="D13" s="1327" t="s">
        <v>1411</v>
      </c>
      <c r="E13" s="1327" t="s">
        <v>1412</v>
      </c>
      <c r="F13" s="1328">
        <f ca="1">INDIRECT("'数据-取费表'!y"&amp;$G$1)</f>
        <v>0.96699999999999997</v>
      </c>
      <c r="G13" s="1847"/>
      <c r="H13" s="1325">
        <v>2</v>
      </c>
      <c r="I13" s="1326" t="s">
        <v>1410</v>
      </c>
      <c r="J13" s="1286">
        <f ca="1">ROUND(J14*J15,0)</f>
        <v>0</v>
      </c>
      <c r="K13" s="1333" t="s">
        <v>1411</v>
      </c>
      <c r="L13" s="1848"/>
      <c r="M13" s="1849"/>
    </row>
    <row r="14" spans="1:37" ht="18" customHeight="1">
      <c r="A14" s="1203" t="s">
        <v>1031</v>
      </c>
      <c r="B14" s="347" t="s">
        <v>1413</v>
      </c>
      <c r="C14" s="363">
        <f ca="1">INDIRECT("'数据-取费表'!m"&amp;$G$1)+INDIRECT("'数据-取费表'!t"&amp;$G$1)</f>
        <v>46</v>
      </c>
      <c r="D14" s="1796" t="s">
        <v>1414</v>
      </c>
      <c r="E14" s="1790"/>
      <c r="F14" s="364"/>
      <c r="G14" s="1847"/>
      <c r="H14" s="1203" t="s">
        <v>1032</v>
      </c>
      <c r="I14" s="347" t="s">
        <v>1415</v>
      </c>
      <c r="J14" s="24">
        <f ca="1">C29</f>
        <v>69</v>
      </c>
      <c r="K14" s="15"/>
      <c r="L14" s="981"/>
      <c r="M14" s="982"/>
    </row>
    <row r="15" spans="1:37" s="1854" customFormat="1" ht="18" customHeight="1" thickBot="1">
      <c r="A15" s="1203"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v>
      </c>
      <c r="K16" s="1333" t="s">
        <v>1421</v>
      </c>
      <c r="L16" s="1334"/>
      <c r="M16" s="1290"/>
    </row>
    <row r="17" spans="1:37" s="1854" customFormat="1" ht="18" customHeight="1">
      <c r="A17" s="1203" t="s">
        <v>1386</v>
      </c>
      <c r="B17" s="347" t="s">
        <v>1422</v>
      </c>
      <c r="C17" s="24">
        <f ca="1">ROUND(F17*(F43+INDIRECT("'数据-取费表'!S"&amp;$G$1))/10000,0)</f>
        <v>3</v>
      </c>
      <c r="D17" s="347" t="s">
        <v>1423</v>
      </c>
      <c r="E17" s="347" t="s">
        <v>1424</v>
      </c>
      <c r="F17" s="26">
        <f>'数据-取费表'!B35</f>
        <v>200</v>
      </c>
      <c r="G17" s="1850"/>
      <c r="H17" s="1203" t="s">
        <v>1032</v>
      </c>
      <c r="I17" s="347" t="s">
        <v>1425</v>
      </c>
      <c r="J17" s="24">
        <f ca="1">ROUND(IF(项目基本情况!B11="自然人",J5*M17,J18+J19+J20),1)</f>
        <v>0.6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1</v>
      </c>
      <c r="D18" s="347" t="s">
        <v>1417</v>
      </c>
      <c r="E18" s="347" t="s">
        <v>1418</v>
      </c>
      <c r="F18" s="367">
        <f>'数据-取费表'!B36</f>
        <v>1.4999999999999999E-2</v>
      </c>
      <c r="G18" s="1850"/>
      <c r="H18" s="1203"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51</v>
      </c>
      <c r="D19" s="140" t="s">
        <v>1432</v>
      </c>
      <c r="E19" s="1814"/>
      <c r="F19" s="26"/>
      <c r="G19" s="1847"/>
      <c r="H19" s="1203" t="s">
        <v>1033</v>
      </c>
      <c r="I19" s="347" t="s">
        <v>1433</v>
      </c>
      <c r="J19" s="24">
        <f ca="1">IF(K19="按租金收入计税",ROUND(J5*M19,2),ROUND(C29*M19*0.7,2))</f>
        <v>0.57999999999999996</v>
      </c>
      <c r="K19" s="1824" t="s">
        <v>1434</v>
      </c>
      <c r="L19" s="347" t="s">
        <v>1418</v>
      </c>
      <c r="M19" s="367">
        <f>IF(K19="按租金收入计税",'数据-取费表'!B51,'数据-取费表'!B50)</f>
        <v>1.2E-2</v>
      </c>
    </row>
    <row r="20" spans="1:37" s="1854" customFormat="1" ht="18" customHeight="1">
      <c r="A20" s="1203" t="s">
        <v>1036</v>
      </c>
      <c r="B20" s="347" t="s">
        <v>1435</v>
      </c>
      <c r="C20" s="24">
        <f ca="1">ROUND(C19*F20,0)</f>
        <v>1</v>
      </c>
      <c r="D20" s="369" t="s">
        <v>1436</v>
      </c>
      <c r="E20" s="347" t="s">
        <v>1418</v>
      </c>
      <c r="F20" s="367">
        <f>'数据-取费表'!B37</f>
        <v>0.02</v>
      </c>
      <c r="G20" s="1850"/>
      <c r="H20" s="1203" t="s">
        <v>1385</v>
      </c>
      <c r="I20" s="164" t="s">
        <v>1437</v>
      </c>
      <c r="J20" s="25">
        <f ca="1">ROUND(M20*M21/10000,2)</f>
        <v>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ROUND(J14*M22,1)</f>
        <v>1</v>
      </c>
      <c r="K22" s="1794" t="s">
        <v>1446</v>
      </c>
      <c r="L22" s="347" t="s">
        <v>1418</v>
      </c>
      <c r="M22" s="374">
        <f ca="1">INDIRECT("'数据-取费表'!Ak"&amp;$G$1)</f>
        <v>1.4999999999999999E-2</v>
      </c>
    </row>
    <row r="23" spans="1:37" s="1854" customFormat="1" ht="18" customHeight="1">
      <c r="A23" s="1203"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3" t="s">
        <v>1456</v>
      </c>
      <c r="B25" s="347" t="s">
        <v>1457</v>
      </c>
      <c r="C25" s="24"/>
      <c r="D25" s="140" t="s">
        <v>1458</v>
      </c>
      <c r="E25" s="1814"/>
      <c r="F25" s="26"/>
      <c r="G25" s="1847"/>
      <c r="H25" s="1325" t="s">
        <v>1028</v>
      </c>
      <c r="I25" s="1340" t="s">
        <v>1459</v>
      </c>
      <c r="J25" s="355">
        <f ca="1">J5-J16</f>
        <v>-2</v>
      </c>
      <c r="K25" s="1341" t="s">
        <v>1460</v>
      </c>
      <c r="L25" s="1342"/>
      <c r="M25" s="1343"/>
    </row>
    <row r="26" spans="1:37">
      <c r="A26" s="1203" t="s">
        <v>1031</v>
      </c>
      <c r="B26" s="347" t="s">
        <v>1461</v>
      </c>
      <c r="C26" s="24">
        <f ca="1">ROUND((C19+C20)*F26,0)</f>
        <v>10</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69</v>
      </c>
      <c r="D29" s="1338"/>
      <c r="E29" s="1336"/>
      <c r="F29" s="1339"/>
      <c r="G29" s="1850"/>
      <c r="H29" s="380" t="s">
        <v>1030</v>
      </c>
      <c r="I29" s="381" t="s">
        <v>1475</v>
      </c>
      <c r="J29" s="382">
        <f ca="1">ROUND(J26/(1+F40)^F41,0)</f>
        <v>0</v>
      </c>
      <c r="K29" s="383" t="s">
        <v>1476</v>
      </c>
      <c r="L29" s="384"/>
      <c r="M29" s="385">
        <f ca="1">INDIRECT("'数据-取费表'!k"&amp;$G$1)</f>
        <v>145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ROUND(IF(项目基本情况!B11="自然人",C5*F31,C32+C33+C34),1)</f>
        <v>3.3</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IF(项目基本情况!B11="自然人","——",ROUND(C5*F32/(1+'数据-取费表'!C42),2))</f>
        <v>1</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2.2799999999999998</v>
      </c>
      <c r="D33" s="1824" t="s">
        <v>3162</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0.01</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37.33</v>
      </c>
      <c r="G35" s="1847"/>
      <c r="H35" s="744"/>
      <c r="I35" s="1856"/>
      <c r="J35" s="1857"/>
      <c r="K35" s="1858"/>
      <c r="L35" s="1855"/>
      <c r="M35" s="1855"/>
    </row>
    <row r="36" spans="1:18" ht="18" customHeight="1">
      <c r="A36" s="1348" t="s">
        <v>1036</v>
      </c>
      <c r="B36" s="347" t="s">
        <v>1445</v>
      </c>
      <c r="C36" s="24">
        <f ca="1">ROUND(C29*F36,1)</f>
        <v>1</v>
      </c>
      <c r="D36" s="1794" t="s">
        <v>1478</v>
      </c>
      <c r="E36" s="347" t="s">
        <v>1418</v>
      </c>
      <c r="F36" s="374">
        <f ca="1">INDIRECT("'数据-取费表'!Ak"&amp;$G$1)</f>
        <v>1.4999999999999999E-2</v>
      </c>
      <c r="G36" s="1847"/>
      <c r="H36" s="1855"/>
      <c r="I36" s="1856"/>
      <c r="J36" s="1857"/>
      <c r="K36" s="750"/>
      <c r="L36" s="1855"/>
      <c r="M36" s="1855"/>
    </row>
    <row r="37" spans="1:18" ht="18" customHeight="1">
      <c r="A37" s="1203" t="s">
        <v>1072</v>
      </c>
      <c r="B37" s="347" t="s">
        <v>1449</v>
      </c>
      <c r="C37" s="24">
        <f ca="1">ROUND(C13*F37,1)</f>
        <v>0.1</v>
      </c>
      <c r="D37" s="1794" t="s">
        <v>1450</v>
      </c>
      <c r="E37" s="347" t="s">
        <v>1451</v>
      </c>
      <c r="F37" s="376">
        <f ca="1">INDIRECT("'数据-取费表'!Al"&amp;$G$1)</f>
        <v>1.5E-3</v>
      </c>
      <c r="G37" s="1847"/>
      <c r="H37" s="1855"/>
      <c r="I37" s="1856"/>
      <c r="J37" s="1857"/>
      <c r="K37" s="750"/>
      <c r="L37" s="1855"/>
      <c r="M37" s="1855"/>
    </row>
    <row r="38" spans="1:18" ht="18" customHeight="1" thickBot="1">
      <c r="A38" s="1335" t="s">
        <v>1389</v>
      </c>
      <c r="B38" s="1336" t="s">
        <v>1435</v>
      </c>
      <c r="C38" s="1337">
        <f ca="1">ROUND(C5*F38,1)</f>
        <v>0.4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337</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44.3</v>
      </c>
      <c r="G41" s="1847"/>
      <c r="H41" s="731"/>
      <c r="I41" s="1856"/>
      <c r="J41" s="1857"/>
      <c r="K41" s="750"/>
      <c r="L41" s="731"/>
      <c r="M41" s="731"/>
    </row>
    <row r="42" spans="1:18" ht="18" customHeight="1">
      <c r="A42" s="353"/>
      <c r="B42" s="354"/>
      <c r="C42" s="355"/>
      <c r="D42" s="373"/>
      <c r="E42" s="347" t="s">
        <v>1473</v>
      </c>
      <c r="F42" s="357">
        <f ca="1">INDIRECT("'数据-取费表'!v"&amp;$G$1)</f>
        <v>2.5000000000000001E-2</v>
      </c>
      <c r="G42" s="1847"/>
      <c r="H42" s="731"/>
      <c r="I42" s="1856"/>
      <c r="J42" s="1857"/>
      <c r="K42" s="750"/>
      <c r="L42" s="731"/>
      <c r="M42" s="731"/>
    </row>
    <row r="43" spans="1:18" ht="18" customHeight="1" thickBot="1">
      <c r="A43" s="380" t="s">
        <v>1030</v>
      </c>
      <c r="B43" s="381" t="s">
        <v>1483</v>
      </c>
      <c r="C43" s="382">
        <f ca="1">ROUND(C40*10000/F43,0)</f>
        <v>23241</v>
      </c>
      <c r="D43" s="383" t="s">
        <v>1484</v>
      </c>
      <c r="E43" s="384" t="s">
        <v>1485</v>
      </c>
      <c r="F43" s="385">
        <f ca="1">INDIRECT("'数据-取费表'!k"&amp;$G$1)</f>
        <v>145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-452</v>
      </c>
      <c r="D46" s="1868" t="str">
        <f>C2</f>
        <v>万元</v>
      </c>
      <c r="E46" s="1862"/>
      <c r="F46" s="1862"/>
      <c r="I46" s="1869" t="s">
        <v>1517</v>
      </c>
      <c r="J46" s="1870"/>
      <c r="K46" s="1871"/>
      <c r="L46" s="1872">
        <f ca="1">IF(M47="住宅",0,IF(L48&gt;J51,L60,J60))</f>
        <v>1</v>
      </c>
      <c r="O46" s="1873" t="s">
        <v>1518</v>
      </c>
      <c r="P46" s="1874" t="s">
        <v>1519</v>
      </c>
      <c r="Q46" s="1875" t="s">
        <v>1520</v>
      </c>
      <c r="R46" s="1875" t="s">
        <v>1521</v>
      </c>
    </row>
    <row r="47" spans="1:18" s="1838" customFormat="1" ht="13.5" thickBot="1">
      <c r="A47" s="1167" t="s">
        <v>1392</v>
      </c>
      <c r="B47" s="1199" t="s">
        <v>1393</v>
      </c>
      <c r="C47" s="1363" t="s">
        <v>1394</v>
      </c>
      <c r="D47" s="1199" t="s">
        <v>1395</v>
      </c>
      <c r="E47" s="1275" t="s">
        <v>1396</v>
      </c>
      <c r="F47" s="1276"/>
      <c r="G47" s="791"/>
      <c r="I47" s="1876" t="s">
        <v>1522</v>
      </c>
      <c r="J47" s="1877" t="s">
        <v>3163</v>
      </c>
      <c r="K47" s="1878" t="s">
        <v>1523</v>
      </c>
      <c r="L47" s="1879">
        <f ca="1">INDIRECT("'数据-取费表'!d"&amp;$G$1)</f>
        <v>50</v>
      </c>
      <c r="M47" s="1834" t="str">
        <f>IF(ISNUMBER(FIND("住宅",C1)),"住宅","非住宅")</f>
        <v>非住宅</v>
      </c>
      <c r="O47" s="1880" t="s">
        <v>1037</v>
      </c>
      <c r="P47" s="1881" t="s">
        <v>1524</v>
      </c>
      <c r="Q47" s="1882">
        <f ca="1">C40+J29</f>
        <v>337</v>
      </c>
      <c r="R47" s="1882" t="s">
        <v>1525</v>
      </c>
    </row>
    <row r="48" spans="1:18" s="1838" customFormat="1" ht="28.5" thickBot="1">
      <c r="A48" s="1356" t="s">
        <v>1132</v>
      </c>
      <c r="B48" s="345" t="s">
        <v>1397</v>
      </c>
      <c r="C48" s="1813">
        <f ca="1">C49+C53+C55</f>
        <v>0</v>
      </c>
      <c r="D48" s="1358"/>
      <c r="E48" s="1359"/>
      <c r="F48" s="1183"/>
      <c r="G48" s="791"/>
      <c r="H48" s="792"/>
      <c r="I48" s="1883" t="s">
        <v>1526</v>
      </c>
      <c r="J48" s="1884" t="s">
        <v>3164</v>
      </c>
      <c r="K48" s="1885" t="s">
        <v>1527</v>
      </c>
      <c r="L48" s="1886">
        <f ca="1">INDIRECT("'数据-取费表'!f"&amp;$G$1)</f>
        <v>44.3</v>
      </c>
      <c r="O48" s="1880" t="s">
        <v>1038</v>
      </c>
      <c r="P48" s="1881" t="s">
        <v>1528</v>
      </c>
      <c r="Q48" s="1882">
        <f ca="1">J60</f>
        <v>1</v>
      </c>
      <c r="R48" s="1882" t="s">
        <v>1529</v>
      </c>
    </row>
    <row r="49" spans="1:18" s="1838" customFormat="1" ht="13.5" thickBot="1">
      <c r="A49" s="1196" t="s">
        <v>1133</v>
      </c>
      <c r="B49" s="1825" t="s">
        <v>1486</v>
      </c>
      <c r="C49" s="1360">
        <f ca="1">ROUND(F49*F51*F50*(1-F52)/10000,0)</f>
        <v>0</v>
      </c>
      <c r="D49" s="1272" t="s">
        <v>3028</v>
      </c>
      <c r="E49" s="1826" t="s">
        <v>1487</v>
      </c>
      <c r="F49" s="1277"/>
      <c r="G49" s="1887"/>
      <c r="H49" s="792"/>
      <c r="I49" s="1883" t="s">
        <v>1530</v>
      </c>
      <c r="J49" s="1888">
        <v>2016</v>
      </c>
      <c r="K49" s="1885" t="s">
        <v>1531</v>
      </c>
      <c r="L49" s="1889"/>
      <c r="O49" s="1890" t="s">
        <v>1039</v>
      </c>
      <c r="P49" s="1881" t="s">
        <v>1532</v>
      </c>
      <c r="Q49" s="1882">
        <f ca="1">C29</f>
        <v>69</v>
      </c>
      <c r="R49" s="1882" t="s">
        <v>1525</v>
      </c>
    </row>
    <row r="50" spans="1:18" s="1838" customFormat="1" ht="13.5" thickBot="1">
      <c r="A50" s="1197"/>
      <c r="B50" s="1200"/>
      <c r="C50" s="1364"/>
      <c r="D50" s="1174"/>
      <c r="E50" s="1273" t="s">
        <v>1402</v>
      </c>
      <c r="F50" s="1274">
        <f ca="1">F7</f>
        <v>145</v>
      </c>
      <c r="H50" s="792"/>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8"/>
      <c r="B51" s="1200"/>
      <c r="C51" s="1201"/>
      <c r="D51" s="1174"/>
      <c r="E51" s="1202" t="s">
        <v>1403</v>
      </c>
      <c r="F51" s="348">
        <f ca="1">F8</f>
        <v>365</v>
      </c>
      <c r="I51" s="1894" t="s">
        <v>1536</v>
      </c>
      <c r="J51" s="1895">
        <f>IF(J49="",J50,J49+J50-YEAR('数据-取费表'!B2))</f>
        <v>58</v>
      </c>
      <c r="K51" s="1896" t="s">
        <v>1537</v>
      </c>
      <c r="L51" s="1897">
        <f ca="1">ROUND(-PV(INDIRECT("'数据-取费表'!h"&amp;$G$1),L48,(C39-C13*C76),0),0)</f>
        <v>158</v>
      </c>
      <c r="M51" s="1898"/>
      <c r="O51" s="1890" t="s">
        <v>1041</v>
      </c>
      <c r="P51" s="1881" t="s">
        <v>1538</v>
      </c>
      <c r="Q51" s="1893">
        <f>J52</f>
        <v>0.09</v>
      </c>
      <c r="R51" s="1882"/>
    </row>
    <row r="52" spans="1:18" s="1838" customFormat="1" ht="13.5" thickBot="1">
      <c r="A52" s="1198"/>
      <c r="B52" s="1200"/>
      <c r="C52" s="1201"/>
      <c r="D52" s="1174"/>
      <c r="E52" s="1202" t="s">
        <v>1404</v>
      </c>
      <c r="F52" s="1271"/>
      <c r="I52" s="1899" t="s">
        <v>1539</v>
      </c>
      <c r="J52" s="1900">
        <v>0.09</v>
      </c>
      <c r="K52" s="1899" t="s">
        <v>1540</v>
      </c>
      <c r="L52" s="1900"/>
      <c r="O52" s="1890" t="s">
        <v>1042</v>
      </c>
      <c r="P52" s="1881" t="s">
        <v>1541</v>
      </c>
      <c r="Q52" s="1882">
        <f ca="1">J53</f>
        <v>44.3</v>
      </c>
      <c r="R52" s="1882" t="s">
        <v>1542</v>
      </c>
    </row>
    <row r="53" spans="1:18" s="1838" customFormat="1" ht="24.75" thickBot="1">
      <c r="A53" s="1401" t="s">
        <v>1134</v>
      </c>
      <c r="B53" s="1827" t="s">
        <v>1405</v>
      </c>
      <c r="C53" s="361">
        <f ca="1">ROUND(IF(F53="押一",C49/12*F11,IF(F53="押二",C49/12*2*F11,IF(F53="押三",C49/12*3*F11,C54*F11))),0)</f>
        <v>0</v>
      </c>
      <c r="D53" s="1820" t="s">
        <v>3035</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44.3</v>
      </c>
      <c r="K53" s="3542" t="s">
        <v>1544</v>
      </c>
      <c r="L53" s="3543"/>
      <c r="O53" s="1880" t="s">
        <v>1043</v>
      </c>
      <c r="P53" s="1881" t="s">
        <v>1545</v>
      </c>
      <c r="Q53" s="1882">
        <f ca="1">Q47+Q48</f>
        <v>338</v>
      </c>
      <c r="R53" s="1882" t="s">
        <v>1044</v>
      </c>
    </row>
    <row r="54" spans="1:18" s="1838" customFormat="1" ht="13.5" thickBot="1">
      <c r="A54" s="1402"/>
      <c r="B54" s="1821" t="s">
        <v>1384</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0.22800000000000001</v>
      </c>
      <c r="K55" s="1908" t="s">
        <v>1548</v>
      </c>
      <c r="L55" s="1909" t="s">
        <v>1549</v>
      </c>
      <c r="O55" s="1873" t="s">
        <v>1518</v>
      </c>
      <c r="P55" s="1874" t="s">
        <v>1519</v>
      </c>
      <c r="Q55" s="1875" t="s">
        <v>1520</v>
      </c>
      <c r="R55" s="1875" t="s">
        <v>1521</v>
      </c>
    </row>
    <row r="56" spans="1:18" s="1838" customFormat="1" ht="25.5" thickTop="1" thickBot="1">
      <c r="A56" s="1178">
        <v>2</v>
      </c>
      <c r="B56" s="1179" t="s">
        <v>1410</v>
      </c>
      <c r="C56" s="276">
        <f ca="1">C13</f>
        <v>67</v>
      </c>
      <c r="D56" s="1910"/>
      <c r="E56" s="1911"/>
      <c r="F56" s="1903"/>
      <c r="I56" s="1912" t="s">
        <v>1550</v>
      </c>
      <c r="J56" s="1913" t="s">
        <v>3156</v>
      </c>
      <c r="K56" s="1883" t="s">
        <v>1551</v>
      </c>
      <c r="L56" s="1886" t="str">
        <f ca="1">IF(L48&lt;J51,"——",L48-J53)</f>
        <v>——</v>
      </c>
      <c r="O56" s="1880" t="s">
        <v>1037</v>
      </c>
      <c r="P56" s="1881" t="s">
        <v>1524</v>
      </c>
      <c r="Q56" s="1882">
        <f ca="1">C40+J29</f>
        <v>337</v>
      </c>
      <c r="R56" s="1882" t="s">
        <v>1525</v>
      </c>
    </row>
    <row r="57" spans="1:18" s="1838" customFormat="1" ht="24.75" thickBot="1">
      <c r="A57" s="1914"/>
      <c r="B57" s="1171" t="s">
        <v>1474</v>
      </c>
      <c r="C57" s="282">
        <f ca="1">C29</f>
        <v>69</v>
      </c>
      <c r="D57" s="1915"/>
      <c r="E57" s="1916"/>
      <c r="F57" s="1917"/>
      <c r="I57" s="1918" t="s">
        <v>1552</v>
      </c>
      <c r="J57" s="1919">
        <f ca="1">IF(OR(M47="住宅",J51&lt;L48,J56="是"),"——",J51-L48)</f>
        <v>13.700000000000003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9" t="s">
        <v>1420</v>
      </c>
      <c r="C58" s="361">
        <f ca="1">ROUND(C59+C64+C65+C66,0)</f>
        <v>7</v>
      </c>
      <c r="D58" s="1181" t="s">
        <v>1421</v>
      </c>
      <c r="E58" s="1182"/>
      <c r="F58" s="1183"/>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ROUND(IF(项目基本情况!B11="自然人",C48*F59,C60+C61+C62),1)</f>
        <v>5.8</v>
      </c>
      <c r="D59" s="1184" t="s">
        <v>1426</v>
      </c>
      <c r="E59" s="1185" t="s">
        <v>1427</v>
      </c>
      <c r="F59" s="368" t="str">
        <f ca="1">IF(项目基本情况!B11="企业","",IF(INDIRECT("'数据-取费表'!c"&amp;$G$1)="住宅",5%,IF(F49*F50*F51/12/(1+'数据-取费表'!C42)&gt;20000,12%,7%)))</f>
        <v/>
      </c>
      <c r="I59" s="1918" t="s">
        <v>1559</v>
      </c>
      <c r="J59" s="1919">
        <f ca="1">IF(OR(M47="住宅",J51&lt;L48,J56="是"),"——",ROUND(C29*J58,0))</f>
        <v>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1" t="s">
        <v>1561</v>
      </c>
      <c r="J60" s="1922">
        <f ca="1">IF(OR(M47="住宅",J51&lt;L48,J56="是"),"0",ROUND(J59/(1+J52)^J53,0))</f>
        <v>1</v>
      </c>
      <c r="K60" s="1923" t="s">
        <v>1562</v>
      </c>
      <c r="L60" s="1922">
        <f ca="1">IF(OR(M47="住宅",L48&lt;J51),0,ROUND(L57*(L58/L59-1),0))</f>
        <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IF(项目基本情况!B11="自然人","——",IF(D61="按租金收入计税",ROUND(C48*F61,2),IF(D61="按房产原值计税",ROUND(C57*F61*0.7,2),INDIRECT("'数据-取费表'!Aj"&amp;$G$1))))</f>
        <v>5.8</v>
      </c>
      <c r="D61" s="1824" t="s">
        <v>1434</v>
      </c>
      <c r="E61" s="1171"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203" t="s">
        <v>1491</v>
      </c>
      <c r="B62" s="1170" t="s">
        <v>1492</v>
      </c>
      <c r="C62" s="25">
        <f ca="1">IF(项目基本情况!B11="自然人","——",ROUND(F62*F63/10000,2))</f>
        <v>0.01</v>
      </c>
      <c r="D62" s="1186" t="s">
        <v>1493</v>
      </c>
      <c r="E62" s="1171" t="s">
        <v>1494</v>
      </c>
      <c r="F62" s="371">
        <f t="shared" si="0"/>
        <v>1.5</v>
      </c>
      <c r="I62" s="1925" t="s">
        <v>1566</v>
      </c>
      <c r="J62" s="1926" t="s">
        <v>1567</v>
      </c>
      <c r="K62" s="1926" t="s">
        <v>1568</v>
      </c>
      <c r="L62" s="1926" t="s">
        <v>1569</v>
      </c>
      <c r="M62" s="1927" t="s">
        <v>1570</v>
      </c>
      <c r="O62" s="1880" t="s">
        <v>1043</v>
      </c>
      <c r="P62" s="1881" t="s">
        <v>1571</v>
      </c>
      <c r="Q62" s="1882">
        <f ca="1">Q56+Q57</f>
        <v>337</v>
      </c>
      <c r="R62" s="1882" t="s">
        <v>1044</v>
      </c>
    </row>
    <row r="63" spans="1:18" s="1838" customFormat="1" ht="13.5" thickBot="1">
      <c r="A63" s="372"/>
      <c r="B63" s="1177"/>
      <c r="C63" s="29"/>
      <c r="D63" s="1187"/>
      <c r="E63" s="1171" t="s">
        <v>1495</v>
      </c>
      <c r="F63" s="348">
        <f t="shared" ca="1" si="0"/>
        <v>37.33</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ROUND(C57*F64,1)</f>
        <v>1</v>
      </c>
      <c r="D64" s="1185" t="s">
        <v>1498</v>
      </c>
      <c r="E64" s="1171"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ROUND(C56*F65,1)</f>
        <v>0.1</v>
      </c>
      <c r="D65" s="1185" t="s">
        <v>1450</v>
      </c>
      <c r="E65" s="1171" t="s">
        <v>1451</v>
      </c>
      <c r="F65" s="376">
        <f t="shared" ca="1" si="0"/>
        <v>1.5E-3</v>
      </c>
      <c r="I65" s="1925" t="s">
        <v>1575</v>
      </c>
      <c r="J65" s="1926">
        <v>40</v>
      </c>
      <c r="K65" s="1926">
        <v>30</v>
      </c>
      <c r="L65" s="1926">
        <v>50</v>
      </c>
      <c r="M65" s="1928">
        <v>0.02</v>
      </c>
      <c r="O65" s="1880" t="s">
        <v>1037</v>
      </c>
      <c r="P65" s="1881" t="s">
        <v>1576</v>
      </c>
      <c r="Q65" s="1882">
        <f ca="1">C40+J29</f>
        <v>337</v>
      </c>
      <c r="R65" s="1882" t="s">
        <v>1525</v>
      </c>
    </row>
    <row r="66" spans="1:18" s="1838" customFormat="1" ht="16.5" thickBot="1">
      <c r="A66" s="1203" t="s">
        <v>1500</v>
      </c>
      <c r="B66" s="1171" t="s">
        <v>1435</v>
      </c>
      <c r="C66" s="24">
        <f ca="1">ROUND(C48*F66,1)</f>
        <v>0</v>
      </c>
      <c r="D66" s="1185" t="s">
        <v>1501</v>
      </c>
      <c r="E66" s="1171" t="s">
        <v>1418</v>
      </c>
      <c r="F66" s="357">
        <f t="shared" ca="1" si="0"/>
        <v>0.02</v>
      </c>
      <c r="O66" s="1880" t="s">
        <v>1038</v>
      </c>
      <c r="P66" s="1881" t="s">
        <v>1554</v>
      </c>
      <c r="Q66" s="1882">
        <f ca="1">L60</f>
        <v>0</v>
      </c>
      <c r="R66" s="1882" t="s">
        <v>1577</v>
      </c>
    </row>
    <row r="67" spans="1:18" s="1838" customFormat="1" ht="16.5" thickBot="1">
      <c r="A67" s="1178" t="s">
        <v>1028</v>
      </c>
      <c r="B67" s="1188" t="s">
        <v>1459</v>
      </c>
      <c r="C67" s="361">
        <f ca="1">C48-C58</f>
        <v>-7</v>
      </c>
      <c r="D67" s="1184" t="s">
        <v>1460</v>
      </c>
      <c r="E67" s="1189"/>
      <c r="F67" s="1190"/>
      <c r="O67" s="1890" t="s">
        <v>1039</v>
      </c>
      <c r="P67" s="1881" t="s">
        <v>1558</v>
      </c>
      <c r="Q67" s="1929">
        <f ca="1">L51</f>
        <v>158</v>
      </c>
      <c r="R67" s="1882" t="s">
        <v>1578</v>
      </c>
    </row>
    <row r="68" spans="1:18" s="1838" customFormat="1" ht="16.5" thickBot="1">
      <c r="A68" s="1168" t="s">
        <v>1029</v>
      </c>
      <c r="B68" s="1169" t="s">
        <v>1481</v>
      </c>
      <c r="C68" s="346">
        <f ca="1">ROUND(C67*(1-((1+F70)/(1+F68))^F69)/(F68-F70),0)</f>
        <v>-115</v>
      </c>
      <c r="D68" s="1186" t="s">
        <v>1465</v>
      </c>
      <c r="E68" s="1171" t="s">
        <v>1466</v>
      </c>
      <c r="F68" s="357">
        <f ca="1">F40</f>
        <v>5.5E-2</v>
      </c>
      <c r="O68" s="1890" t="s">
        <v>1040</v>
      </c>
      <c r="P68" s="1930" t="s">
        <v>1579</v>
      </c>
      <c r="Q68" s="1882">
        <f ca="1">ROUND(Q69-Q70*Q71,0)</f>
        <v>8</v>
      </c>
      <c r="R68" s="1882" t="s">
        <v>1048</v>
      </c>
    </row>
    <row r="69" spans="1:18" s="1838" customFormat="1" ht="13.5" thickBot="1">
      <c r="A69" s="1172"/>
      <c r="B69" s="1173"/>
      <c r="C69" s="351"/>
      <c r="D69" s="1191" t="s">
        <v>1469</v>
      </c>
      <c r="E69" s="1171" t="s">
        <v>1470</v>
      </c>
      <c r="F69" s="379">
        <f ca="1">F41</f>
        <v>44.3</v>
      </c>
      <c r="O69" s="1890" t="s">
        <v>1045</v>
      </c>
      <c r="P69" s="1930" t="s">
        <v>1580</v>
      </c>
      <c r="Q69" s="1882">
        <f ca="1">C39</f>
        <v>14</v>
      </c>
      <c r="R69" s="1882" t="s">
        <v>1525</v>
      </c>
    </row>
    <row r="70" spans="1:18" s="1838" customFormat="1" ht="13.5" thickBot="1">
      <c r="A70" s="1175"/>
      <c r="B70" s="1176"/>
      <c r="C70" s="355"/>
      <c r="D70" s="1187"/>
      <c r="E70" s="1171" t="s">
        <v>1473</v>
      </c>
      <c r="F70" s="1271"/>
      <c r="O70" s="1890" t="s">
        <v>1046</v>
      </c>
      <c r="P70" s="1930" t="s">
        <v>1581</v>
      </c>
      <c r="Q70" s="1882">
        <f ca="1">C13</f>
        <v>67</v>
      </c>
      <c r="R70" s="1882" t="s">
        <v>1525</v>
      </c>
    </row>
    <row r="71" spans="1:18" s="1838" customFormat="1" ht="13.5" thickBot="1">
      <c r="A71" s="1192" t="s">
        <v>1030</v>
      </c>
      <c r="B71" s="1193" t="s">
        <v>1483</v>
      </c>
      <c r="C71" s="382">
        <f ca="1">ROUND(C68*10000/F71,0)</f>
        <v>-7931</v>
      </c>
      <c r="D71" s="1194" t="s">
        <v>1484</v>
      </c>
      <c r="E71" s="1195" t="s">
        <v>1485</v>
      </c>
      <c r="F71" s="385">
        <f ca="1">F43</f>
        <v>145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6</v>
      </c>
      <c r="D75" s="1838"/>
      <c r="E75" s="1838"/>
      <c r="F75" s="1838"/>
      <c r="K75" s="1864"/>
      <c r="L75" s="1838"/>
      <c r="O75" s="1880" t="s">
        <v>1043</v>
      </c>
      <c r="P75" s="1881" t="s">
        <v>1545</v>
      </c>
      <c r="Q75" s="1882">
        <f ca="1">Q65+Q66</f>
        <v>337</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0.57099999999999995</v>
      </c>
    </row>
    <row r="80" spans="1:18">
      <c r="B80" s="386" t="s">
        <v>1507</v>
      </c>
      <c r="C80" s="318">
        <f ca="1">ROUND(C75/C39,3)</f>
        <v>0.42899999999999999</v>
      </c>
    </row>
    <row r="81" spans="2:3">
      <c r="B81" s="314" t="s">
        <v>1508</v>
      </c>
      <c r="C81" s="282"/>
    </row>
    <row r="82" spans="2:3">
      <c r="B82" s="317" t="s">
        <v>1509</v>
      </c>
      <c r="C82" s="319">
        <f ca="1">1-C83</f>
        <v>0.80099999999999993</v>
      </c>
    </row>
    <row r="83" spans="2:3">
      <c r="B83" s="317" t="s">
        <v>1510</v>
      </c>
      <c r="C83" s="318">
        <f ca="1">ROUND(C13/C40,3)</f>
        <v>0.19900000000000001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c r="D1" s="1816"/>
      <c r="E1" s="1817" t="s">
        <v>1383</v>
      </c>
      <c r="F1" s="1279" t="b">
        <f>J53</f>
        <v>0</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544" t="s">
        <v>1399</v>
      </c>
      <c r="C6" s="1292">
        <f ca="1">ROUND(F6*F8*F7*(1-F9),0)</f>
        <v>0</v>
      </c>
      <c r="D6" s="164" t="s">
        <v>3024</v>
      </c>
      <c r="E6" s="347" t="s">
        <v>1401</v>
      </c>
      <c r="F6" s="348">
        <f ca="1">INDIRECT("'数据-取费表'!u"&amp;$G$1)</f>
        <v>0</v>
      </c>
      <c r="G6" s="1847"/>
      <c r="H6" s="1287" t="s">
        <v>1032</v>
      </c>
      <c r="I6" s="3544" t="s">
        <v>1399</v>
      </c>
      <c r="J6" s="346">
        <f ca="1">ROUND(M6*M8*M7*(1-M9),0)</f>
        <v>0</v>
      </c>
      <c r="K6" s="1830" t="s">
        <v>3025</v>
      </c>
      <c r="L6" s="347" t="s">
        <v>1401</v>
      </c>
      <c r="M6" s="348">
        <f ca="1">INDIRECT("'数据-取费表'!z"&amp;$G$1)</f>
        <v>0</v>
      </c>
    </row>
    <row r="7" spans="1:37" ht="18" customHeight="1">
      <c r="A7" s="1291"/>
      <c r="B7" s="3545"/>
      <c r="C7" s="1293"/>
      <c r="D7" s="352"/>
      <c r="E7" s="1294" t="s">
        <v>1402</v>
      </c>
      <c r="F7" s="348">
        <f ca="1">IF(INDIRECT("'数据-取费表'!ah"&amp;$G$1)="",INDIRECT("'数据-取费表'!k"&amp;$G$1),INDIRECT("'数据-取费表'!ah"&amp;$G$1))</f>
        <v>0</v>
      </c>
      <c r="G7" s="1847"/>
      <c r="H7" s="349"/>
      <c r="I7" s="3545"/>
      <c r="J7" s="351"/>
      <c r="K7" s="352"/>
      <c r="L7" s="347" t="s">
        <v>1402</v>
      </c>
      <c r="M7" s="348">
        <f ca="1">F7</f>
        <v>0</v>
      </c>
    </row>
    <row r="8" spans="1:37" ht="18" customHeight="1">
      <c r="A8" s="349"/>
      <c r="B8" s="3545"/>
      <c r="C8" s="351"/>
      <c r="D8" s="352"/>
      <c r="E8" s="347" t="s">
        <v>1403</v>
      </c>
      <c r="F8" s="348">
        <f ca="1">INDIRECT("'数据-取费表'!ai"&amp;$G$1)</f>
        <v>0</v>
      </c>
      <c r="G8" s="1847"/>
      <c r="H8" s="349"/>
      <c r="I8" s="3545"/>
      <c r="J8" s="351"/>
      <c r="K8" s="352"/>
      <c r="L8" s="347" t="s">
        <v>1403</v>
      </c>
      <c r="M8" s="348">
        <f ca="1">INDIRECT("'数据-取费表'!ai"&amp;$G$1)</f>
        <v>0</v>
      </c>
    </row>
    <row r="9" spans="1:37" ht="18" customHeight="1">
      <c r="A9" s="349"/>
      <c r="B9" s="3546"/>
      <c r="C9" s="351"/>
      <c r="D9" s="352"/>
      <c r="E9" s="347" t="s">
        <v>1404</v>
      </c>
      <c r="F9" s="357">
        <f ca="1">INDIRECT("'数据-取费表'!w"&amp;$G$1)</f>
        <v>0</v>
      </c>
      <c r="G9" s="1847"/>
      <c r="H9" s="349"/>
      <c r="I9" s="3546"/>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3035</v>
      </c>
      <c r="E10" s="358" t="s">
        <v>1406</v>
      </c>
      <c r="F10" s="1362"/>
      <c r="G10" s="1847"/>
      <c r="H10" s="1287" t="s">
        <v>1036</v>
      </c>
      <c r="I10" s="1819" t="s">
        <v>1405</v>
      </c>
      <c r="J10" s="346">
        <f ca="1">ROUND(IF(M10="押一",J6/12*M11,IF(M10="押二",J6/12*2*M11,IF(M10="押三",J6/12*3*M11,J11*M11))),0)</f>
        <v>0</v>
      </c>
      <c r="K10" s="1831" t="s">
        <v>3037</v>
      </c>
      <c r="L10" s="358" t="s">
        <v>1406</v>
      </c>
      <c r="M10" s="1362"/>
    </row>
    <row r="11" spans="1:37" ht="18" customHeight="1">
      <c r="A11" s="353"/>
      <c r="B11" s="1821" t="s">
        <v>1598</v>
      </c>
      <c r="C11" s="1180"/>
      <c r="D11" s="352"/>
      <c r="E11" s="358" t="s">
        <v>1408</v>
      </c>
      <c r="F11" s="359">
        <f ca="1">'数据-取费表'!B39</f>
        <v>1.4999999999999999E-2</v>
      </c>
      <c r="G11" s="1847"/>
      <c r="H11" s="1295"/>
      <c r="I11" s="1821" t="s">
        <v>1599</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203" t="s">
        <v>1031</v>
      </c>
      <c r="B14" s="347" t="s">
        <v>1413</v>
      </c>
      <c r="C14" s="363">
        <f ca="1">ROUND(INDIRECT("'数据-取费表'!l"&amp;$G$1)*F43+'数据-取费表'!L14*INDIRECT("'数据-取费表'!S"&amp;$G$1),0)</f>
        <v>0</v>
      </c>
      <c r="D14" s="1796" t="s">
        <v>1414</v>
      </c>
      <c r="E14" s="1790"/>
      <c r="F14" s="364"/>
      <c r="G14" s="1847"/>
      <c r="H14" s="1203" t="s">
        <v>1032</v>
      </c>
      <c r="I14" s="347" t="s">
        <v>1415</v>
      </c>
      <c r="J14" s="24">
        <f ca="1">C29</f>
        <v>0</v>
      </c>
      <c r="K14" s="15"/>
      <c r="L14" s="981"/>
      <c r="M14" s="982"/>
    </row>
    <row r="15" spans="1:37" s="1854" customFormat="1" ht="18" customHeight="1" thickBot="1">
      <c r="A15" s="1203"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203" t="s">
        <v>1386</v>
      </c>
      <c r="B17" s="347" t="s">
        <v>1422</v>
      </c>
      <c r="C17" s="24">
        <f ca="1">ROUND(F17*(F43+INDIRECT("'数据-取费表'!S"&amp;$G$1)),0)</f>
        <v>0</v>
      </c>
      <c r="D17" s="347" t="s">
        <v>1423</v>
      </c>
      <c r="E17" s="347" t="s">
        <v>1424</v>
      </c>
      <c r="F17" s="26">
        <f>'数据-取费表'!B35</f>
        <v>200</v>
      </c>
      <c r="G17" s="1850"/>
      <c r="H17" s="1203"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0</v>
      </c>
      <c r="D18" s="347" t="s">
        <v>1417</v>
      </c>
      <c r="E18" s="347" t="s">
        <v>1418</v>
      </c>
      <c r="F18" s="367">
        <f>'数据-取费表'!B36</f>
        <v>1.4999999999999999E-2</v>
      </c>
      <c r="G18" s="1850"/>
      <c r="H18" s="1203"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0</v>
      </c>
      <c r="D19" s="140" t="s">
        <v>1432</v>
      </c>
      <c r="E19" s="1814"/>
      <c r="F19" s="26"/>
      <c r="G19" s="1847"/>
      <c r="H19" s="1203"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203" t="s">
        <v>1036</v>
      </c>
      <c r="B20" s="347" t="s">
        <v>1435</v>
      </c>
      <c r="C20" s="24">
        <f ca="1">ROUND(C19*F20,0)</f>
        <v>0</v>
      </c>
      <c r="D20" s="369" t="s">
        <v>1436</v>
      </c>
      <c r="E20" s="347" t="s">
        <v>1418</v>
      </c>
      <c r="F20" s="367">
        <f>'数据-取费表'!B37</f>
        <v>0.02</v>
      </c>
      <c r="G20" s="1850"/>
      <c r="H20" s="1203"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ROUND(J14*M22,0)</f>
        <v>0</v>
      </c>
      <c r="K22" s="1794" t="s">
        <v>1446</v>
      </c>
      <c r="L22" s="347" t="s">
        <v>1418</v>
      </c>
      <c r="M22" s="374">
        <f ca="1">INDIRECT("'数据-取费表'!Ak"&amp;$G$1)</f>
        <v>0</v>
      </c>
    </row>
    <row r="23" spans="1:37" s="1854"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3"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203"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IF(项目基本情况!B11="自然人","——",ROUND(C5*F32/(1+'数据-取费表'!C42),0))</f>
        <v>0</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203"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7" t="s">
        <v>1392</v>
      </c>
      <c r="B47" s="1199" t="s">
        <v>1393</v>
      </c>
      <c r="C47" s="1199" t="s">
        <v>1394</v>
      </c>
      <c r="D47" s="1199"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83"/>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6"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5" thickBot="1">
      <c r="A50" s="1197"/>
      <c r="B50" s="1200"/>
      <c r="C50" s="1201"/>
      <c r="D50" s="1174"/>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8"/>
      <c r="B51" s="1200"/>
      <c r="C51" s="1201"/>
      <c r="D51" s="1174"/>
      <c r="E51" s="1202"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8"/>
      <c r="B52" s="1200"/>
      <c r="C52" s="1201"/>
      <c r="D52" s="1174"/>
      <c r="E52" s="1202"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3038</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542" t="s">
        <v>1544</v>
      </c>
      <c r="L53" s="3543"/>
      <c r="O53" s="1880" t="s">
        <v>1043</v>
      </c>
      <c r="P53" s="1881" t="s">
        <v>1545</v>
      </c>
      <c r="Q53" s="1882" t="e">
        <f ca="1">Q47+Q48</f>
        <v>#DIV/0!</v>
      </c>
      <c r="R53" s="1882" t="s">
        <v>1044</v>
      </c>
    </row>
    <row r="54" spans="1:18" s="1838" customFormat="1" ht="13.5" thickBot="1">
      <c r="A54" s="1196"/>
      <c r="B54" s="1937" t="s">
        <v>1599</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8">
        <v>2</v>
      </c>
      <c r="B56" s="1179"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71"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9" t="s">
        <v>1420</v>
      </c>
      <c r="C58" s="361">
        <f ca="1">ROUND(C59+C64+C65+C66,0)</f>
        <v>0</v>
      </c>
      <c r="D58" s="1181" t="s">
        <v>1421</v>
      </c>
      <c r="E58" s="1182"/>
      <c r="F58" s="1183"/>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IF(项目基本情况!B11="自然人","——",IF(D61="按租金收入计税",ROUND(C48*F61,0),IF(D61="按房产原值计税",ROUND(C57*F61*0.7,0),INDIRECT("'数据-取费表'!Aj"&amp;$G$1))))</f>
        <v>0</v>
      </c>
      <c r="D61" s="1824" t="s">
        <v>1434</v>
      </c>
      <c r="E61" s="1171"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203" t="s">
        <v>1491</v>
      </c>
      <c r="B62" s="1170" t="s">
        <v>1492</v>
      </c>
      <c r="C62" s="25">
        <f ca="1">IF(项目基本情况!B11="自然人","——",ROUND(F62*F63,0))</f>
        <v>0</v>
      </c>
      <c r="D62" s="1186" t="s">
        <v>1493</v>
      </c>
      <c r="E62" s="1171"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7"/>
      <c r="C63" s="29"/>
      <c r="D63" s="1187"/>
      <c r="E63" s="1171"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ROUND(C57*F64,0)</f>
        <v>0</v>
      </c>
      <c r="D64" s="1185" t="s">
        <v>1498</v>
      </c>
      <c r="E64" s="1171"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ROUND(C56*F65,0)</f>
        <v>0</v>
      </c>
      <c r="D65" s="1185" t="s">
        <v>1450</v>
      </c>
      <c r="E65" s="1171"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203" t="s">
        <v>1500</v>
      </c>
      <c r="B66" s="1171" t="s">
        <v>1435</v>
      </c>
      <c r="C66" s="24">
        <f ca="1">ROUND(C48*F66,0)</f>
        <v>0</v>
      </c>
      <c r="D66" s="1185" t="s">
        <v>1501</v>
      </c>
      <c r="E66" s="1171" t="s">
        <v>1418</v>
      </c>
      <c r="F66" s="357">
        <f t="shared" ca="1" si="0"/>
        <v>0</v>
      </c>
      <c r="O66" s="1880" t="s">
        <v>1038</v>
      </c>
      <c r="P66" s="1881" t="s">
        <v>1554</v>
      </c>
      <c r="Q66" s="1882" t="e">
        <f ca="1">L60</f>
        <v>#DIV/0!</v>
      </c>
      <c r="R66" s="1882" t="s">
        <v>1577</v>
      </c>
    </row>
    <row r="67" spans="1:18" s="1838" customFormat="1" ht="16.5" thickBot="1">
      <c r="A67" s="1178" t="s">
        <v>1028</v>
      </c>
      <c r="B67" s="1188" t="s">
        <v>1459</v>
      </c>
      <c r="C67" s="361">
        <f ca="1">C48-C58</f>
        <v>0</v>
      </c>
      <c r="D67" s="1184" t="s">
        <v>1460</v>
      </c>
      <c r="E67" s="1189"/>
      <c r="F67" s="1190"/>
      <c r="O67" s="1890" t="s">
        <v>1039</v>
      </c>
      <c r="P67" s="1881" t="s">
        <v>1558</v>
      </c>
      <c r="Q67" s="1929">
        <f ca="1">L51</f>
        <v>0</v>
      </c>
      <c r="R67" s="1882" t="s">
        <v>1578</v>
      </c>
    </row>
    <row r="68" spans="1:18" s="1838" customFormat="1" ht="16.5" thickBot="1">
      <c r="A68" s="1168" t="s">
        <v>1029</v>
      </c>
      <c r="B68" s="1169" t="s">
        <v>1481</v>
      </c>
      <c r="C68" s="346" t="e">
        <f ca="1">ROUND(C67*(1-((1+F70)/(1+F68))^F69)/(F68-F70),0)</f>
        <v>#DIV/0!</v>
      </c>
      <c r="D68" s="1186" t="s">
        <v>1465</v>
      </c>
      <c r="E68" s="1171" t="s">
        <v>1466</v>
      </c>
      <c r="F68" s="357">
        <f ca="1">F40</f>
        <v>0</v>
      </c>
      <c r="O68" s="1890" t="s">
        <v>1040</v>
      </c>
      <c r="P68" s="1930" t="s">
        <v>1579</v>
      </c>
      <c r="Q68" s="1882">
        <f ca="1">ROUND(Q69-Q70*Q71,0)</f>
        <v>0</v>
      </c>
      <c r="R68" s="1882" t="s">
        <v>1048</v>
      </c>
    </row>
    <row r="69" spans="1:18" s="1838" customFormat="1" ht="13.5" thickBot="1">
      <c r="A69" s="1172"/>
      <c r="B69" s="1173"/>
      <c r="C69" s="351"/>
      <c r="D69" s="1191" t="s">
        <v>1469</v>
      </c>
      <c r="E69" s="1171" t="s">
        <v>1470</v>
      </c>
      <c r="F69" s="379">
        <f ca="1">F41</f>
        <v>0</v>
      </c>
      <c r="O69" s="1890" t="s">
        <v>1045</v>
      </c>
      <c r="P69" s="1930" t="s">
        <v>1580</v>
      </c>
      <c r="Q69" s="1882">
        <f ca="1">C39</f>
        <v>0</v>
      </c>
      <c r="R69" s="1882" t="s">
        <v>1525</v>
      </c>
    </row>
    <row r="70" spans="1:18" s="1838" customFormat="1" ht="13.5" thickBot="1">
      <c r="A70" s="1175"/>
      <c r="B70" s="1176"/>
      <c r="C70" s="355"/>
      <c r="D70" s="1187"/>
      <c r="E70" s="1171" t="s">
        <v>1473</v>
      </c>
      <c r="F70" s="1271">
        <f ca="1">F42</f>
        <v>0</v>
      </c>
      <c r="O70" s="1890" t="s">
        <v>1046</v>
      </c>
      <c r="P70" s="1930" t="s">
        <v>1581</v>
      </c>
      <c r="Q70" s="1882">
        <f ca="1">C13</f>
        <v>0</v>
      </c>
      <c r="R70" s="1882" t="s">
        <v>1525</v>
      </c>
    </row>
    <row r="71" spans="1:18" s="1838" customFormat="1" ht="13.5" thickBot="1">
      <c r="A71" s="1192" t="s">
        <v>1030</v>
      </c>
      <c r="B71" s="1193" t="s">
        <v>1483</v>
      </c>
      <c r="C71" s="382" t="e">
        <f ca="1">ROUND(C68/F71,0)</f>
        <v>#DIV/0!</v>
      </c>
      <c r="D71" s="1194" t="s">
        <v>1484</v>
      </c>
      <c r="E71" s="1195" t="s">
        <v>1485</v>
      </c>
      <c r="F71" s="385">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2522</v>
      </c>
      <c r="B1" s="2559"/>
      <c r="C1" s="2559"/>
      <c r="D1" s="2559"/>
      <c r="E1" s="2560"/>
    </row>
    <row r="2" spans="1:6" ht="15.75">
      <c r="A2" s="2561" t="s">
        <v>2323</v>
      </c>
      <c r="B2" s="2562">
        <f ca="1">SUMIF(B6:B13,"&lt;&gt;#ref!",B6:B13)</f>
        <v>338</v>
      </c>
      <c r="C2" s="2563" t="s">
        <v>2515</v>
      </c>
      <c r="D2" s="2564" t="s">
        <v>2516</v>
      </c>
      <c r="E2" s="2565">
        <f>SUM(E6:E13)</f>
        <v>145</v>
      </c>
    </row>
    <row r="3" spans="1:6" ht="15.75">
      <c r="A3" s="2561" t="s">
        <v>1391</v>
      </c>
      <c r="B3" s="2562">
        <f ca="1">ROUND(B2*10000/E2,0)</f>
        <v>23310</v>
      </c>
      <c r="C3" s="2563" t="s">
        <v>2523</v>
      </c>
      <c r="D3" s="2566"/>
      <c r="E3" s="2567"/>
    </row>
    <row r="4" spans="1:6" ht="15.75">
      <c r="A4" s="2568"/>
      <c r="B4" s="2566"/>
      <c r="C4" s="2566"/>
      <c r="D4" s="2566"/>
      <c r="E4" s="2567"/>
    </row>
    <row r="5" spans="1:6" ht="15">
      <c r="A5" s="2569" t="s">
        <v>2517</v>
      </c>
      <c r="B5" s="3547" t="s">
        <v>2518</v>
      </c>
      <c r="C5" s="3547"/>
      <c r="D5" s="2570"/>
      <c r="E5" s="2571" t="s">
        <v>2519</v>
      </c>
      <c r="F5" s="2572" t="s">
        <v>2520</v>
      </c>
    </row>
    <row r="6" spans="1:6">
      <c r="A6" s="2573" t="str">
        <f>'数据-取费表'!AN6</f>
        <v>收益法</v>
      </c>
      <c r="B6" s="2572">
        <f ca="1">IF(F6="是",'数据-取费表'!AO6,0)</f>
        <v>338</v>
      </c>
      <c r="C6" s="2563" t="s">
        <v>2515</v>
      </c>
      <c r="D6" s="2566"/>
      <c r="E6" s="2574">
        <f>IF(OR(A6=0,F6="否"),0,'数据-取费表'!K6+'数据-取费表'!S6)</f>
        <v>145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4" t="s">
        <v>1073</v>
      </c>
      <c r="B1" s="3565"/>
      <c r="C1" s="3566"/>
      <c r="D1" s="3567">
        <f>SUM(I10,I15,I20,I21,I23)</f>
        <v>0</v>
      </c>
      <c r="E1" s="3567"/>
      <c r="F1" s="3567"/>
      <c r="G1" s="3567"/>
      <c r="H1" s="3567"/>
      <c r="I1" s="3568"/>
    </row>
    <row r="2" spans="1:9">
      <c r="A2" s="3554" t="s">
        <v>1074</v>
      </c>
      <c r="B2" s="3555" t="s">
        <v>1075</v>
      </c>
      <c r="C2" s="3555"/>
      <c r="D2" s="1297" t="s">
        <v>1076</v>
      </c>
      <c r="E2" s="1297" t="s">
        <v>1077</v>
      </c>
      <c r="F2" s="1297" t="s">
        <v>1078</v>
      </c>
      <c r="G2" s="1297" t="s">
        <v>1079</v>
      </c>
      <c r="H2" s="1297" t="s">
        <v>1080</v>
      </c>
      <c r="I2" s="1298" t="s">
        <v>1081</v>
      </c>
    </row>
    <row r="3" spans="1:9">
      <c r="A3" s="3554"/>
      <c r="B3" s="3555" t="s">
        <v>1082</v>
      </c>
      <c r="C3" s="3555"/>
      <c r="D3" s="1299"/>
      <c r="E3" s="1297"/>
      <c r="F3" s="1300"/>
      <c r="G3" s="1300"/>
      <c r="H3" s="1301"/>
      <c r="I3" s="1302">
        <f>ROUND(D3*E3*F3*G3*H3/10000,0)</f>
        <v>0</v>
      </c>
    </row>
    <row r="4" spans="1:9">
      <c r="A4" s="3554"/>
      <c r="B4" s="3555" t="s">
        <v>1083</v>
      </c>
      <c r="C4" s="3555"/>
      <c r="D4" s="1299"/>
      <c r="E4" s="1297"/>
      <c r="F4" s="1300"/>
      <c r="G4" s="1300"/>
      <c r="H4" s="1301"/>
      <c r="I4" s="1302">
        <f t="shared" ref="I4:I9" si="0">ROUND(D4*E4*F4*G4*H4/10000,0)</f>
        <v>0</v>
      </c>
    </row>
    <row r="5" spans="1:9">
      <c r="A5" s="3554"/>
      <c r="B5" s="3555" t="s">
        <v>1084</v>
      </c>
      <c r="C5" s="3555"/>
      <c r="D5" s="1299"/>
      <c r="E5" s="1297"/>
      <c r="F5" s="1300"/>
      <c r="G5" s="1300"/>
      <c r="H5" s="1301"/>
      <c r="I5" s="1302">
        <f t="shared" si="0"/>
        <v>0</v>
      </c>
    </row>
    <row r="6" spans="1:9">
      <c r="A6" s="3554"/>
      <c r="B6" s="3555" t="s">
        <v>1085</v>
      </c>
      <c r="C6" s="3555"/>
      <c r="D6" s="1299"/>
      <c r="E6" s="1297"/>
      <c r="F6" s="1300"/>
      <c r="G6" s="1300"/>
      <c r="H6" s="1301"/>
      <c r="I6" s="1302">
        <f t="shared" si="0"/>
        <v>0</v>
      </c>
    </row>
    <row r="7" spans="1:9">
      <c r="A7" s="3554"/>
      <c r="B7" s="3555" t="s">
        <v>1086</v>
      </c>
      <c r="C7" s="3555"/>
      <c r="D7" s="1299"/>
      <c r="E7" s="1297"/>
      <c r="F7" s="1300"/>
      <c r="G7" s="1300"/>
      <c r="H7" s="1301"/>
      <c r="I7" s="1302">
        <f t="shared" si="0"/>
        <v>0</v>
      </c>
    </row>
    <row r="8" spans="1:9">
      <c r="A8" s="3554"/>
      <c r="B8" s="3555" t="s">
        <v>1087</v>
      </c>
      <c r="C8" s="3555"/>
      <c r="D8" s="1299"/>
      <c r="E8" s="1297"/>
      <c r="F8" s="1300"/>
      <c r="G8" s="1300"/>
      <c r="H8" s="1301"/>
      <c r="I8" s="1302">
        <f t="shared" si="0"/>
        <v>0</v>
      </c>
    </row>
    <row r="9" spans="1:9">
      <c r="A9" s="3554"/>
      <c r="B9" s="3555" t="s">
        <v>1088</v>
      </c>
      <c r="C9" s="3555"/>
      <c r="D9" s="1299"/>
      <c r="E9" s="1297"/>
      <c r="F9" s="1300"/>
      <c r="G9" s="1300"/>
      <c r="H9" s="1301"/>
      <c r="I9" s="1302">
        <f t="shared" si="0"/>
        <v>0</v>
      </c>
    </row>
    <row r="10" spans="1:9">
      <c r="A10" s="3554"/>
      <c r="B10" s="3556" t="s">
        <v>1089</v>
      </c>
      <c r="C10" s="3556"/>
      <c r="D10" s="1303"/>
      <c r="E10" s="1303" t="e">
        <f>ROUND(D1*10000/D10/H9,0)</f>
        <v>#DIV/0!</v>
      </c>
      <c r="F10" s="1304"/>
      <c r="G10" s="1304"/>
      <c r="H10" s="1305"/>
      <c r="I10" s="1306">
        <f>SUM(I3:I9)</f>
        <v>0</v>
      </c>
    </row>
    <row r="11" spans="1:9" ht="14.25">
      <c r="A11" s="3554" t="s">
        <v>1090</v>
      </c>
      <c r="B11" s="3555" t="s">
        <v>1091</v>
      </c>
      <c r="C11" s="3555"/>
      <c r="D11" s="1299" t="s">
        <v>1092</v>
      </c>
      <c r="E11" s="1299" t="s">
        <v>1093</v>
      </c>
      <c r="F11" s="1300" t="s">
        <v>1094</v>
      </c>
      <c r="G11" s="1300" t="s">
        <v>1080</v>
      </c>
      <c r="H11" s="1307" t="s">
        <v>1095</v>
      </c>
      <c r="I11" s="1298" t="s">
        <v>1081</v>
      </c>
    </row>
    <row r="12" spans="1:9">
      <c r="A12" s="3554"/>
      <c r="B12" s="3555" t="s">
        <v>1096</v>
      </c>
      <c r="C12" s="3555"/>
      <c r="D12" s="1299"/>
      <c r="E12" s="1299"/>
      <c r="F12" s="1300"/>
      <c r="G12" s="1301"/>
      <c r="H12" s="1308"/>
      <c r="I12" s="1298">
        <f>ROUND(D12*E12*F12*G12/10000,0)</f>
        <v>0</v>
      </c>
    </row>
    <row r="13" spans="1:9">
      <c r="A13" s="3554"/>
      <c r="B13" s="3555" t="s">
        <v>1097</v>
      </c>
      <c r="C13" s="3555"/>
      <c r="D13" s="1299"/>
      <c r="E13" s="1299"/>
      <c r="F13" s="1300"/>
      <c r="G13" s="1301"/>
      <c r="H13" s="1308"/>
      <c r="I13" s="1298">
        <f>ROUND(D13*E13*F13*G13/10000,0)</f>
        <v>0</v>
      </c>
    </row>
    <row r="14" spans="1:9">
      <c r="A14" s="3554"/>
      <c r="B14" s="3555" t="s">
        <v>1098</v>
      </c>
      <c r="C14" s="3555"/>
      <c r="D14" s="1299"/>
      <c r="E14" s="1299"/>
      <c r="F14" s="1300"/>
      <c r="G14" s="1301"/>
      <c r="H14" s="1308"/>
      <c r="I14" s="1298">
        <f>ROUND(D14*E14*F14*G14/10000,0)</f>
        <v>0</v>
      </c>
    </row>
    <row r="15" spans="1:9">
      <c r="A15" s="3554"/>
      <c r="B15" s="3556" t="s">
        <v>1089</v>
      </c>
      <c r="C15" s="3556"/>
      <c r="D15" s="1303"/>
      <c r="E15" s="1303">
        <f>SUM(E12:E14)</f>
        <v>0</v>
      </c>
      <c r="F15" s="1304"/>
      <c r="G15" s="1301"/>
      <c r="H15" s="1308"/>
      <c r="I15" s="1309">
        <f>SUM(I12:I14)</f>
        <v>0</v>
      </c>
    </row>
    <row r="16" spans="1:9" ht="24">
      <c r="A16" s="3554" t="s">
        <v>1099</v>
      </c>
      <c r="B16" s="3555" t="s">
        <v>1100</v>
      </c>
      <c r="C16" s="3555"/>
      <c r="D16" s="1299" t="s">
        <v>1076</v>
      </c>
      <c r="E16" s="1310" t="s">
        <v>1101</v>
      </c>
      <c r="F16" s="1300" t="s">
        <v>1102</v>
      </c>
      <c r="G16" s="1301" t="s">
        <v>1080</v>
      </c>
      <c r="H16" s="1307" t="s">
        <v>1095</v>
      </c>
      <c r="I16" s="1298" t="s">
        <v>1081</v>
      </c>
    </row>
    <row r="17" spans="1:9" ht="14.25">
      <c r="A17" s="3554"/>
      <c r="B17" s="3555" t="s">
        <v>1103</v>
      </c>
      <c r="C17" s="3555"/>
      <c r="D17" s="1299"/>
      <c r="E17" s="1299"/>
      <c r="F17" s="1300"/>
      <c r="G17" s="1301"/>
      <c r="H17" s="1311"/>
      <c r="I17" s="1312">
        <f>ROUND(D17*E17*F17*G17/10000,0)</f>
        <v>0</v>
      </c>
    </row>
    <row r="18" spans="1:9" ht="14.25">
      <c r="A18" s="3554"/>
      <c r="B18" s="3555" t="s">
        <v>1104</v>
      </c>
      <c r="C18" s="3555"/>
      <c r="D18" s="1299"/>
      <c r="E18" s="1299"/>
      <c r="F18" s="1300"/>
      <c r="G18" s="1301"/>
      <c r="H18" s="1311"/>
      <c r="I18" s="1312">
        <f>ROUND(D18*E18*F18*G18/10000,0)</f>
        <v>0</v>
      </c>
    </row>
    <row r="19" spans="1:9" ht="14.25">
      <c r="A19" s="3554"/>
      <c r="B19" s="3555" t="s">
        <v>1105</v>
      </c>
      <c r="C19" s="3555"/>
      <c r="D19" s="1299"/>
      <c r="E19" s="1299"/>
      <c r="F19" s="1300"/>
      <c r="G19" s="1301"/>
      <c r="H19" s="1311"/>
      <c r="I19" s="1312">
        <f>ROUND(D19*E19*F19*G19/10000,0)</f>
        <v>0</v>
      </c>
    </row>
    <row r="20" spans="1:9">
      <c r="A20" s="3554"/>
      <c r="B20" s="3556" t="s">
        <v>1089</v>
      </c>
      <c r="C20" s="3556"/>
      <c r="D20" s="1303">
        <f>SUM(D17:D19)</f>
        <v>0</v>
      </c>
      <c r="E20" s="1303"/>
      <c r="F20" s="1304"/>
      <c r="G20" s="1301"/>
      <c r="H20" s="1308"/>
      <c r="I20" s="1309">
        <f>SUM(I17:I19)</f>
        <v>0</v>
      </c>
    </row>
    <row r="21" spans="1:9">
      <c r="A21" s="3554" t="s">
        <v>1106</v>
      </c>
      <c r="B21" s="3557"/>
      <c r="C21" s="3557"/>
      <c r="D21" s="3557"/>
      <c r="E21" s="3557"/>
      <c r="F21" s="3557"/>
      <c r="G21" s="3557"/>
      <c r="H21" s="1761">
        <v>0.1</v>
      </c>
      <c r="I21" s="1306">
        <f>ROUND(I10*H21,0)</f>
        <v>0</v>
      </c>
    </row>
    <row r="22" spans="1:9" ht="14.25">
      <c r="A22" s="3558" t="s">
        <v>1107</v>
      </c>
      <c r="B22" s="3559"/>
      <c r="C22" s="3560"/>
      <c r="D22" s="1313" t="s">
        <v>1108</v>
      </c>
      <c r="E22" s="1313" t="s">
        <v>1109</v>
      </c>
      <c r="F22" s="1314" t="s">
        <v>1110</v>
      </c>
      <c r="G22" s="1314" t="s">
        <v>1111</v>
      </c>
      <c r="H22" s="1307" t="s">
        <v>1112</v>
      </c>
      <c r="I22" s="1298" t="s">
        <v>1113</v>
      </c>
    </row>
    <row r="23" spans="1:9" ht="14.25" thickBot="1">
      <c r="A23" s="3561"/>
      <c r="B23" s="3562"/>
      <c r="C23" s="3563"/>
      <c r="D23" s="1315"/>
      <c r="E23" s="1315"/>
      <c r="F23" s="1315"/>
      <c r="G23" s="1316"/>
      <c r="H23" s="1317"/>
      <c r="I23" s="1318">
        <f>ROUND(E23*D23*F23*(1-G23)/10000,0)</f>
        <v>0</v>
      </c>
    </row>
    <row r="26" spans="1:9">
      <c r="A26" s="1319" t="s">
        <v>1114</v>
      </c>
      <c r="B26" s="1319"/>
      <c r="C26" s="1319"/>
      <c r="D26" s="1319"/>
      <c r="E26" s="3551">
        <f>C27-C30-C31-C32</f>
        <v>0</v>
      </c>
      <c r="F26" s="3551"/>
      <c r="G26" s="3551"/>
      <c r="H26" s="1733" t="s">
        <v>1336</v>
      </c>
    </row>
    <row r="27" spans="1:9">
      <c r="A27" s="1320">
        <v>1</v>
      </c>
      <c r="B27" s="1321" t="s">
        <v>1115</v>
      </c>
      <c r="C27" s="1321">
        <f>C28+C29</f>
        <v>0</v>
      </c>
      <c r="D27" s="1321"/>
      <c r="E27" s="3552"/>
      <c r="F27" s="3552"/>
      <c r="G27" s="3552"/>
    </row>
    <row r="28" spans="1:9">
      <c r="A28" s="1322" t="s">
        <v>1116</v>
      </c>
      <c r="B28" s="1321" t="s">
        <v>1117</v>
      </c>
      <c r="C28" s="1321"/>
      <c r="D28" s="1321"/>
      <c r="E28" s="3552"/>
      <c r="F28" s="3552"/>
      <c r="G28" s="3552"/>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553"/>
      <c r="F32" s="3553"/>
      <c r="G32" s="3553"/>
    </row>
    <row r="33" spans="1:7" hidden="1">
      <c r="A33" s="3548" t="s">
        <v>1126</v>
      </c>
      <c r="B33" s="3549"/>
      <c r="C33" s="3549"/>
      <c r="D33" s="3550"/>
      <c r="E33" s="3551"/>
      <c r="F33" s="3551"/>
      <c r="G33" s="3551"/>
    </row>
    <row r="34" spans="1:7" hidden="1">
      <c r="A34" s="1324">
        <v>1</v>
      </c>
      <c r="B34" s="1321" t="s">
        <v>1127</v>
      </c>
      <c r="C34" s="1321"/>
      <c r="D34" s="1321"/>
      <c r="E34" s="3552"/>
      <c r="F34" s="3552"/>
      <c r="G34" s="3552"/>
    </row>
    <row r="35" spans="1:7" hidden="1">
      <c r="A35" s="1324">
        <v>2</v>
      </c>
      <c r="B35" s="1321" t="s">
        <v>1128</v>
      </c>
      <c r="C35" s="1321"/>
      <c r="D35" s="1321"/>
      <c r="E35" s="3552"/>
      <c r="F35" s="3552"/>
      <c r="G35" s="3552"/>
    </row>
    <row r="36" spans="1:7" hidden="1">
      <c r="A36" s="1324">
        <v>3</v>
      </c>
      <c r="B36" s="1321" t="s">
        <v>1129</v>
      </c>
      <c r="C36" s="1321"/>
      <c r="D36" s="1321"/>
      <c r="E36" s="3552"/>
      <c r="F36" s="3552"/>
      <c r="G36" s="3552"/>
    </row>
    <row r="37" spans="1:7" hidden="1">
      <c r="A37" s="1324">
        <v>4</v>
      </c>
      <c r="B37" s="1321" t="s">
        <v>1130</v>
      </c>
      <c r="C37" s="1321"/>
      <c r="D37" s="1321"/>
      <c r="E37" s="3552"/>
      <c r="F37" s="3552"/>
      <c r="G37" s="3552"/>
    </row>
    <row r="38" spans="1:7" hidden="1">
      <c r="A38" s="3548" t="s">
        <v>1131</v>
      </c>
      <c r="B38" s="3549"/>
      <c r="C38" s="3549"/>
      <c r="D38" s="3550"/>
      <c r="E38" s="3551"/>
      <c r="F38" s="3551"/>
      <c r="G38" s="35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3"/>
      <c r="D2" s="1361"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2530</v>
      </c>
      <c r="D3" s="399">
        <f>IF(D1="",'数据-汇总表'!E3,SUMIF('数据-汇总表'!$C19:$C33,D1,'数据-汇总表'!$E19:$E33))</f>
        <v>34081.78</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78"/>
    </row>
    <row r="4" spans="1:29" ht="15">
      <c r="A4" s="401" t="s">
        <v>2531</v>
      </c>
      <c r="B4" s="402"/>
      <c r="C4" s="3507" t="s">
        <v>2532</v>
      </c>
      <c r="D4" s="3508"/>
      <c r="E4" s="3509" t="s">
        <v>2533</v>
      </c>
      <c r="F4" s="3510"/>
      <c r="G4" s="3507" t="s">
        <v>2534</v>
      </c>
      <c r="H4" s="3508"/>
      <c r="I4" s="3507" t="s">
        <v>2535</v>
      </c>
      <c r="J4" s="3508"/>
      <c r="K4" s="2593" t="s">
        <v>2536</v>
      </c>
      <c r="L4" s="1132"/>
      <c r="M4" s="1133"/>
      <c r="N4" s="1133"/>
      <c r="O4" s="1133"/>
      <c r="P4" s="3573" t="s">
        <v>2537</v>
      </c>
      <c r="Q4" s="3574"/>
      <c r="R4" s="3577" t="s">
        <v>2533</v>
      </c>
      <c r="S4" s="3578"/>
      <c r="T4" s="3577" t="s">
        <v>2534</v>
      </c>
      <c r="U4" s="3578"/>
      <c r="V4" s="3524" t="s">
        <v>2535</v>
      </c>
      <c r="W4" s="3524"/>
      <c r="X4" s="1809"/>
      <c r="Y4" s="3577" t="s">
        <v>2537</v>
      </c>
      <c r="Z4" s="3578"/>
      <c r="AA4" s="3572" t="s">
        <v>2533</v>
      </c>
      <c r="AB4" s="3572" t="s">
        <v>2534</v>
      </c>
      <c r="AC4" s="3572" t="s">
        <v>2535</v>
      </c>
    </row>
    <row r="5" spans="1:29" ht="15">
      <c r="A5" s="404"/>
      <c r="B5" s="405"/>
      <c r="C5" s="3533" t="s">
        <v>2538</v>
      </c>
      <c r="D5" s="3528"/>
      <c r="E5" s="3580" t="s">
        <v>2539</v>
      </c>
      <c r="F5" s="3541"/>
      <c r="G5" s="3533" t="s">
        <v>2540</v>
      </c>
      <c r="H5" s="3528"/>
      <c r="I5" s="3533" t="s">
        <v>2541</v>
      </c>
      <c r="J5" s="3528"/>
      <c r="K5" s="2594"/>
      <c r="L5" s="1132"/>
      <c r="M5" s="1133"/>
      <c r="N5" s="1133"/>
      <c r="O5" s="1133"/>
      <c r="P5" s="3575"/>
      <c r="Q5" s="3514"/>
      <c r="R5" s="3519"/>
      <c r="S5" s="3520"/>
      <c r="T5" s="3519"/>
      <c r="U5" s="3520"/>
      <c r="V5" s="3524"/>
      <c r="W5" s="3524"/>
      <c r="X5" s="1809"/>
      <c r="Y5" s="3519"/>
      <c r="Z5" s="3520"/>
      <c r="AA5" s="3538"/>
      <c r="AB5" s="3538"/>
      <c r="AC5" s="3538"/>
    </row>
    <row r="6" spans="1:29" ht="15.75" thickBot="1">
      <c r="A6" s="406"/>
      <c r="B6" s="407"/>
      <c r="C6" s="3534" t="s">
        <v>2542</v>
      </c>
      <c r="D6" s="3526"/>
      <c r="E6" s="3579" t="s">
        <v>2542</v>
      </c>
      <c r="F6" s="3536"/>
      <c r="G6" s="3534" t="s">
        <v>2542</v>
      </c>
      <c r="H6" s="3526"/>
      <c r="I6" s="3534" t="s">
        <v>2542</v>
      </c>
      <c r="J6" s="3526"/>
      <c r="K6" s="2594" t="s">
        <v>2543</v>
      </c>
      <c r="L6" s="1132"/>
      <c r="M6" s="1133"/>
      <c r="N6" s="1133"/>
      <c r="O6" s="1133"/>
      <c r="P6" s="3576"/>
      <c r="Q6" s="3516"/>
      <c r="R6" s="3519"/>
      <c r="S6" s="3520"/>
      <c r="T6" s="3521"/>
      <c r="U6" s="3522"/>
      <c r="V6" s="3524"/>
      <c r="W6" s="3524"/>
      <c r="X6" s="1809"/>
      <c r="Y6" s="3521"/>
      <c r="Z6" s="3522"/>
      <c r="AA6" s="3539"/>
      <c r="AB6" s="3539"/>
      <c r="AC6" s="3539"/>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1" t="s">
        <v>2545</v>
      </c>
      <c r="Q7" s="3532"/>
      <c r="R7" s="769" t="s">
        <v>23</v>
      </c>
      <c r="S7" s="770">
        <f t="shared" ref="S7:S15" si="0">F7</f>
        <v>0</v>
      </c>
      <c r="T7" s="769" t="s">
        <v>23</v>
      </c>
      <c r="U7" s="770">
        <f t="shared" ref="U7:U15" si="1">H7</f>
        <v>0</v>
      </c>
      <c r="V7" s="769" t="s">
        <v>23</v>
      </c>
      <c r="W7" s="770">
        <f t="shared" ref="W7:W15" si="2">J7</f>
        <v>0</v>
      </c>
      <c r="X7" s="771"/>
      <c r="Y7" s="3531" t="s">
        <v>2545</v>
      </c>
      <c r="Z7" s="3530"/>
      <c r="AA7" s="772" t="e">
        <f>D7/F7</f>
        <v>#DIV/0!</v>
      </c>
      <c r="AB7" s="772" t="e">
        <f>D7/H7</f>
        <v>#DIV/0!</v>
      </c>
      <c r="AC7" s="772"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31" t="s">
        <v>2548</v>
      </c>
      <c r="Q8" s="3530"/>
      <c r="R8" s="769" t="s">
        <v>23</v>
      </c>
      <c r="S8" s="770">
        <f t="shared" si="0"/>
        <v>0</v>
      </c>
      <c r="T8" s="769" t="s">
        <v>23</v>
      </c>
      <c r="U8" s="770">
        <f t="shared" si="1"/>
        <v>0</v>
      </c>
      <c r="V8" s="769" t="s">
        <v>23</v>
      </c>
      <c r="W8" s="770">
        <f t="shared" si="2"/>
        <v>0</v>
      </c>
      <c r="X8" s="771"/>
      <c r="Y8" s="3531" t="s">
        <v>2548</v>
      </c>
      <c r="Z8" s="3530"/>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489" t="s">
        <v>2551</v>
      </c>
      <c r="Q9" s="1791" t="str">
        <f t="shared" ref="Q9:Q15" si="6">B9</f>
        <v>用途</v>
      </c>
      <c r="R9" s="769" t="s">
        <v>17</v>
      </c>
      <c r="S9" s="770">
        <f t="shared" si="0"/>
        <v>100</v>
      </c>
      <c r="T9" s="769" t="s">
        <v>17</v>
      </c>
      <c r="U9" s="770">
        <f t="shared" si="1"/>
        <v>100</v>
      </c>
      <c r="V9" s="769" t="s">
        <v>17</v>
      </c>
      <c r="W9" s="770">
        <f t="shared" si="2"/>
        <v>100</v>
      </c>
      <c r="X9" s="771"/>
      <c r="Y9" s="3344"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489"/>
      <c r="Q10" s="1791" t="str">
        <f t="shared" si="6"/>
        <v>土地使用年限（年）</v>
      </c>
      <c r="R10" s="769" t="s">
        <v>17</v>
      </c>
      <c r="S10" s="770">
        <f t="shared" si="0"/>
        <v>100</v>
      </c>
      <c r="T10" s="769" t="s">
        <v>17</v>
      </c>
      <c r="U10" s="770">
        <f t="shared" si="1"/>
        <v>100</v>
      </c>
      <c r="V10" s="769" t="s">
        <v>17</v>
      </c>
      <c r="W10" s="770">
        <f t="shared" si="2"/>
        <v>100</v>
      </c>
      <c r="X10" s="771"/>
      <c r="Y10" s="3344"/>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489"/>
      <c r="Q11" s="1791" t="str">
        <f t="shared" si="6"/>
        <v>容积率</v>
      </c>
      <c r="R11" s="769" t="s">
        <v>21</v>
      </c>
      <c r="S11" s="770" t="e">
        <f t="shared" si="0"/>
        <v>#N/A</v>
      </c>
      <c r="T11" s="769" t="s">
        <v>21</v>
      </c>
      <c r="U11" s="770" t="e">
        <f t="shared" si="1"/>
        <v>#N/A</v>
      </c>
      <c r="V11" s="769" t="s">
        <v>21</v>
      </c>
      <c r="W11" s="770" t="e">
        <f t="shared" si="2"/>
        <v>#N/A</v>
      </c>
      <c r="X11" s="771"/>
      <c r="Y11" s="3344"/>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489"/>
      <c r="Q12" s="1791">
        <f t="shared" si="6"/>
        <v>111</v>
      </c>
      <c r="R12" s="769" t="s">
        <v>21</v>
      </c>
      <c r="S12" s="770">
        <f t="shared" si="0"/>
        <v>100</v>
      </c>
      <c r="T12" s="769" t="s">
        <v>21</v>
      </c>
      <c r="U12" s="770">
        <f t="shared" si="1"/>
        <v>100</v>
      </c>
      <c r="V12" s="769" t="s">
        <v>21</v>
      </c>
      <c r="W12" s="770">
        <f t="shared" si="2"/>
        <v>100</v>
      </c>
      <c r="X12" s="771"/>
      <c r="Y12" s="3344"/>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489"/>
      <c r="Q13" s="1791">
        <f t="shared" si="6"/>
        <v>111</v>
      </c>
      <c r="R13" s="769" t="s">
        <v>21</v>
      </c>
      <c r="S13" s="770">
        <f t="shared" si="0"/>
        <v>100</v>
      </c>
      <c r="T13" s="769" t="s">
        <v>21</v>
      </c>
      <c r="U13" s="770">
        <f t="shared" si="1"/>
        <v>100</v>
      </c>
      <c r="V13" s="769" t="s">
        <v>21</v>
      </c>
      <c r="W13" s="770">
        <f t="shared" si="2"/>
        <v>100</v>
      </c>
      <c r="X13" s="771"/>
      <c r="Y13" s="3344"/>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489"/>
      <c r="Q14" s="1791">
        <f t="shared" si="6"/>
        <v>111</v>
      </c>
      <c r="R14" s="769" t="s">
        <v>21</v>
      </c>
      <c r="S14" s="770">
        <f t="shared" si="0"/>
        <v>100</v>
      </c>
      <c r="T14" s="769" t="s">
        <v>21</v>
      </c>
      <c r="U14" s="770">
        <f t="shared" si="1"/>
        <v>100</v>
      </c>
      <c r="V14" s="769" t="s">
        <v>21</v>
      </c>
      <c r="W14" s="770">
        <f t="shared" si="2"/>
        <v>100</v>
      </c>
      <c r="X14" s="771"/>
      <c r="Y14" s="3344"/>
      <c r="Z14" s="55">
        <f t="shared" si="7"/>
        <v>111</v>
      </c>
      <c r="AA14" s="772">
        <f t="shared" si="3"/>
        <v>1</v>
      </c>
      <c r="AB14" s="772">
        <f t="shared" si="4"/>
        <v>1</v>
      </c>
      <c r="AC14" s="772">
        <f t="shared" si="5"/>
        <v>1</v>
      </c>
    </row>
    <row r="15" spans="1:29" ht="15">
      <c r="A15" s="440" t="s">
        <v>2555</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495" t="s">
        <v>2556</v>
      </c>
      <c r="Q15" s="1806" t="str">
        <f t="shared" si="6"/>
        <v>居住社区成熟度</v>
      </c>
      <c r="R15" s="773" t="s">
        <v>21</v>
      </c>
      <c r="S15" s="774">
        <f t="shared" si="0"/>
        <v>100</v>
      </c>
      <c r="T15" s="773" t="s">
        <v>21</v>
      </c>
      <c r="U15" s="774">
        <f t="shared" si="1"/>
        <v>100</v>
      </c>
      <c r="V15" s="773" t="s">
        <v>21</v>
      </c>
      <c r="W15" s="774">
        <f t="shared" si="2"/>
        <v>100</v>
      </c>
      <c r="X15" s="1809"/>
      <c r="Y15" s="3497" t="s">
        <v>2556</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42"/>
      <c r="M16" s="1133"/>
      <c r="N16" s="1133"/>
      <c r="O16" s="1133"/>
      <c r="P16" s="3496"/>
      <c r="Q16" s="1806"/>
      <c r="R16" s="773"/>
      <c r="S16" s="774"/>
      <c r="T16" s="773"/>
      <c r="U16" s="774"/>
      <c r="V16" s="773"/>
      <c r="W16" s="774"/>
      <c r="X16" s="1809"/>
      <c r="Y16" s="3498"/>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496"/>
      <c r="Q17" s="1806" t="str">
        <f>B17</f>
        <v>交通便捷度</v>
      </c>
      <c r="R17" s="773" t="s">
        <v>21</v>
      </c>
      <c r="S17" s="774">
        <f>F17</f>
        <v>100</v>
      </c>
      <c r="T17" s="773" t="s">
        <v>21</v>
      </c>
      <c r="U17" s="774">
        <f>H17</f>
        <v>100</v>
      </c>
      <c r="V17" s="773" t="s">
        <v>21</v>
      </c>
      <c r="W17" s="774">
        <f>J17</f>
        <v>100</v>
      </c>
      <c r="X17" s="1809"/>
      <c r="Y17" s="3498"/>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42"/>
      <c r="M18" s="1133"/>
      <c r="N18" s="1133"/>
      <c r="O18" s="1133"/>
      <c r="P18" s="3496"/>
      <c r="Q18" s="1806"/>
      <c r="R18" s="773"/>
      <c r="S18" s="774"/>
      <c r="T18" s="773"/>
      <c r="U18" s="774"/>
      <c r="V18" s="773"/>
      <c r="W18" s="774"/>
      <c r="X18" s="1809"/>
      <c r="Y18" s="3498"/>
      <c r="Z18" s="1810"/>
      <c r="AA18" s="1807">
        <v>1</v>
      </c>
      <c r="AB18" s="1807">
        <v>1</v>
      </c>
      <c r="AC18" s="1807">
        <v>1</v>
      </c>
    </row>
    <row r="19" spans="1:29" ht="213.75">
      <c r="A19" s="428"/>
      <c r="B19" s="451" t="s">
        <v>2091</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496"/>
      <c r="Q19" s="1806" t="str">
        <f>B19</f>
        <v>公共配套设施</v>
      </c>
      <c r="R19" s="773" t="s">
        <v>21</v>
      </c>
      <c r="S19" s="774">
        <f>F19</f>
        <v>100</v>
      </c>
      <c r="T19" s="773" t="s">
        <v>21</v>
      </c>
      <c r="U19" s="774">
        <f>H19</f>
        <v>100</v>
      </c>
      <c r="V19" s="773" t="s">
        <v>21</v>
      </c>
      <c r="W19" s="774">
        <f>J19</f>
        <v>100</v>
      </c>
      <c r="X19" s="1809"/>
      <c r="Y19" s="3498"/>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42"/>
      <c r="M20" s="1133"/>
      <c r="N20" s="1133"/>
      <c r="O20" s="1133"/>
      <c r="P20" s="3496"/>
      <c r="Q20" s="1806"/>
      <c r="R20" s="773"/>
      <c r="S20" s="774"/>
      <c r="T20" s="773"/>
      <c r="U20" s="774"/>
      <c r="V20" s="773"/>
      <c r="W20" s="774"/>
      <c r="X20" s="1809"/>
      <c r="Y20" s="3498"/>
      <c r="Z20" s="1810"/>
      <c r="AA20" s="1807">
        <v>1</v>
      </c>
      <c r="AB20" s="1807">
        <v>1</v>
      </c>
      <c r="AC20" s="1807">
        <v>1</v>
      </c>
    </row>
    <row r="21" spans="1:29" ht="42.75">
      <c r="A21" s="428"/>
      <c r="B21" s="1380"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496"/>
      <c r="Q21" s="1806" t="str">
        <f>B21</f>
        <v>基础设施水平</v>
      </c>
      <c r="R21" s="773" t="s">
        <v>17</v>
      </c>
      <c r="S21" s="774">
        <f>F21</f>
        <v>100</v>
      </c>
      <c r="T21" s="773" t="s">
        <v>17</v>
      </c>
      <c r="U21" s="774">
        <f>H21</f>
        <v>100</v>
      </c>
      <c r="V21" s="773" t="s">
        <v>17</v>
      </c>
      <c r="W21" s="774">
        <f>J21</f>
        <v>100</v>
      </c>
      <c r="X21" s="1809"/>
      <c r="Y21" s="3498"/>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42"/>
      <c r="M22" s="1133"/>
      <c r="N22" s="1133"/>
      <c r="O22" s="1133"/>
      <c r="P22" s="3496"/>
      <c r="Q22" s="1806"/>
      <c r="R22" s="773"/>
      <c r="S22" s="774"/>
      <c r="T22" s="773"/>
      <c r="U22" s="774"/>
      <c r="V22" s="773"/>
      <c r="W22" s="774"/>
      <c r="X22" s="1809"/>
      <c r="Y22" s="3498"/>
      <c r="Z22" s="1810"/>
      <c r="AA22" s="1807">
        <v>1</v>
      </c>
      <c r="AB22" s="1807">
        <v>1</v>
      </c>
      <c r="AC22" s="1807">
        <v>1</v>
      </c>
    </row>
    <row r="23" spans="1:29" ht="85.5">
      <c r="A23" s="428"/>
      <c r="B23" s="451" t="s">
        <v>2098</v>
      </c>
      <c r="C23" s="2604" t="str">
        <f>估价对象房地状况!C9</f>
        <v>区域自然环境：秀水湖公园；人文环境：北京邮电大学（洪福校区）；综合评价环境状况较好。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496"/>
      <c r="Q23" s="1806" t="str">
        <f>B23</f>
        <v>自然及人文环境</v>
      </c>
      <c r="R23" s="773" t="s">
        <v>21</v>
      </c>
      <c r="S23" s="774">
        <f>F23</f>
        <v>100</v>
      </c>
      <c r="T23" s="773" t="s">
        <v>21</v>
      </c>
      <c r="U23" s="774">
        <f>H23</f>
        <v>100</v>
      </c>
      <c r="V23" s="773" t="s">
        <v>21</v>
      </c>
      <c r="W23" s="774">
        <f>J23</f>
        <v>100</v>
      </c>
      <c r="X23" s="1809"/>
      <c r="Y23" s="3498"/>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42"/>
      <c r="M24" s="1133"/>
      <c r="N24" s="1133"/>
      <c r="O24" s="1133"/>
      <c r="P24" s="3496"/>
      <c r="Q24" s="1806"/>
      <c r="R24" s="773"/>
      <c r="S24" s="774"/>
      <c r="T24" s="773"/>
      <c r="U24" s="774"/>
      <c r="V24" s="773"/>
      <c r="W24" s="774"/>
      <c r="X24" s="1809"/>
      <c r="Y24" s="3498"/>
      <c r="Z24" s="1810"/>
      <c r="AA24" s="1807">
        <v>1</v>
      </c>
      <c r="AB24" s="1807">
        <v>1</v>
      </c>
      <c r="AC24" s="1807">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496"/>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498"/>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496"/>
      <c r="Q26" s="1806" t="str">
        <f t="shared" si="11"/>
        <v>朝向</v>
      </c>
      <c r="R26" s="773" t="s">
        <v>21</v>
      </c>
      <c r="S26" s="774">
        <f t="shared" si="12"/>
        <v>100</v>
      </c>
      <c r="T26" s="773" t="s">
        <v>21</v>
      </c>
      <c r="U26" s="774">
        <f t="shared" si="13"/>
        <v>100</v>
      </c>
      <c r="V26" s="773" t="s">
        <v>21</v>
      </c>
      <c r="W26" s="774">
        <f t="shared" si="14"/>
        <v>100</v>
      </c>
      <c r="X26" s="1809"/>
      <c r="Y26" s="3498"/>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496"/>
      <c r="Q27" s="1791">
        <f t="shared" si="11"/>
        <v>111</v>
      </c>
      <c r="R27" s="769" t="s">
        <v>21</v>
      </c>
      <c r="S27" s="770">
        <f t="shared" si="12"/>
        <v>100</v>
      </c>
      <c r="T27" s="769" t="s">
        <v>21</v>
      </c>
      <c r="U27" s="770">
        <f t="shared" si="13"/>
        <v>100</v>
      </c>
      <c r="V27" s="769" t="s">
        <v>21</v>
      </c>
      <c r="W27" s="770">
        <f t="shared" si="14"/>
        <v>100</v>
      </c>
      <c r="X27" s="771"/>
      <c r="Y27" s="3498"/>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496"/>
      <c r="Q28" s="1806">
        <f t="shared" si="11"/>
        <v>111</v>
      </c>
      <c r="R28" s="773" t="s">
        <v>21</v>
      </c>
      <c r="S28" s="774">
        <f t="shared" si="12"/>
        <v>100</v>
      </c>
      <c r="T28" s="773" t="s">
        <v>21</v>
      </c>
      <c r="U28" s="774">
        <f t="shared" si="13"/>
        <v>100</v>
      </c>
      <c r="V28" s="773" t="s">
        <v>21</v>
      </c>
      <c r="W28" s="774">
        <f t="shared" si="14"/>
        <v>100</v>
      </c>
      <c r="X28" s="1809"/>
      <c r="Y28" s="3498"/>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496"/>
      <c r="Q29" s="1806">
        <f t="shared" si="11"/>
        <v>111</v>
      </c>
      <c r="R29" s="773" t="s">
        <v>21</v>
      </c>
      <c r="S29" s="774">
        <f t="shared" si="12"/>
        <v>100</v>
      </c>
      <c r="T29" s="773" t="s">
        <v>21</v>
      </c>
      <c r="U29" s="774">
        <f t="shared" si="13"/>
        <v>100</v>
      </c>
      <c r="V29" s="773" t="s">
        <v>21</v>
      </c>
      <c r="W29" s="774">
        <f t="shared" si="14"/>
        <v>100</v>
      </c>
      <c r="X29" s="1809"/>
      <c r="Y29" s="3498"/>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496"/>
      <c r="Q30" s="1806">
        <f t="shared" si="11"/>
        <v>111</v>
      </c>
      <c r="R30" s="773" t="s">
        <v>21</v>
      </c>
      <c r="S30" s="774">
        <f t="shared" si="12"/>
        <v>100</v>
      </c>
      <c r="T30" s="773" t="s">
        <v>21</v>
      </c>
      <c r="U30" s="774">
        <f t="shared" si="13"/>
        <v>100</v>
      </c>
      <c r="V30" s="773" t="s">
        <v>21</v>
      </c>
      <c r="W30" s="774">
        <f t="shared" si="14"/>
        <v>100</v>
      </c>
      <c r="X30" s="1809"/>
      <c r="Y30" s="3498"/>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496"/>
      <c r="Q31" s="1806">
        <f t="shared" si="11"/>
        <v>111</v>
      </c>
      <c r="R31" s="773" t="s">
        <v>21</v>
      </c>
      <c r="S31" s="774">
        <f t="shared" si="12"/>
        <v>100</v>
      </c>
      <c r="T31" s="773" t="s">
        <v>21</v>
      </c>
      <c r="U31" s="774">
        <f t="shared" si="13"/>
        <v>100</v>
      </c>
      <c r="V31" s="773" t="s">
        <v>21</v>
      </c>
      <c r="W31" s="774">
        <f t="shared" si="14"/>
        <v>100</v>
      </c>
      <c r="X31" s="1809"/>
      <c r="Y31" s="3498"/>
      <c r="Z31" s="1810">
        <f t="shared" si="18"/>
        <v>111</v>
      </c>
      <c r="AA31" s="1807">
        <f t="shared" si="15"/>
        <v>1</v>
      </c>
      <c r="AB31" s="1807">
        <f t="shared" si="16"/>
        <v>1</v>
      </c>
      <c r="AC31" s="1807">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499" t="s">
        <v>2561</v>
      </c>
      <c r="Q32" s="1806" t="str">
        <f t="shared" si="11"/>
        <v>建筑类型</v>
      </c>
      <c r="R32" s="773" t="s">
        <v>21</v>
      </c>
      <c r="S32" s="774">
        <f t="shared" si="12"/>
        <v>100</v>
      </c>
      <c r="T32" s="773" t="s">
        <v>21</v>
      </c>
      <c r="U32" s="774">
        <f t="shared" si="13"/>
        <v>100</v>
      </c>
      <c r="V32" s="773" t="s">
        <v>21</v>
      </c>
      <c r="W32" s="774">
        <f t="shared" si="14"/>
        <v>100</v>
      </c>
      <c r="X32" s="1809"/>
      <c r="Y32" s="3502"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00"/>
      <c r="Q33" s="775" t="str">
        <f t="shared" si="11"/>
        <v>项目建筑规模</v>
      </c>
      <c r="R33" s="776" t="s">
        <v>21</v>
      </c>
      <c r="S33" s="777" t="e">
        <f t="shared" si="12"/>
        <v>#N/A</v>
      </c>
      <c r="T33" s="776" t="s">
        <v>21</v>
      </c>
      <c r="U33" s="777" t="e">
        <f t="shared" si="13"/>
        <v>#N/A</v>
      </c>
      <c r="V33" s="776" t="s">
        <v>21</v>
      </c>
      <c r="W33" s="777" t="e">
        <f t="shared" si="14"/>
        <v>#N/A</v>
      </c>
      <c r="X33" s="778"/>
      <c r="Y33" s="3502"/>
      <c r="Z33" s="779" t="str">
        <f t="shared" si="18"/>
        <v>项目建筑规模</v>
      </c>
      <c r="AA33" s="1807" t="e">
        <f t="shared" si="15"/>
        <v>#N/A</v>
      </c>
      <c r="AB33" s="1807" t="e">
        <f t="shared" si="16"/>
        <v>#N/A</v>
      </c>
      <c r="AC33" s="1807"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00"/>
      <c r="Q34" s="1806" t="str">
        <f t="shared" si="11"/>
        <v>建筑结构</v>
      </c>
      <c r="R34" s="773" t="s">
        <v>21</v>
      </c>
      <c r="S34" s="774">
        <f t="shared" si="12"/>
        <v>100</v>
      </c>
      <c r="T34" s="773" t="s">
        <v>21</v>
      </c>
      <c r="U34" s="774">
        <f t="shared" si="13"/>
        <v>100</v>
      </c>
      <c r="V34" s="773" t="s">
        <v>21</v>
      </c>
      <c r="W34" s="774">
        <f t="shared" si="14"/>
        <v>100</v>
      </c>
      <c r="X34" s="1809"/>
      <c r="Y34" s="3502"/>
      <c r="Z34" s="1810" t="str">
        <f t="shared" si="18"/>
        <v>建筑结构</v>
      </c>
      <c r="AA34" s="1807">
        <f t="shared" si="15"/>
        <v>1</v>
      </c>
      <c r="AB34" s="1807">
        <f t="shared" si="16"/>
        <v>1</v>
      </c>
      <c r="AC34" s="1807">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00"/>
      <c r="Q35" s="1806" t="str">
        <f t="shared" si="11"/>
        <v>建筑品质</v>
      </c>
      <c r="R35" s="773" t="s">
        <v>21</v>
      </c>
      <c r="S35" s="774">
        <f t="shared" si="12"/>
        <v>100</v>
      </c>
      <c r="T35" s="773" t="s">
        <v>21</v>
      </c>
      <c r="U35" s="774">
        <f t="shared" si="13"/>
        <v>100</v>
      </c>
      <c r="V35" s="773" t="s">
        <v>21</v>
      </c>
      <c r="W35" s="774">
        <f t="shared" si="14"/>
        <v>100</v>
      </c>
      <c r="X35" s="1809"/>
      <c r="Y35" s="3502"/>
      <c r="Z35" s="1810" t="str">
        <f t="shared" si="18"/>
        <v>建筑品质</v>
      </c>
      <c r="AA35" s="1807">
        <f t="shared" si="15"/>
        <v>1</v>
      </c>
      <c r="AB35" s="1807">
        <f t="shared" si="16"/>
        <v>1</v>
      </c>
      <c r="AC35" s="1807">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00"/>
      <c r="Q36" s="1806" t="str">
        <f t="shared" si="11"/>
        <v>公共部分装修</v>
      </c>
      <c r="R36" s="773" t="s">
        <v>21</v>
      </c>
      <c r="S36" s="774">
        <f t="shared" si="12"/>
        <v>100</v>
      </c>
      <c r="T36" s="773" t="s">
        <v>21</v>
      </c>
      <c r="U36" s="774">
        <f t="shared" si="13"/>
        <v>100</v>
      </c>
      <c r="V36" s="773" t="s">
        <v>21</v>
      </c>
      <c r="W36" s="774">
        <f t="shared" si="14"/>
        <v>100</v>
      </c>
      <c r="X36" s="1809"/>
      <c r="Y36" s="3502"/>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00"/>
      <c r="Q37" s="1791" t="str">
        <f t="shared" si="11"/>
        <v>成新度</v>
      </c>
      <c r="R37" s="769" t="s">
        <v>21</v>
      </c>
      <c r="S37" s="770" t="e">
        <f t="shared" si="12"/>
        <v>#N/A</v>
      </c>
      <c r="T37" s="769" t="s">
        <v>21</v>
      </c>
      <c r="U37" s="770" t="e">
        <f t="shared" si="13"/>
        <v>#N/A</v>
      </c>
      <c r="V37" s="769" t="s">
        <v>21</v>
      </c>
      <c r="W37" s="770" t="e">
        <f t="shared" si="14"/>
        <v>#N/A</v>
      </c>
      <c r="X37" s="771"/>
      <c r="Y37" s="3502"/>
      <c r="Z37" s="55" t="str">
        <f t="shared" si="18"/>
        <v>成新度</v>
      </c>
      <c r="AA37" s="772" t="e">
        <f t="shared" si="15"/>
        <v>#N/A</v>
      </c>
      <c r="AB37" s="772" t="e">
        <f t="shared" si="16"/>
        <v>#N/A</v>
      </c>
      <c r="AC37" s="772"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00" t="s">
        <v>2561</v>
      </c>
      <c r="Q38" s="1806" t="str">
        <f t="shared" si="11"/>
        <v>物业管理</v>
      </c>
      <c r="R38" s="773" t="s">
        <v>21</v>
      </c>
      <c r="S38" s="774">
        <f t="shared" si="12"/>
        <v>100</v>
      </c>
      <c r="T38" s="773" t="s">
        <v>21</v>
      </c>
      <c r="U38" s="774">
        <f t="shared" si="13"/>
        <v>100</v>
      </c>
      <c r="V38" s="773" t="s">
        <v>21</v>
      </c>
      <c r="W38" s="774">
        <f t="shared" si="14"/>
        <v>100</v>
      </c>
      <c r="X38" s="1809"/>
      <c r="Y38" s="3502" t="s">
        <v>2561</v>
      </c>
      <c r="Z38" s="1810" t="str">
        <f t="shared" si="18"/>
        <v>物业管理</v>
      </c>
      <c r="AA38" s="1807">
        <f t="shared" si="15"/>
        <v>1</v>
      </c>
      <c r="AB38" s="1807">
        <f t="shared" si="16"/>
        <v>1</v>
      </c>
      <c r="AC38" s="1807">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00"/>
      <c r="Q39" s="1806" t="str">
        <f t="shared" si="11"/>
        <v>市政基础设施</v>
      </c>
      <c r="R39" s="773" t="s">
        <v>21</v>
      </c>
      <c r="S39" s="774">
        <f t="shared" si="12"/>
        <v>100</v>
      </c>
      <c r="T39" s="773" t="s">
        <v>21</v>
      </c>
      <c r="U39" s="774">
        <f t="shared" si="13"/>
        <v>100</v>
      </c>
      <c r="V39" s="773" t="s">
        <v>21</v>
      </c>
      <c r="W39" s="774">
        <f t="shared" si="14"/>
        <v>100</v>
      </c>
      <c r="X39" s="1809"/>
      <c r="Y39" s="3502"/>
      <c r="Z39" s="1810" t="str">
        <f t="shared" si="18"/>
        <v>市政基础设施</v>
      </c>
      <c r="AA39" s="1807">
        <f t="shared" si="15"/>
        <v>1</v>
      </c>
      <c r="AB39" s="1807">
        <f t="shared" si="16"/>
        <v>1</v>
      </c>
      <c r="AC39" s="1807">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00"/>
      <c r="Q40" s="1806" t="str">
        <f t="shared" si="11"/>
        <v>房型</v>
      </c>
      <c r="R40" s="773" t="s">
        <v>21</v>
      </c>
      <c r="S40" s="774">
        <f t="shared" si="12"/>
        <v>100</v>
      </c>
      <c r="T40" s="773" t="s">
        <v>21</v>
      </c>
      <c r="U40" s="774">
        <f t="shared" si="13"/>
        <v>100</v>
      </c>
      <c r="V40" s="773" t="s">
        <v>21</v>
      </c>
      <c r="W40" s="774">
        <f t="shared" si="14"/>
        <v>100</v>
      </c>
      <c r="X40" s="1809"/>
      <c r="Y40" s="3502"/>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00"/>
      <c r="Q41" s="775" t="str">
        <f t="shared" si="11"/>
        <v>单套/主力户型建筑面积</v>
      </c>
      <c r="R41" s="776" t="s">
        <v>21</v>
      </c>
      <c r="S41" s="777">
        <f t="shared" si="12"/>
        <v>100</v>
      </c>
      <c r="T41" s="776" t="s">
        <v>21</v>
      </c>
      <c r="U41" s="777">
        <f t="shared" si="13"/>
        <v>100</v>
      </c>
      <c r="V41" s="776" t="s">
        <v>21</v>
      </c>
      <c r="W41" s="777">
        <f t="shared" si="14"/>
        <v>100</v>
      </c>
      <c r="X41" s="778"/>
      <c r="Y41" s="3502"/>
      <c r="Z41" s="779" t="str">
        <f t="shared" si="18"/>
        <v>单套/主力户型建筑面积</v>
      </c>
      <c r="AA41" s="1807">
        <f t="shared" si="15"/>
        <v>1</v>
      </c>
      <c r="AB41" s="1807">
        <f t="shared" si="16"/>
        <v>1</v>
      </c>
      <c r="AC41" s="1807">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00"/>
      <c r="Q42" s="1806" t="str">
        <f t="shared" si="11"/>
        <v>内部装修</v>
      </c>
      <c r="R42" s="773" t="s">
        <v>21</v>
      </c>
      <c r="S42" s="774">
        <f t="shared" si="12"/>
        <v>100</v>
      </c>
      <c r="T42" s="773" t="s">
        <v>21</v>
      </c>
      <c r="U42" s="774">
        <f t="shared" si="13"/>
        <v>100</v>
      </c>
      <c r="V42" s="773" t="s">
        <v>21</v>
      </c>
      <c r="W42" s="774">
        <f t="shared" si="14"/>
        <v>100</v>
      </c>
      <c r="X42" s="1809"/>
      <c r="Y42" s="3502"/>
      <c r="Z42" s="1810" t="str">
        <f t="shared" si="18"/>
        <v>内部装修</v>
      </c>
      <c r="AA42" s="1807">
        <f t="shared" si="15"/>
        <v>1</v>
      </c>
      <c r="AB42" s="1807">
        <f t="shared" si="16"/>
        <v>1</v>
      </c>
      <c r="AC42" s="1807">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00"/>
      <c r="Q43" s="1806" t="str">
        <f t="shared" si="11"/>
        <v>内部装修维护情况</v>
      </c>
      <c r="R43" s="773" t="s">
        <v>21</v>
      </c>
      <c r="S43" s="774">
        <f t="shared" si="12"/>
        <v>100</v>
      </c>
      <c r="T43" s="773" t="s">
        <v>21</v>
      </c>
      <c r="U43" s="774">
        <f t="shared" si="13"/>
        <v>100</v>
      </c>
      <c r="V43" s="773" t="s">
        <v>21</v>
      </c>
      <c r="W43" s="774">
        <f t="shared" si="14"/>
        <v>100</v>
      </c>
      <c r="X43" s="1809"/>
      <c r="Y43" s="3502"/>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00"/>
      <c r="Q44" s="1791">
        <f t="shared" si="11"/>
        <v>111</v>
      </c>
      <c r="R44" s="769" t="s">
        <v>21</v>
      </c>
      <c r="S44" s="770">
        <f t="shared" si="12"/>
        <v>100</v>
      </c>
      <c r="T44" s="769" t="s">
        <v>21</v>
      </c>
      <c r="U44" s="770">
        <f t="shared" si="13"/>
        <v>100</v>
      </c>
      <c r="V44" s="769" t="s">
        <v>21</v>
      </c>
      <c r="W44" s="770">
        <f t="shared" si="14"/>
        <v>100</v>
      </c>
      <c r="X44" s="771"/>
      <c r="Y44" s="3502"/>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00"/>
      <c r="Q45" s="1806">
        <f t="shared" si="11"/>
        <v>111</v>
      </c>
      <c r="R45" s="773" t="s">
        <v>21</v>
      </c>
      <c r="S45" s="774">
        <f t="shared" si="12"/>
        <v>100</v>
      </c>
      <c r="T45" s="773" t="s">
        <v>21</v>
      </c>
      <c r="U45" s="774">
        <f t="shared" si="13"/>
        <v>100</v>
      </c>
      <c r="V45" s="773" t="s">
        <v>21</v>
      </c>
      <c r="W45" s="774">
        <f t="shared" si="14"/>
        <v>100</v>
      </c>
      <c r="X45" s="1809"/>
      <c r="Y45" s="3502"/>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01"/>
      <c r="Q46" s="1806">
        <f t="shared" si="11"/>
        <v>111</v>
      </c>
      <c r="R46" s="773" t="s">
        <v>20</v>
      </c>
      <c r="S46" s="774">
        <f t="shared" si="12"/>
        <v>100</v>
      </c>
      <c r="T46" s="773" t="s">
        <v>20</v>
      </c>
      <c r="U46" s="774">
        <f t="shared" si="13"/>
        <v>100</v>
      </c>
      <c r="V46" s="773" t="s">
        <v>20</v>
      </c>
      <c r="W46" s="774">
        <f t="shared" si="14"/>
        <v>100</v>
      </c>
      <c r="X46" s="1809"/>
      <c r="Y46" s="3503"/>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8"/>
      <c r="L47" s="1145"/>
      <c r="M47" s="1146"/>
      <c r="N47" s="1133"/>
      <c r="O47" s="1146"/>
      <c r="P47" s="3490" t="str">
        <f>A47</f>
        <v>成交单价（元/平方米）</v>
      </c>
      <c r="Q47" s="3490"/>
      <c r="R47" s="3491">
        <f>E47</f>
        <v>0</v>
      </c>
      <c r="S47" s="3491"/>
      <c r="T47" s="3491">
        <f>G47</f>
        <v>0</v>
      </c>
      <c r="U47" s="3491"/>
      <c r="V47" s="3491">
        <f>I47</f>
        <v>0</v>
      </c>
      <c r="W47" s="3491"/>
      <c r="X47" s="758"/>
      <c r="Y47" s="780"/>
      <c r="Z47" s="758"/>
      <c r="AA47" s="758"/>
      <c r="AB47" s="758"/>
      <c r="AC47" s="758"/>
    </row>
    <row r="48" spans="1:29" ht="15.75" thickBot="1">
      <c r="A48" s="486" t="s">
        <v>2574</v>
      </c>
      <c r="B48" s="487"/>
      <c r="C48" s="1409" t="e">
        <f>R49</f>
        <v>#DIV/0!</v>
      </c>
      <c r="D48" s="1410"/>
      <c r="E48" s="1411" t="e">
        <f>R48</f>
        <v>#DIV/0!</v>
      </c>
      <c r="F48" s="1411"/>
      <c r="G48" s="1409" t="e">
        <f>T48</f>
        <v>#DIV/0!</v>
      </c>
      <c r="H48" s="1410"/>
      <c r="I48" s="1411" t="e">
        <f>V48</f>
        <v>#DIV/0!</v>
      </c>
      <c r="J48" s="1410"/>
      <c r="K48" s="2619"/>
      <c r="L48" s="1145"/>
      <c r="M48" s="1146"/>
      <c r="N48" s="1146"/>
      <c r="O48" s="1146"/>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758"/>
      <c r="Y48" s="758"/>
      <c r="Z48" s="758"/>
      <c r="AA48" s="758"/>
      <c r="AB48" s="758"/>
      <c r="AC48" s="758"/>
    </row>
    <row r="49" spans="1:29" ht="15.75" thickBot="1">
      <c r="A49" s="492" t="s">
        <v>2575</v>
      </c>
      <c r="B49" s="493"/>
      <c r="C49" s="1412" t="e">
        <f>R49</f>
        <v>#DIV/0!</v>
      </c>
      <c r="D49" s="1413"/>
      <c r="E49" s="1413"/>
      <c r="F49" s="1413"/>
      <c r="G49" s="1413"/>
      <c r="H49" s="1413"/>
      <c r="I49" s="1413"/>
      <c r="J49" s="1413"/>
      <c r="K49" s="2620"/>
      <c r="L49" s="1145"/>
      <c r="M49" s="1146"/>
      <c r="N49" s="1146"/>
      <c r="O49" s="1146"/>
      <c r="P49" s="3569" t="str">
        <f>A49</f>
        <v>估价对象XX用房的比较价值（楼面单价，元/平方米）</v>
      </c>
      <c r="Q49" s="3570"/>
      <c r="R49" s="3571" t="e">
        <f>IF(F1="售价",ROUND(AVERAGE(R48:V48),0),ROUND(AVERAGE(R48:V48),1))</f>
        <v>#DIV/0!</v>
      </c>
      <c r="S49" s="3571"/>
      <c r="T49" s="3571"/>
      <c r="U49" s="3571"/>
      <c r="V49" s="3571"/>
      <c r="W49" s="357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4"/>
    </row>
    <row r="58" spans="1:29" s="508" customFormat="1" ht="15">
      <c r="A58" s="505" t="s">
        <v>2580</v>
      </c>
      <c r="B58" s="506"/>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2606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2559</v>
      </c>
      <c r="B100" s="528" t="s">
        <v>2608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2613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2614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2615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5">
        <f>ROUNDUP((J139-1)/2,0)</f>
        <v>10</v>
      </c>
      <c r="K140" s="1097">
        <v>100</v>
      </c>
    </row>
    <row r="141" spans="1:17" ht="15">
      <c r="B141" s="1092">
        <v>4</v>
      </c>
      <c r="C141" s="1093">
        <v>102</v>
      </c>
      <c r="D141" s="1093"/>
      <c r="E141" s="1094"/>
      <c r="F141" s="1095">
        <v>101.5</v>
      </c>
      <c r="G141" s="1093"/>
      <c r="H141" s="1096"/>
      <c r="I141" s="2647" t="s">
        <v>2630</v>
      </c>
      <c r="J141" s="315">
        <v>1</v>
      </c>
      <c r="K141" s="1098">
        <f>ROUND(100+(J141-J140)*K139*100,1)</f>
        <v>96.4</v>
      </c>
    </row>
    <row r="142" spans="1:17" ht="15">
      <c r="B142" s="1092">
        <v>3</v>
      </c>
      <c r="C142" s="1093">
        <v>103</v>
      </c>
      <c r="D142" s="1093"/>
      <c r="E142" s="1094"/>
      <c r="F142" s="1095">
        <v>101</v>
      </c>
      <c r="G142" s="1093"/>
      <c r="H142" s="1096"/>
      <c r="I142" s="2647" t="s">
        <v>2631</v>
      </c>
      <c r="J142" s="315">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2323</v>
      </c>
      <c r="B2" s="1414" t="e">
        <f ca="1">IF(C2="——",ROUND(C49*D3/10000,0),ROUND(C49*D3/10000,0)-D2)</f>
        <v>#DIV/0!</v>
      </c>
      <c r="C2" s="2583"/>
      <c r="D2" s="1361" t="e">
        <f ca="1">SUMIF(INDIRECT("'"&amp;F2&amp;"'"&amp;"!A:A"),"承租人权益价值",INDIRECT("'"&amp;F2&amp;"'"&amp;"!c:c"))</f>
        <v>#REF!</v>
      </c>
      <c r="E2" s="2584" t="s">
        <v>2324</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2325</v>
      </c>
      <c r="B3" s="609" t="e">
        <f ca="1">IF(C2="——",C49,ROUND(B2*10000/D3,0))</f>
        <v>#DIV/0!</v>
      </c>
      <c r="C3" s="400" t="s">
        <v>2640</v>
      </c>
      <c r="D3" s="399">
        <f>IF(D1="",'数据-汇总表'!E3,SUMIF('数据-汇总表'!$C19:$C33,D1,'数据-汇总表'!$E19:$E33))</f>
        <v>34081.78</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2641</v>
      </c>
      <c r="B4" s="402"/>
      <c r="C4" s="3507" t="s">
        <v>2642</v>
      </c>
      <c r="D4" s="3508"/>
      <c r="E4" s="3509" t="s">
        <v>2643</v>
      </c>
      <c r="F4" s="3510"/>
      <c r="G4" s="3507" t="s">
        <v>2644</v>
      </c>
      <c r="H4" s="3508"/>
      <c r="I4" s="3507" t="s">
        <v>2645</v>
      </c>
      <c r="J4" s="3508"/>
      <c r="K4" s="610" t="s">
        <v>2646</v>
      </c>
      <c r="L4" s="1132"/>
      <c r="M4" s="1133"/>
      <c r="N4" s="1133"/>
      <c r="O4" s="1133"/>
      <c r="P4" s="3573" t="s">
        <v>2647</v>
      </c>
      <c r="Q4" s="3574"/>
      <c r="R4" s="3577" t="s">
        <v>2643</v>
      </c>
      <c r="S4" s="3578"/>
      <c r="T4" s="3577" t="s">
        <v>2644</v>
      </c>
      <c r="U4" s="3578"/>
      <c r="V4" s="3524" t="s">
        <v>2645</v>
      </c>
      <c r="W4" s="3524"/>
      <c r="X4" s="1809"/>
      <c r="Y4" s="3577" t="s">
        <v>2647</v>
      </c>
      <c r="Z4" s="3578"/>
      <c r="AA4" s="3572" t="s">
        <v>2643</v>
      </c>
      <c r="AB4" s="3524" t="s">
        <v>2644</v>
      </c>
      <c r="AC4" s="3572" t="s">
        <v>2645</v>
      </c>
    </row>
    <row r="5" spans="1:29" ht="15">
      <c r="A5" s="404"/>
      <c r="B5" s="405"/>
      <c r="C5" s="3533" t="s">
        <v>2538</v>
      </c>
      <c r="D5" s="3528"/>
      <c r="E5" s="3580" t="s">
        <v>2539</v>
      </c>
      <c r="F5" s="3541"/>
      <c r="G5" s="3533" t="s">
        <v>2540</v>
      </c>
      <c r="H5" s="3528"/>
      <c r="I5" s="3533" t="s">
        <v>2541</v>
      </c>
      <c r="J5" s="3528"/>
      <c r="K5" s="610"/>
      <c r="L5" s="1132"/>
      <c r="M5" s="1133"/>
      <c r="N5" s="1133"/>
      <c r="O5" s="1133"/>
      <c r="P5" s="3575"/>
      <c r="Q5" s="3514"/>
      <c r="R5" s="3519"/>
      <c r="S5" s="3520"/>
      <c r="T5" s="3519"/>
      <c r="U5" s="3520"/>
      <c r="V5" s="3524"/>
      <c r="W5" s="3524"/>
      <c r="X5" s="1809"/>
      <c r="Y5" s="3519"/>
      <c r="Z5" s="3520"/>
      <c r="AA5" s="3538"/>
      <c r="AB5" s="3524"/>
      <c r="AC5" s="3538"/>
    </row>
    <row r="6" spans="1:29" ht="15.75" thickBot="1">
      <c r="A6" s="406"/>
      <c r="B6" s="407"/>
      <c r="C6" s="3534" t="s">
        <v>2542</v>
      </c>
      <c r="D6" s="3526"/>
      <c r="E6" s="3579" t="s">
        <v>2542</v>
      </c>
      <c r="F6" s="3536"/>
      <c r="G6" s="3534" t="s">
        <v>2542</v>
      </c>
      <c r="H6" s="3526"/>
      <c r="I6" s="3534" t="s">
        <v>2542</v>
      </c>
      <c r="J6" s="3526"/>
      <c r="K6" s="610" t="s">
        <v>2543</v>
      </c>
      <c r="L6" s="1132"/>
      <c r="M6" s="1133"/>
      <c r="N6" s="1133"/>
      <c r="O6" s="1133"/>
      <c r="P6" s="3576"/>
      <c r="Q6" s="3516"/>
      <c r="R6" s="3519"/>
      <c r="S6" s="3520"/>
      <c r="T6" s="3521"/>
      <c r="U6" s="3522"/>
      <c r="V6" s="3524"/>
      <c r="W6" s="3524"/>
      <c r="X6" s="1809"/>
      <c r="Y6" s="3521"/>
      <c r="Z6" s="3522"/>
      <c r="AA6" s="3539"/>
      <c r="AB6" s="3524"/>
      <c r="AC6" s="3539"/>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31" t="s">
        <v>2545</v>
      </c>
      <c r="Q7" s="3532"/>
      <c r="R7" s="769" t="s">
        <v>17</v>
      </c>
      <c r="S7" s="770">
        <f t="shared" ref="S7:S15" si="0">F7</f>
        <v>0</v>
      </c>
      <c r="T7" s="769" t="s">
        <v>17</v>
      </c>
      <c r="U7" s="770">
        <f t="shared" ref="U7:U15" si="1">H7</f>
        <v>0</v>
      </c>
      <c r="V7" s="769" t="s">
        <v>17</v>
      </c>
      <c r="W7" s="770">
        <f t="shared" ref="W7:W15" si="2">J7</f>
        <v>0</v>
      </c>
      <c r="X7" s="771"/>
      <c r="Y7" s="3531" t="s">
        <v>2545</v>
      </c>
      <c r="Z7" s="3530"/>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31" t="s">
        <v>2548</v>
      </c>
      <c r="Q8" s="3530"/>
      <c r="R8" s="769" t="s">
        <v>17</v>
      </c>
      <c r="S8" s="770">
        <f t="shared" si="0"/>
        <v>0</v>
      </c>
      <c r="T8" s="769" t="s">
        <v>17</v>
      </c>
      <c r="U8" s="770">
        <f t="shared" si="1"/>
        <v>0</v>
      </c>
      <c r="V8" s="769" t="s">
        <v>17</v>
      </c>
      <c r="W8" s="770">
        <f t="shared" si="2"/>
        <v>0</v>
      </c>
      <c r="X8" s="771"/>
      <c r="Y8" s="3531" t="s">
        <v>2548</v>
      </c>
      <c r="Z8" s="3530"/>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489" t="s">
        <v>2551</v>
      </c>
      <c r="Q9" s="1791" t="str">
        <f t="shared" ref="Q9:Q15" si="6">B9</f>
        <v>用途</v>
      </c>
      <c r="R9" s="769" t="s">
        <v>17</v>
      </c>
      <c r="S9" s="770">
        <f t="shared" si="0"/>
        <v>100</v>
      </c>
      <c r="T9" s="769" t="s">
        <v>17</v>
      </c>
      <c r="U9" s="770">
        <f t="shared" si="1"/>
        <v>100</v>
      </c>
      <c r="V9" s="769" t="s">
        <v>17</v>
      </c>
      <c r="W9" s="770">
        <f t="shared" si="2"/>
        <v>100</v>
      </c>
      <c r="X9" s="771"/>
      <c r="Y9" s="3344"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489"/>
      <c r="Q10" s="1791" t="str">
        <f t="shared" si="6"/>
        <v>土地使用年限（年）</v>
      </c>
      <c r="R10" s="769" t="s">
        <v>17</v>
      </c>
      <c r="S10" s="770">
        <f t="shared" si="0"/>
        <v>100</v>
      </c>
      <c r="T10" s="769" t="s">
        <v>17</v>
      </c>
      <c r="U10" s="770">
        <f t="shared" si="1"/>
        <v>100</v>
      </c>
      <c r="V10" s="769" t="s">
        <v>17</v>
      </c>
      <c r="W10" s="770">
        <f t="shared" si="2"/>
        <v>100</v>
      </c>
      <c r="X10" s="771"/>
      <c r="Y10" s="3344"/>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489"/>
      <c r="Q11" s="1791" t="str">
        <f t="shared" si="6"/>
        <v>容积率</v>
      </c>
      <c r="R11" s="769" t="s">
        <v>17</v>
      </c>
      <c r="S11" s="770" t="e">
        <f t="shared" si="0"/>
        <v>#N/A</v>
      </c>
      <c r="T11" s="769" t="s">
        <v>17</v>
      </c>
      <c r="U11" s="770" t="e">
        <f t="shared" si="1"/>
        <v>#N/A</v>
      </c>
      <c r="V11" s="769" t="s">
        <v>17</v>
      </c>
      <c r="W11" s="770" t="e">
        <f t="shared" si="2"/>
        <v>#N/A</v>
      </c>
      <c r="X11" s="771"/>
      <c r="Y11" s="3344"/>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489"/>
      <c r="Q12" s="1791">
        <f t="shared" si="6"/>
        <v>111</v>
      </c>
      <c r="R12" s="769" t="s">
        <v>17</v>
      </c>
      <c r="S12" s="770">
        <f t="shared" si="0"/>
        <v>100</v>
      </c>
      <c r="T12" s="769" t="s">
        <v>17</v>
      </c>
      <c r="U12" s="770">
        <f t="shared" si="1"/>
        <v>100</v>
      </c>
      <c r="V12" s="769" t="s">
        <v>17</v>
      </c>
      <c r="W12" s="770">
        <f t="shared" si="2"/>
        <v>100</v>
      </c>
      <c r="X12" s="771"/>
      <c r="Y12" s="3344"/>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489"/>
      <c r="Q13" s="1791">
        <f t="shared" si="6"/>
        <v>111</v>
      </c>
      <c r="R13" s="769" t="s">
        <v>17</v>
      </c>
      <c r="S13" s="770">
        <f t="shared" si="0"/>
        <v>100</v>
      </c>
      <c r="T13" s="769" t="s">
        <v>17</v>
      </c>
      <c r="U13" s="770">
        <f t="shared" si="1"/>
        <v>100</v>
      </c>
      <c r="V13" s="769" t="s">
        <v>17</v>
      </c>
      <c r="W13" s="770">
        <f t="shared" si="2"/>
        <v>100</v>
      </c>
      <c r="X13" s="771"/>
      <c r="Y13" s="3344"/>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489"/>
      <c r="Q14" s="1791">
        <f t="shared" si="6"/>
        <v>111</v>
      </c>
      <c r="R14" s="769" t="s">
        <v>17</v>
      </c>
      <c r="S14" s="770">
        <f t="shared" si="0"/>
        <v>100</v>
      </c>
      <c r="T14" s="769" t="s">
        <v>17</v>
      </c>
      <c r="U14" s="770">
        <f t="shared" si="1"/>
        <v>100</v>
      </c>
      <c r="V14" s="769" t="s">
        <v>17</v>
      </c>
      <c r="W14" s="770">
        <f t="shared" si="2"/>
        <v>100</v>
      </c>
      <c r="X14" s="771"/>
      <c r="Y14" s="3344"/>
      <c r="Z14" s="55">
        <f t="shared" si="7"/>
        <v>111</v>
      </c>
      <c r="AA14" s="772">
        <f t="shared" si="3"/>
        <v>1</v>
      </c>
      <c r="AB14" s="772">
        <f t="shared" si="4"/>
        <v>1</v>
      </c>
      <c r="AC14" s="772">
        <f t="shared" si="5"/>
        <v>1</v>
      </c>
    </row>
    <row r="15" spans="1:29" ht="71.25">
      <c r="A15" s="440" t="s">
        <v>2555</v>
      </c>
      <c r="B15" s="69" t="s">
        <v>2649</v>
      </c>
      <c r="C15" s="2600" t="str">
        <f>估价对象房地状况!C4</f>
        <v>位于昌平区平西府地区，周边商业氛围一般，人流量一般，商业繁华度一般。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495" t="s">
        <v>2556</v>
      </c>
      <c r="Q15" s="1806" t="str">
        <f t="shared" si="6"/>
        <v>商业繁华度</v>
      </c>
      <c r="R15" s="773" t="s">
        <v>17</v>
      </c>
      <c r="S15" s="774">
        <f t="shared" si="0"/>
        <v>100</v>
      </c>
      <c r="T15" s="773" t="s">
        <v>17</v>
      </c>
      <c r="U15" s="774">
        <f t="shared" si="1"/>
        <v>100</v>
      </c>
      <c r="V15" s="773" t="s">
        <v>17</v>
      </c>
      <c r="W15" s="774">
        <f t="shared" si="2"/>
        <v>100</v>
      </c>
      <c r="X15" s="1809"/>
      <c r="Y15" s="3497"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33"/>
      <c r="P16" s="3496"/>
      <c r="Q16" s="1806"/>
      <c r="R16" s="773"/>
      <c r="S16" s="774"/>
      <c r="T16" s="773"/>
      <c r="U16" s="774"/>
      <c r="V16" s="773"/>
      <c r="W16" s="774"/>
      <c r="X16" s="1809"/>
      <c r="Y16" s="3498"/>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496"/>
      <c r="Q17" s="1806" t="str">
        <f>B17</f>
        <v>交通便捷度</v>
      </c>
      <c r="R17" s="773" t="s">
        <v>17</v>
      </c>
      <c r="S17" s="774">
        <f>F17</f>
        <v>100</v>
      </c>
      <c r="T17" s="773" t="s">
        <v>17</v>
      </c>
      <c r="U17" s="774">
        <f>H17</f>
        <v>100</v>
      </c>
      <c r="V17" s="773" t="s">
        <v>17</v>
      </c>
      <c r="W17" s="774">
        <f>J17</f>
        <v>100</v>
      </c>
      <c r="X17" s="1809"/>
      <c r="Y17" s="3498"/>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33"/>
      <c r="P18" s="3496"/>
      <c r="Q18" s="1806"/>
      <c r="R18" s="773"/>
      <c r="S18" s="774"/>
      <c r="T18" s="773"/>
      <c r="U18" s="774"/>
      <c r="V18" s="773"/>
      <c r="W18" s="774"/>
      <c r="X18" s="1809"/>
      <c r="Y18" s="3498"/>
      <c r="Z18" s="1810"/>
      <c r="AA18" s="1807">
        <v>1</v>
      </c>
      <c r="AB18" s="1807">
        <v>1</v>
      </c>
      <c r="AC18" s="1807">
        <v>1</v>
      </c>
    </row>
    <row r="19" spans="1:29" ht="213.75">
      <c r="A19" s="428"/>
      <c r="B19" s="451" t="s">
        <v>2650</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496"/>
      <c r="Q19" s="1806" t="str">
        <f>B19</f>
        <v>公共配套设施</v>
      </c>
      <c r="R19" s="773" t="s">
        <v>17</v>
      </c>
      <c r="S19" s="774">
        <f>F19</f>
        <v>100</v>
      </c>
      <c r="T19" s="773" t="s">
        <v>17</v>
      </c>
      <c r="U19" s="774">
        <f>H19</f>
        <v>100</v>
      </c>
      <c r="V19" s="773" t="s">
        <v>17</v>
      </c>
      <c r="W19" s="774">
        <f>J19</f>
        <v>100</v>
      </c>
      <c r="X19" s="1809"/>
      <c r="Y19" s="3498"/>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33"/>
      <c r="P20" s="3496"/>
      <c r="Q20" s="1806"/>
      <c r="R20" s="773"/>
      <c r="S20" s="774"/>
      <c r="T20" s="773"/>
      <c r="U20" s="774"/>
      <c r="V20" s="773"/>
      <c r="W20" s="774"/>
      <c r="X20" s="1809"/>
      <c r="Y20" s="3498"/>
      <c r="Z20" s="1810"/>
      <c r="AA20" s="1807">
        <v>1</v>
      </c>
      <c r="AB20" s="1807">
        <v>1</v>
      </c>
      <c r="AC20" s="1807">
        <v>1</v>
      </c>
    </row>
    <row r="21" spans="1:29" ht="42.75">
      <c r="A21" s="428"/>
      <c r="B21" s="1380" t="s">
        <v>2651</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496"/>
      <c r="Q21" s="1806" t="str">
        <f>B21</f>
        <v>基础设施水平</v>
      </c>
      <c r="R21" s="773" t="s">
        <v>17</v>
      </c>
      <c r="S21" s="774">
        <f>F21</f>
        <v>100</v>
      </c>
      <c r="T21" s="773" t="s">
        <v>17</v>
      </c>
      <c r="U21" s="774">
        <f>H21</f>
        <v>100</v>
      </c>
      <c r="V21" s="773" t="s">
        <v>17</v>
      </c>
      <c r="W21" s="774">
        <f>J21</f>
        <v>100</v>
      </c>
      <c r="X21" s="1809"/>
      <c r="Y21" s="3498"/>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33"/>
      <c r="P22" s="3496"/>
      <c r="Q22" s="1806"/>
      <c r="R22" s="773"/>
      <c r="S22" s="774"/>
      <c r="T22" s="773"/>
      <c r="U22" s="774"/>
      <c r="V22" s="773"/>
      <c r="W22" s="774"/>
      <c r="X22" s="1809"/>
      <c r="Y22" s="3498"/>
      <c r="Z22" s="1810"/>
      <c r="AA22" s="1807">
        <v>1</v>
      </c>
      <c r="AB22" s="1807">
        <v>1</v>
      </c>
      <c r="AC22" s="1807">
        <v>1</v>
      </c>
    </row>
    <row r="23" spans="1:29" ht="85.5">
      <c r="A23" s="428"/>
      <c r="B23" s="451" t="s">
        <v>2098</v>
      </c>
      <c r="C23" s="2661" t="str">
        <f>估价对象房地状况!C9</f>
        <v>区域自然环境：秀水湖公园；人文环境：北京邮电大学（洪福校区）；综合评价环境状况较好。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496"/>
      <c r="Q23" s="1806" t="str">
        <f>B23</f>
        <v>自然及人文环境</v>
      </c>
      <c r="R23" s="773" t="s">
        <v>17</v>
      </c>
      <c r="S23" s="774">
        <f>F23</f>
        <v>100</v>
      </c>
      <c r="T23" s="773" t="s">
        <v>17</v>
      </c>
      <c r="U23" s="774">
        <f>H23</f>
        <v>100</v>
      </c>
      <c r="V23" s="773" t="s">
        <v>17</v>
      </c>
      <c r="W23" s="774">
        <f>J23</f>
        <v>100</v>
      </c>
      <c r="X23" s="1809"/>
      <c r="Y23" s="3498"/>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42"/>
      <c r="M24" s="1133"/>
      <c r="N24" s="1133"/>
      <c r="O24" s="1133"/>
      <c r="P24" s="3496"/>
      <c r="Q24" s="1806"/>
      <c r="R24" s="773"/>
      <c r="S24" s="774"/>
      <c r="T24" s="773"/>
      <c r="U24" s="774"/>
      <c r="V24" s="773"/>
      <c r="W24" s="774"/>
      <c r="X24" s="1809"/>
      <c r="Y24" s="3498"/>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496"/>
      <c r="Q25" s="1806" t="str">
        <f t="shared" ref="Q25:Q46" si="11">B25</f>
        <v>临街状况</v>
      </c>
      <c r="R25" s="773" t="s">
        <v>17</v>
      </c>
      <c r="S25" s="774">
        <f>F25</f>
        <v>100</v>
      </c>
      <c r="T25" s="773" t="s">
        <v>17</v>
      </c>
      <c r="U25" s="774">
        <f>H25</f>
        <v>100</v>
      </c>
      <c r="V25" s="773" t="s">
        <v>17</v>
      </c>
      <c r="W25" s="774">
        <f>J25</f>
        <v>100</v>
      </c>
      <c r="X25" s="1809"/>
      <c r="Y25" s="3498"/>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496"/>
      <c r="Q26" s="1806" t="str">
        <f t="shared" si="11"/>
        <v>平面位置/可视性</v>
      </c>
      <c r="R26" s="773" t="s">
        <v>17</v>
      </c>
      <c r="S26" s="774">
        <f>F26</f>
        <v>100</v>
      </c>
      <c r="T26" s="773" t="s">
        <v>17</v>
      </c>
      <c r="U26" s="774">
        <f>H26</f>
        <v>100</v>
      </c>
      <c r="V26" s="773" t="s">
        <v>17</v>
      </c>
      <c r="W26" s="774">
        <f>J26</f>
        <v>100</v>
      </c>
      <c r="X26" s="1809"/>
      <c r="Y26" s="3498"/>
      <c r="Z26" s="1810" t="str">
        <f>Q26</f>
        <v>平面位置/可视性</v>
      </c>
      <c r="AA26" s="1807">
        <f t="shared" si="3"/>
        <v>1</v>
      </c>
      <c r="AB26" s="1807">
        <f t="shared" si="4"/>
        <v>1</v>
      </c>
      <c r="AC26" s="1807">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496"/>
      <c r="Q27" s="1791" t="str">
        <f t="shared" si="11"/>
        <v>人流量</v>
      </c>
      <c r="R27" s="769" t="s">
        <v>17</v>
      </c>
      <c r="S27" s="770">
        <f>F27</f>
        <v>100</v>
      </c>
      <c r="T27" s="769" t="s">
        <v>17</v>
      </c>
      <c r="U27" s="770">
        <f>H27</f>
        <v>100</v>
      </c>
      <c r="V27" s="769" t="s">
        <v>17</v>
      </c>
      <c r="W27" s="770">
        <f>J27</f>
        <v>100</v>
      </c>
      <c r="X27" s="771"/>
      <c r="Y27" s="3498"/>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496"/>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498"/>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496"/>
      <c r="Q29" s="1806">
        <f t="shared" si="11"/>
        <v>111</v>
      </c>
      <c r="R29" s="773" t="s">
        <v>17</v>
      </c>
      <c r="S29" s="774">
        <f t="shared" si="12"/>
        <v>100</v>
      </c>
      <c r="T29" s="773" t="s">
        <v>17</v>
      </c>
      <c r="U29" s="774">
        <f t="shared" si="13"/>
        <v>100</v>
      </c>
      <c r="V29" s="773" t="s">
        <v>17</v>
      </c>
      <c r="W29" s="774">
        <f t="shared" si="14"/>
        <v>100</v>
      </c>
      <c r="X29" s="1809"/>
      <c r="Y29" s="3498"/>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496"/>
      <c r="Q30" s="1806">
        <f t="shared" si="11"/>
        <v>111</v>
      </c>
      <c r="R30" s="773" t="s">
        <v>17</v>
      </c>
      <c r="S30" s="774">
        <f t="shared" si="12"/>
        <v>100</v>
      </c>
      <c r="T30" s="773" t="s">
        <v>17</v>
      </c>
      <c r="U30" s="774">
        <f t="shared" si="13"/>
        <v>100</v>
      </c>
      <c r="V30" s="773" t="s">
        <v>17</v>
      </c>
      <c r="W30" s="774">
        <f t="shared" si="14"/>
        <v>100</v>
      </c>
      <c r="X30" s="1809"/>
      <c r="Y30" s="3498"/>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496"/>
      <c r="Q31" s="1806">
        <f t="shared" si="11"/>
        <v>111</v>
      </c>
      <c r="R31" s="773" t="s">
        <v>17</v>
      </c>
      <c r="S31" s="774">
        <f t="shared" si="12"/>
        <v>100</v>
      </c>
      <c r="T31" s="773" t="s">
        <v>17</v>
      </c>
      <c r="U31" s="774">
        <f t="shared" si="13"/>
        <v>100</v>
      </c>
      <c r="V31" s="773" t="s">
        <v>17</v>
      </c>
      <c r="W31" s="774">
        <f t="shared" si="14"/>
        <v>100</v>
      </c>
      <c r="X31" s="1809"/>
      <c r="Y31" s="3498"/>
      <c r="Z31" s="1810">
        <f t="shared" si="15"/>
        <v>111</v>
      </c>
      <c r="AA31" s="1807">
        <f t="shared" si="3"/>
        <v>1</v>
      </c>
      <c r="AB31" s="1807">
        <f t="shared" si="4"/>
        <v>1</v>
      </c>
      <c r="AC31" s="1807">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499" t="s">
        <v>2561</v>
      </c>
      <c r="Q32" s="1806" t="str">
        <f t="shared" si="11"/>
        <v>商业类型</v>
      </c>
      <c r="R32" s="773" t="s">
        <v>17</v>
      </c>
      <c r="S32" s="774">
        <f t="shared" si="12"/>
        <v>100</v>
      </c>
      <c r="T32" s="773" t="s">
        <v>17</v>
      </c>
      <c r="U32" s="774">
        <f t="shared" si="13"/>
        <v>100</v>
      </c>
      <c r="V32" s="773" t="s">
        <v>17</v>
      </c>
      <c r="W32" s="774">
        <f t="shared" si="14"/>
        <v>100</v>
      </c>
      <c r="X32" s="1809"/>
      <c r="Y32" s="3502"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00"/>
      <c r="Q33" s="775" t="str">
        <f t="shared" si="11"/>
        <v>项目建筑规模</v>
      </c>
      <c r="R33" s="776" t="s">
        <v>17</v>
      </c>
      <c r="S33" s="777" t="e">
        <f t="shared" si="12"/>
        <v>#N/A</v>
      </c>
      <c r="T33" s="776" t="s">
        <v>17</v>
      </c>
      <c r="U33" s="777" t="e">
        <f t="shared" si="13"/>
        <v>#N/A</v>
      </c>
      <c r="V33" s="776" t="s">
        <v>17</v>
      </c>
      <c r="W33" s="777" t="e">
        <f t="shared" si="14"/>
        <v>#N/A</v>
      </c>
      <c r="X33" s="778"/>
      <c r="Y33" s="3502"/>
      <c r="Z33" s="779" t="str">
        <f t="shared" si="15"/>
        <v>项目建筑规模</v>
      </c>
      <c r="AA33" s="1807" t="e">
        <f t="shared" si="3"/>
        <v>#N/A</v>
      </c>
      <c r="AB33" s="1807" t="e">
        <f t="shared" si="4"/>
        <v>#N/A</v>
      </c>
      <c r="AC33" s="1807" t="e">
        <f t="shared" si="5"/>
        <v>#N/A</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00"/>
      <c r="Q34" s="1806" t="str">
        <f t="shared" si="11"/>
        <v>建筑结构</v>
      </c>
      <c r="R34" s="773" t="s">
        <v>17</v>
      </c>
      <c r="S34" s="774">
        <f t="shared" si="12"/>
        <v>100</v>
      </c>
      <c r="T34" s="773" t="s">
        <v>17</v>
      </c>
      <c r="U34" s="774">
        <f t="shared" si="13"/>
        <v>100</v>
      </c>
      <c r="V34" s="773" t="s">
        <v>17</v>
      </c>
      <c r="W34" s="774">
        <f t="shared" si="14"/>
        <v>100</v>
      </c>
      <c r="X34" s="1809"/>
      <c r="Y34" s="3502"/>
      <c r="Z34" s="1810" t="str">
        <f t="shared" si="15"/>
        <v>建筑结构</v>
      </c>
      <c r="AA34" s="1807">
        <f t="shared" si="3"/>
        <v>1</v>
      </c>
      <c r="AB34" s="1807">
        <f t="shared" si="4"/>
        <v>1</v>
      </c>
      <c r="AC34" s="1807">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00"/>
      <c r="Q35" s="1806" t="str">
        <f t="shared" si="11"/>
        <v>公共部分装修</v>
      </c>
      <c r="R35" s="773" t="s">
        <v>17</v>
      </c>
      <c r="S35" s="774">
        <f t="shared" si="12"/>
        <v>100</v>
      </c>
      <c r="T35" s="773" t="s">
        <v>17</v>
      </c>
      <c r="U35" s="774">
        <f t="shared" si="13"/>
        <v>100</v>
      </c>
      <c r="V35" s="773" t="s">
        <v>17</v>
      </c>
      <c r="W35" s="774">
        <f t="shared" si="14"/>
        <v>100</v>
      </c>
      <c r="X35" s="1809"/>
      <c r="Y35" s="3502"/>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00"/>
      <c r="Q36" s="1806" t="str">
        <f t="shared" si="11"/>
        <v>成新度</v>
      </c>
      <c r="R36" s="773" t="s">
        <v>17</v>
      </c>
      <c r="S36" s="774" t="e">
        <f t="shared" si="12"/>
        <v>#N/A</v>
      </c>
      <c r="T36" s="773" t="s">
        <v>17</v>
      </c>
      <c r="U36" s="774" t="e">
        <f t="shared" si="13"/>
        <v>#N/A</v>
      </c>
      <c r="V36" s="773" t="s">
        <v>17</v>
      </c>
      <c r="W36" s="774" t="e">
        <f t="shared" si="14"/>
        <v>#N/A</v>
      </c>
      <c r="X36" s="1809"/>
      <c r="Y36" s="3502"/>
      <c r="Z36" s="1810" t="str">
        <f t="shared" si="15"/>
        <v>成新度</v>
      </c>
      <c r="AA36" s="1807" t="e">
        <f t="shared" si="3"/>
        <v>#N/A</v>
      </c>
      <c r="AB36" s="1807" t="e">
        <f t="shared" si="4"/>
        <v>#N/A</v>
      </c>
      <c r="AC36" s="1807" t="e">
        <f t="shared" si="5"/>
        <v>#N/A</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00"/>
      <c r="Q37" s="1791" t="str">
        <f t="shared" si="11"/>
        <v>市政基础设施</v>
      </c>
      <c r="R37" s="769" t="s">
        <v>17</v>
      </c>
      <c r="S37" s="770">
        <f t="shared" si="12"/>
        <v>100</v>
      </c>
      <c r="T37" s="769" t="s">
        <v>17</v>
      </c>
      <c r="U37" s="770">
        <f t="shared" si="13"/>
        <v>100</v>
      </c>
      <c r="V37" s="769" t="s">
        <v>17</v>
      </c>
      <c r="W37" s="770">
        <f t="shared" si="14"/>
        <v>100</v>
      </c>
      <c r="X37" s="771"/>
      <c r="Y37" s="3502"/>
      <c r="Z37" s="55" t="str">
        <f t="shared" si="15"/>
        <v>市政基础设施</v>
      </c>
      <c r="AA37" s="772">
        <f t="shared" si="3"/>
        <v>1</v>
      </c>
      <c r="AB37" s="772">
        <f t="shared" si="4"/>
        <v>1</v>
      </c>
      <c r="AC37" s="772">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00" t="s">
        <v>2561</v>
      </c>
      <c r="Q38" s="1806" t="str">
        <f t="shared" si="11"/>
        <v>业态</v>
      </c>
      <c r="R38" s="773" t="s">
        <v>17</v>
      </c>
      <c r="S38" s="774">
        <f t="shared" si="12"/>
        <v>100</v>
      </c>
      <c r="T38" s="773" t="s">
        <v>17</v>
      </c>
      <c r="U38" s="774">
        <f t="shared" si="13"/>
        <v>100</v>
      </c>
      <c r="V38" s="773" t="s">
        <v>17</v>
      </c>
      <c r="W38" s="774">
        <f t="shared" si="14"/>
        <v>100</v>
      </c>
      <c r="X38" s="1809"/>
      <c r="Y38" s="3502" t="s">
        <v>2561</v>
      </c>
      <c r="Z38" s="1810" t="str">
        <f t="shared" si="15"/>
        <v>业态</v>
      </c>
      <c r="AA38" s="1807">
        <f t="shared" si="3"/>
        <v>1</v>
      </c>
      <c r="AB38" s="1807">
        <f t="shared" si="4"/>
        <v>1</v>
      </c>
      <c r="AC38" s="1807">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00"/>
      <c r="Q39" s="1806" t="str">
        <f t="shared" si="11"/>
        <v>层高</v>
      </c>
      <c r="R39" s="773" t="s">
        <v>17</v>
      </c>
      <c r="S39" s="774">
        <f t="shared" si="12"/>
        <v>100</v>
      </c>
      <c r="T39" s="773" t="s">
        <v>17</v>
      </c>
      <c r="U39" s="774">
        <f t="shared" si="13"/>
        <v>100</v>
      </c>
      <c r="V39" s="773" t="s">
        <v>17</v>
      </c>
      <c r="W39" s="774">
        <f t="shared" si="14"/>
        <v>100</v>
      </c>
      <c r="X39" s="1809"/>
      <c r="Y39" s="3502"/>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00"/>
      <c r="Q40" s="1806" t="str">
        <f t="shared" si="11"/>
        <v>单套建筑面积</v>
      </c>
      <c r="R40" s="773" t="s">
        <v>17</v>
      </c>
      <c r="S40" s="774">
        <f t="shared" si="12"/>
        <v>100</v>
      </c>
      <c r="T40" s="773" t="s">
        <v>17</v>
      </c>
      <c r="U40" s="774">
        <f t="shared" si="13"/>
        <v>100</v>
      </c>
      <c r="V40" s="773" t="s">
        <v>17</v>
      </c>
      <c r="W40" s="774">
        <f t="shared" si="14"/>
        <v>100</v>
      </c>
      <c r="X40" s="1809"/>
      <c r="Y40" s="3502"/>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00"/>
      <c r="Q41" s="775" t="str">
        <f t="shared" si="11"/>
        <v>进深比</v>
      </c>
      <c r="R41" s="776" t="s">
        <v>17</v>
      </c>
      <c r="S41" s="777">
        <f t="shared" si="12"/>
        <v>100</v>
      </c>
      <c r="T41" s="776" t="s">
        <v>17</v>
      </c>
      <c r="U41" s="777">
        <f t="shared" si="13"/>
        <v>100</v>
      </c>
      <c r="V41" s="776" t="s">
        <v>17</v>
      </c>
      <c r="W41" s="777">
        <f t="shared" si="14"/>
        <v>100</v>
      </c>
      <c r="X41" s="778"/>
      <c r="Y41" s="3502"/>
      <c r="Z41" s="779" t="str">
        <f t="shared" si="15"/>
        <v>进深比</v>
      </c>
      <c r="AA41" s="1807">
        <f t="shared" si="3"/>
        <v>1</v>
      </c>
      <c r="AB41" s="1807">
        <f t="shared" si="4"/>
        <v>1</v>
      </c>
      <c r="AC41" s="1807">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00"/>
      <c r="Q42" s="1806" t="str">
        <f t="shared" si="11"/>
        <v>内部装修</v>
      </c>
      <c r="R42" s="773" t="s">
        <v>17</v>
      </c>
      <c r="S42" s="774">
        <f t="shared" si="12"/>
        <v>100</v>
      </c>
      <c r="T42" s="773" t="s">
        <v>17</v>
      </c>
      <c r="U42" s="774">
        <f t="shared" si="13"/>
        <v>100</v>
      </c>
      <c r="V42" s="773" t="s">
        <v>17</v>
      </c>
      <c r="W42" s="774">
        <f t="shared" si="14"/>
        <v>100</v>
      </c>
      <c r="X42" s="1809"/>
      <c r="Y42" s="3502"/>
      <c r="Z42" s="1810" t="str">
        <f t="shared" si="15"/>
        <v>内部装修</v>
      </c>
      <c r="AA42" s="1807">
        <f t="shared" si="3"/>
        <v>1</v>
      </c>
      <c r="AB42" s="1807">
        <f t="shared" si="4"/>
        <v>1</v>
      </c>
      <c r="AC42" s="1807">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00"/>
      <c r="Q43" s="1806" t="str">
        <f t="shared" si="11"/>
        <v>内部装修维护情况</v>
      </c>
      <c r="R43" s="773" t="s">
        <v>17</v>
      </c>
      <c r="S43" s="774">
        <f t="shared" si="12"/>
        <v>100</v>
      </c>
      <c r="T43" s="773" t="s">
        <v>17</v>
      </c>
      <c r="U43" s="774">
        <f t="shared" si="13"/>
        <v>100</v>
      </c>
      <c r="V43" s="773" t="s">
        <v>17</v>
      </c>
      <c r="W43" s="774">
        <f t="shared" si="14"/>
        <v>100</v>
      </c>
      <c r="X43" s="1809"/>
      <c r="Y43" s="3502"/>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00"/>
      <c r="Q44" s="1791">
        <f t="shared" si="11"/>
        <v>111</v>
      </c>
      <c r="R44" s="769" t="s">
        <v>17</v>
      </c>
      <c r="S44" s="770">
        <f t="shared" si="12"/>
        <v>100</v>
      </c>
      <c r="T44" s="769" t="s">
        <v>17</v>
      </c>
      <c r="U44" s="770">
        <f t="shared" si="13"/>
        <v>100</v>
      </c>
      <c r="V44" s="769" t="s">
        <v>17</v>
      </c>
      <c r="W44" s="770">
        <f t="shared" si="14"/>
        <v>100</v>
      </c>
      <c r="X44" s="771"/>
      <c r="Y44" s="3502"/>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00"/>
      <c r="Q45" s="1806">
        <f t="shared" si="11"/>
        <v>111</v>
      </c>
      <c r="R45" s="773" t="s">
        <v>17</v>
      </c>
      <c r="S45" s="774">
        <f t="shared" si="12"/>
        <v>100</v>
      </c>
      <c r="T45" s="773" t="s">
        <v>17</v>
      </c>
      <c r="U45" s="774">
        <f t="shared" si="13"/>
        <v>100</v>
      </c>
      <c r="V45" s="773" t="s">
        <v>17</v>
      </c>
      <c r="W45" s="774">
        <f t="shared" si="14"/>
        <v>100</v>
      </c>
      <c r="X45" s="1809"/>
      <c r="Y45" s="3502"/>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01"/>
      <c r="Q46" s="1806">
        <f t="shared" si="11"/>
        <v>111</v>
      </c>
      <c r="R46" s="773" t="s">
        <v>17</v>
      </c>
      <c r="S46" s="774">
        <f t="shared" si="12"/>
        <v>100</v>
      </c>
      <c r="T46" s="773" t="s">
        <v>17</v>
      </c>
      <c r="U46" s="774">
        <f t="shared" si="13"/>
        <v>100</v>
      </c>
      <c r="V46" s="773" t="s">
        <v>17</v>
      </c>
      <c r="W46" s="774">
        <f t="shared" si="14"/>
        <v>100</v>
      </c>
      <c r="X46" s="1809"/>
      <c r="Y46" s="3503"/>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2"/>
      <c r="L47" s="1145"/>
      <c r="M47" s="1146"/>
      <c r="N47" s="1133"/>
      <c r="O47" s="1146"/>
      <c r="P47" s="3490" t="str">
        <f>A47</f>
        <v>成交单价（元/平方米）</v>
      </c>
      <c r="Q47" s="3490"/>
      <c r="R47" s="3524">
        <f>E47</f>
        <v>0</v>
      </c>
      <c r="S47" s="3524"/>
      <c r="T47" s="3524">
        <f>G47</f>
        <v>0</v>
      </c>
      <c r="U47" s="3524"/>
      <c r="V47" s="3524">
        <f>I47</f>
        <v>0</v>
      </c>
      <c r="W47" s="3524"/>
      <c r="X47" s="758"/>
      <c r="Y47" s="780"/>
      <c r="Z47" s="758"/>
      <c r="AA47" s="758"/>
      <c r="AB47" s="758"/>
      <c r="AC47" s="758"/>
    </row>
    <row r="48" spans="1:29" ht="15.75" thickBot="1">
      <c r="A48" s="486" t="s">
        <v>2665</v>
      </c>
      <c r="B48" s="487"/>
      <c r="C48" s="1409" t="e">
        <f>R49</f>
        <v>#DIV/0!</v>
      </c>
      <c r="D48" s="1410"/>
      <c r="E48" s="1411" t="e">
        <f>R48</f>
        <v>#DIV/0!</v>
      </c>
      <c r="F48" s="1411"/>
      <c r="G48" s="1409" t="e">
        <f>T48</f>
        <v>#DIV/0!</v>
      </c>
      <c r="H48" s="1410"/>
      <c r="I48" s="1411" t="e">
        <f>V48</f>
        <v>#DIV/0!</v>
      </c>
      <c r="J48" s="1410"/>
      <c r="K48" s="783"/>
      <c r="L48" s="1145"/>
      <c r="M48" s="1146"/>
      <c r="N48" s="1133"/>
      <c r="O48" s="1146"/>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758"/>
      <c r="Y48" s="758"/>
      <c r="Z48" s="758"/>
      <c r="AA48" s="758"/>
      <c r="AB48" s="758"/>
      <c r="AC48" s="758"/>
    </row>
    <row r="49" spans="1:29" ht="15.75" thickBot="1">
      <c r="A49" s="492" t="s">
        <v>2666</v>
      </c>
      <c r="B49" s="493"/>
      <c r="C49" s="1413" t="e">
        <f>R49</f>
        <v>#DIV/0!</v>
      </c>
      <c r="D49" s="1413"/>
      <c r="E49" s="1413"/>
      <c r="F49" s="1413"/>
      <c r="G49" s="1413"/>
      <c r="H49" s="1413"/>
      <c r="I49" s="1413"/>
      <c r="J49" s="1413"/>
      <c r="K49" s="784"/>
      <c r="L49" s="1145"/>
      <c r="M49" s="1146"/>
      <c r="N49" s="1133"/>
      <c r="O49" s="1146"/>
      <c r="P49" s="3569" t="str">
        <f>A49</f>
        <v>估价对象XX用房的比较价值（楼面单价，元/平方米）</v>
      </c>
      <c r="Q49" s="3570"/>
      <c r="R49" s="3571" t="e">
        <f>IF(F1="售价",ROUND(AVERAGE(R48:V48),0),ROUND(AVERAGE(R48:V48),1))</f>
        <v>#DIV/0!</v>
      </c>
      <c r="S49" s="3571"/>
      <c r="T49" s="3571"/>
      <c r="U49" s="3571"/>
      <c r="V49" s="3571"/>
      <c r="W49" s="357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2544</v>
      </c>
      <c r="B58" s="506"/>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2559</v>
      </c>
      <c r="B100" s="528" t="s">
        <v>2677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2679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IF(C2="——",ROUND(C43*D3/10000,0),ROUND(C43*D3/10000,0)-D2)</f>
        <v>#DIV/0!</v>
      </c>
      <c r="C2" s="2583"/>
      <c r="D2" s="1126"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34081.78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7" t="s">
        <v>2642</v>
      </c>
      <c r="D4" s="3508"/>
      <c r="E4" s="3509" t="s">
        <v>2643</v>
      </c>
      <c r="F4" s="3510"/>
      <c r="G4" s="3507" t="s">
        <v>2644</v>
      </c>
      <c r="H4" s="3508"/>
      <c r="I4" s="3507" t="s">
        <v>2645</v>
      </c>
      <c r="J4" s="3508"/>
      <c r="K4" s="610" t="s">
        <v>2646</v>
      </c>
      <c r="L4" s="1132"/>
      <c r="M4" s="1133"/>
      <c r="N4" s="1133"/>
      <c r="O4" s="1133"/>
      <c r="P4" s="3573" t="s">
        <v>2647</v>
      </c>
      <c r="Q4" s="3574"/>
      <c r="R4" s="3577" t="s">
        <v>2643</v>
      </c>
      <c r="S4" s="3578"/>
      <c r="T4" s="3577" t="s">
        <v>2644</v>
      </c>
      <c r="U4" s="3578"/>
      <c r="V4" s="3524" t="s">
        <v>2645</v>
      </c>
      <c r="W4" s="3524"/>
      <c r="X4" s="1809"/>
      <c r="Y4" s="3577" t="s">
        <v>2647</v>
      </c>
      <c r="Z4" s="3578"/>
      <c r="AA4" s="3572" t="s">
        <v>2643</v>
      </c>
      <c r="AB4" s="3538" t="s">
        <v>2644</v>
      </c>
      <c r="AC4" s="3572" t="s">
        <v>2645</v>
      </c>
    </row>
    <row r="5" spans="1:29" ht="15">
      <c r="A5" s="404"/>
      <c r="B5" s="405"/>
      <c r="C5" s="3533" t="s">
        <v>2538</v>
      </c>
      <c r="D5" s="3528"/>
      <c r="E5" s="3580" t="s">
        <v>2539</v>
      </c>
      <c r="F5" s="3541"/>
      <c r="G5" s="3533" t="s">
        <v>2540</v>
      </c>
      <c r="H5" s="3528"/>
      <c r="I5" s="3533" t="s">
        <v>2541</v>
      </c>
      <c r="J5" s="3528"/>
      <c r="K5" s="610"/>
      <c r="L5" s="1132"/>
      <c r="M5" s="1133"/>
      <c r="N5" s="1133"/>
      <c r="O5" s="1133"/>
      <c r="P5" s="3575"/>
      <c r="Q5" s="3514"/>
      <c r="R5" s="3519"/>
      <c r="S5" s="3520"/>
      <c r="T5" s="3519"/>
      <c r="U5" s="3520"/>
      <c r="V5" s="3524"/>
      <c r="W5" s="3524"/>
      <c r="X5" s="1809"/>
      <c r="Y5" s="3519"/>
      <c r="Z5" s="3520"/>
      <c r="AA5" s="3538"/>
      <c r="AB5" s="3538"/>
      <c r="AC5" s="3538"/>
    </row>
    <row r="6" spans="1:29" ht="15.75" thickBot="1">
      <c r="A6" s="406"/>
      <c r="B6" s="407"/>
      <c r="C6" s="3534" t="s">
        <v>2542</v>
      </c>
      <c r="D6" s="3526"/>
      <c r="E6" s="3579" t="s">
        <v>2542</v>
      </c>
      <c r="F6" s="3536"/>
      <c r="G6" s="3534" t="s">
        <v>2542</v>
      </c>
      <c r="H6" s="3526"/>
      <c r="I6" s="3534" t="s">
        <v>2542</v>
      </c>
      <c r="J6" s="3526"/>
      <c r="K6" s="610" t="s">
        <v>2543</v>
      </c>
      <c r="L6" s="1132"/>
      <c r="M6" s="1133"/>
      <c r="N6" s="1133"/>
      <c r="O6" s="1133"/>
      <c r="P6" s="3576"/>
      <c r="Q6" s="3516"/>
      <c r="R6" s="3519"/>
      <c r="S6" s="3520"/>
      <c r="T6" s="3521"/>
      <c r="U6" s="3522"/>
      <c r="V6" s="3524"/>
      <c r="W6" s="3524"/>
      <c r="X6" s="1809"/>
      <c r="Y6" s="3521"/>
      <c r="Z6" s="3522"/>
      <c r="AA6" s="3539"/>
      <c r="AB6" s="3539"/>
      <c r="AC6" s="3539"/>
    </row>
    <row r="7" spans="1:29" s="117" customFormat="1" ht="15.75" thickBot="1">
      <c r="A7" s="408" t="s">
        <v>2544</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31" t="s">
        <v>2545</v>
      </c>
      <c r="Q7" s="3532"/>
      <c r="R7" s="769" t="s">
        <v>17</v>
      </c>
      <c r="S7" s="770">
        <f t="shared" ref="S7:S15" si="0">F7</f>
        <v>0</v>
      </c>
      <c r="T7" s="769" t="s">
        <v>17</v>
      </c>
      <c r="U7" s="770">
        <f t="shared" ref="U7:U15" si="1">H7</f>
        <v>0</v>
      </c>
      <c r="V7" s="769" t="s">
        <v>17</v>
      </c>
      <c r="W7" s="770">
        <f t="shared" ref="W7:W15" si="2">J7</f>
        <v>0</v>
      </c>
      <c r="X7" s="771"/>
      <c r="Y7" s="3531" t="s">
        <v>2545</v>
      </c>
      <c r="Z7" s="3530"/>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31" t="s">
        <v>2548</v>
      </c>
      <c r="Q8" s="3530"/>
      <c r="R8" s="769" t="s">
        <v>17</v>
      </c>
      <c r="S8" s="770">
        <f t="shared" si="0"/>
        <v>0</v>
      </c>
      <c r="T8" s="769" t="s">
        <v>17</v>
      </c>
      <c r="U8" s="770">
        <f t="shared" si="1"/>
        <v>0</v>
      </c>
      <c r="V8" s="769" t="s">
        <v>17</v>
      </c>
      <c r="W8" s="770">
        <f t="shared" si="2"/>
        <v>0</v>
      </c>
      <c r="X8" s="771"/>
      <c r="Y8" s="3531" t="s">
        <v>2548</v>
      </c>
      <c r="Z8" s="3530"/>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490" t="s">
        <v>2551</v>
      </c>
      <c r="Q9" s="1791" t="str">
        <f t="shared" ref="Q9:Q15" si="6">B9</f>
        <v>用途</v>
      </c>
      <c r="R9" s="769" t="s">
        <v>17</v>
      </c>
      <c r="S9" s="770">
        <f t="shared" si="0"/>
        <v>100</v>
      </c>
      <c r="T9" s="769" t="s">
        <v>17</v>
      </c>
      <c r="U9" s="770">
        <f t="shared" si="1"/>
        <v>100</v>
      </c>
      <c r="V9" s="769" t="s">
        <v>17</v>
      </c>
      <c r="W9" s="770">
        <f t="shared" si="2"/>
        <v>100</v>
      </c>
      <c r="X9" s="771"/>
      <c r="Y9" s="3344"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490"/>
      <c r="Q10" s="1791" t="str">
        <f t="shared" si="6"/>
        <v>土地使用年限（年）</v>
      </c>
      <c r="R10" s="769" t="s">
        <v>17</v>
      </c>
      <c r="S10" s="770">
        <f t="shared" si="0"/>
        <v>100</v>
      </c>
      <c r="T10" s="769" t="s">
        <v>17</v>
      </c>
      <c r="U10" s="770">
        <f t="shared" si="1"/>
        <v>100</v>
      </c>
      <c r="V10" s="769" t="s">
        <v>17</v>
      </c>
      <c r="W10" s="770">
        <f t="shared" si="2"/>
        <v>100</v>
      </c>
      <c r="X10" s="771"/>
      <c r="Y10" s="3344"/>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490"/>
      <c r="Q11" s="1791" t="str">
        <f t="shared" si="6"/>
        <v>容积率</v>
      </c>
      <c r="R11" s="769" t="s">
        <v>17</v>
      </c>
      <c r="S11" s="770" t="e">
        <f t="shared" si="0"/>
        <v>#N/A</v>
      </c>
      <c r="T11" s="769" t="s">
        <v>17</v>
      </c>
      <c r="U11" s="770" t="e">
        <f t="shared" si="1"/>
        <v>#N/A</v>
      </c>
      <c r="V11" s="769" t="s">
        <v>17</v>
      </c>
      <c r="W11" s="770" t="e">
        <f t="shared" si="2"/>
        <v>#N/A</v>
      </c>
      <c r="X11" s="771"/>
      <c r="Y11" s="3344"/>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490"/>
      <c r="Q12" s="1791">
        <f t="shared" si="6"/>
        <v>111</v>
      </c>
      <c r="R12" s="769" t="s">
        <v>17</v>
      </c>
      <c r="S12" s="770">
        <f t="shared" si="0"/>
        <v>100</v>
      </c>
      <c r="T12" s="769" t="s">
        <v>17</v>
      </c>
      <c r="U12" s="770">
        <f t="shared" si="1"/>
        <v>100</v>
      </c>
      <c r="V12" s="769" t="s">
        <v>17</v>
      </c>
      <c r="W12" s="770">
        <f t="shared" si="2"/>
        <v>100</v>
      </c>
      <c r="X12" s="771"/>
      <c r="Y12" s="3344"/>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490"/>
      <c r="Q13" s="1791">
        <f t="shared" si="6"/>
        <v>111</v>
      </c>
      <c r="R13" s="769" t="s">
        <v>17</v>
      </c>
      <c r="S13" s="770">
        <f t="shared" si="0"/>
        <v>100</v>
      </c>
      <c r="T13" s="769" t="s">
        <v>17</v>
      </c>
      <c r="U13" s="770">
        <f t="shared" si="1"/>
        <v>100</v>
      </c>
      <c r="V13" s="769" t="s">
        <v>17</v>
      </c>
      <c r="W13" s="770">
        <f t="shared" si="2"/>
        <v>100</v>
      </c>
      <c r="X13" s="771"/>
      <c r="Y13" s="3344"/>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490"/>
      <c r="Q14" s="1791">
        <f t="shared" si="6"/>
        <v>111</v>
      </c>
      <c r="R14" s="769" t="s">
        <v>17</v>
      </c>
      <c r="S14" s="770">
        <f t="shared" si="0"/>
        <v>100</v>
      </c>
      <c r="T14" s="769" t="s">
        <v>17</v>
      </c>
      <c r="U14" s="770">
        <f t="shared" si="1"/>
        <v>100</v>
      </c>
      <c r="V14" s="769" t="s">
        <v>17</v>
      </c>
      <c r="W14" s="770">
        <f t="shared" si="2"/>
        <v>100</v>
      </c>
      <c r="X14" s="771"/>
      <c r="Y14" s="3344"/>
      <c r="Z14" s="55">
        <f t="shared" si="7"/>
        <v>111</v>
      </c>
      <c r="AA14" s="772">
        <f t="shared" si="3"/>
        <v>1</v>
      </c>
      <c r="AB14" s="772">
        <f t="shared" si="4"/>
        <v>1</v>
      </c>
      <c r="AC14" s="772">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497" t="s">
        <v>2556</v>
      </c>
      <c r="Q15" s="1806" t="str">
        <f t="shared" si="6"/>
        <v>产业集聚程度</v>
      </c>
      <c r="R15" s="773" t="s">
        <v>17</v>
      </c>
      <c r="S15" s="774">
        <f t="shared" si="0"/>
        <v>100</v>
      </c>
      <c r="T15" s="773" t="s">
        <v>17</v>
      </c>
      <c r="U15" s="774">
        <f t="shared" si="1"/>
        <v>100</v>
      </c>
      <c r="V15" s="773" t="s">
        <v>17</v>
      </c>
      <c r="W15" s="774">
        <f t="shared" si="2"/>
        <v>100</v>
      </c>
      <c r="X15" s="1809"/>
      <c r="Y15" s="3497"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41"/>
      <c r="P16" s="3498"/>
      <c r="Q16" s="1806"/>
      <c r="R16" s="773"/>
      <c r="S16" s="774"/>
      <c r="T16" s="773"/>
      <c r="U16" s="774"/>
      <c r="V16" s="773"/>
      <c r="W16" s="774"/>
      <c r="X16" s="1809"/>
      <c r="Y16" s="3498"/>
      <c r="Z16" s="1810"/>
      <c r="AA16" s="1807">
        <v>1</v>
      </c>
      <c r="AB16" s="1807">
        <v>1</v>
      </c>
      <c r="AC16" s="1807">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498"/>
      <c r="Q17" s="1806" t="str">
        <f>B17</f>
        <v>交通便捷度</v>
      </c>
      <c r="R17" s="773" t="s">
        <v>17</v>
      </c>
      <c r="S17" s="774">
        <f>F17</f>
        <v>100</v>
      </c>
      <c r="T17" s="773" t="s">
        <v>17</v>
      </c>
      <c r="U17" s="774">
        <f>H17</f>
        <v>100</v>
      </c>
      <c r="V17" s="773" t="s">
        <v>17</v>
      </c>
      <c r="W17" s="774">
        <f>J17</f>
        <v>100</v>
      </c>
      <c r="X17" s="1809"/>
      <c r="Y17" s="3498"/>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41"/>
      <c r="P18" s="3498"/>
      <c r="Q18" s="1806"/>
      <c r="R18" s="773"/>
      <c r="S18" s="774"/>
      <c r="T18" s="773"/>
      <c r="U18" s="774"/>
      <c r="V18" s="773"/>
      <c r="W18" s="774"/>
      <c r="X18" s="1809"/>
      <c r="Y18" s="3498"/>
      <c r="Z18" s="1810"/>
      <c r="AA18" s="1807">
        <v>1</v>
      </c>
      <c r="AB18" s="1807">
        <v>1</v>
      </c>
      <c r="AC18" s="1807">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498"/>
      <c r="Q19" s="1806" t="str">
        <f>B19</f>
        <v>公共配套设施</v>
      </c>
      <c r="R19" s="773" t="s">
        <v>17</v>
      </c>
      <c r="S19" s="774">
        <f>F19</f>
        <v>100</v>
      </c>
      <c r="T19" s="773" t="s">
        <v>17</v>
      </c>
      <c r="U19" s="774">
        <f>H19</f>
        <v>100</v>
      </c>
      <c r="V19" s="773" t="s">
        <v>17</v>
      </c>
      <c r="W19" s="774">
        <f>J19</f>
        <v>100</v>
      </c>
      <c r="X19" s="1809"/>
      <c r="Y19" s="3498"/>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41"/>
      <c r="P20" s="3498"/>
      <c r="Q20" s="1806"/>
      <c r="R20" s="773"/>
      <c r="S20" s="774"/>
      <c r="T20" s="773"/>
      <c r="U20" s="774"/>
      <c r="V20" s="773"/>
      <c r="W20" s="774"/>
      <c r="X20" s="1809"/>
      <c r="Y20" s="3498"/>
      <c r="Z20" s="1810"/>
      <c r="AA20" s="1807">
        <v>1</v>
      </c>
      <c r="AB20" s="1807">
        <v>1</v>
      </c>
      <c r="AC20" s="1807">
        <v>1</v>
      </c>
    </row>
    <row r="21" spans="1:29" ht="28.5">
      <c r="A21" s="428"/>
      <c r="B21" s="1380"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498"/>
      <c r="Q21" s="1806" t="str">
        <f>B21</f>
        <v>基础设施水平</v>
      </c>
      <c r="R21" s="773" t="s">
        <v>17</v>
      </c>
      <c r="S21" s="774">
        <f>F21</f>
        <v>100</v>
      </c>
      <c r="T21" s="773" t="s">
        <v>17</v>
      </c>
      <c r="U21" s="774">
        <f>H21</f>
        <v>100</v>
      </c>
      <c r="V21" s="773" t="s">
        <v>17</v>
      </c>
      <c r="W21" s="774">
        <f>J21</f>
        <v>100</v>
      </c>
      <c r="X21" s="1809"/>
      <c r="Y21" s="3498"/>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41"/>
      <c r="P22" s="3498"/>
      <c r="Q22" s="1806"/>
      <c r="R22" s="773"/>
      <c r="S22" s="774"/>
      <c r="T22" s="773"/>
      <c r="U22" s="774"/>
      <c r="V22" s="773"/>
      <c r="W22" s="774"/>
      <c r="X22" s="1809"/>
      <c r="Y22" s="3498"/>
      <c r="Z22" s="1810"/>
      <c r="AA22" s="1807">
        <v>1</v>
      </c>
      <c r="AB22" s="1807">
        <v>1</v>
      </c>
      <c r="AC22" s="1807">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498"/>
      <c r="Q23" s="1806" t="str">
        <f>B23</f>
        <v>环境质量</v>
      </c>
      <c r="R23" s="773" t="s">
        <v>17</v>
      </c>
      <c r="S23" s="774">
        <f>F23</f>
        <v>100</v>
      </c>
      <c r="T23" s="773" t="s">
        <v>17</v>
      </c>
      <c r="U23" s="774">
        <f>H23</f>
        <v>100</v>
      </c>
      <c r="V23" s="773" t="s">
        <v>17</v>
      </c>
      <c r="W23" s="774">
        <f>J23</f>
        <v>100</v>
      </c>
      <c r="X23" s="1809"/>
      <c r="Y23" s="3498"/>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42"/>
      <c r="M24" s="1133"/>
      <c r="N24" s="1133"/>
      <c r="O24" s="1141"/>
      <c r="P24" s="3498"/>
      <c r="Q24" s="1806"/>
      <c r="R24" s="773"/>
      <c r="S24" s="774"/>
      <c r="T24" s="773"/>
      <c r="U24" s="774"/>
      <c r="V24" s="773"/>
      <c r="W24" s="774"/>
      <c r="X24" s="1809"/>
      <c r="Y24" s="3498"/>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498"/>
      <c r="Q25" s="1806">
        <f>B25</f>
        <v>111</v>
      </c>
      <c r="R25" s="773" t="s">
        <v>17</v>
      </c>
      <c r="S25" s="774">
        <f>F25</f>
        <v>100</v>
      </c>
      <c r="T25" s="773" t="s">
        <v>17</v>
      </c>
      <c r="U25" s="774">
        <f>H25</f>
        <v>100</v>
      </c>
      <c r="V25" s="773" t="s">
        <v>17</v>
      </c>
      <c r="W25" s="774">
        <f>J25</f>
        <v>100</v>
      </c>
      <c r="X25" s="1809"/>
      <c r="Y25" s="3498"/>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498"/>
      <c r="Q26" s="1806">
        <f t="shared" ref="Q26:Q40" si="11">B26</f>
        <v>111</v>
      </c>
      <c r="R26" s="773" t="s">
        <v>17</v>
      </c>
      <c r="S26" s="774">
        <f>F26</f>
        <v>100</v>
      </c>
      <c r="T26" s="773" t="s">
        <v>17</v>
      </c>
      <c r="U26" s="774">
        <f>H26</f>
        <v>100</v>
      </c>
      <c r="V26" s="773" t="s">
        <v>17</v>
      </c>
      <c r="W26" s="774">
        <f>J26</f>
        <v>100</v>
      </c>
      <c r="X26" s="1809"/>
      <c r="Y26" s="3498"/>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498"/>
      <c r="Q27" s="1791">
        <f t="shared" si="11"/>
        <v>111</v>
      </c>
      <c r="R27" s="769" t="s">
        <v>17</v>
      </c>
      <c r="S27" s="770">
        <f>F27</f>
        <v>100</v>
      </c>
      <c r="T27" s="769" t="s">
        <v>17</v>
      </c>
      <c r="U27" s="770">
        <f>H27</f>
        <v>100</v>
      </c>
      <c r="V27" s="769" t="s">
        <v>17</v>
      </c>
      <c r="W27" s="770">
        <f>J27</f>
        <v>100</v>
      </c>
      <c r="X27" s="771"/>
      <c r="Y27" s="3498"/>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498"/>
      <c r="Q28" s="1806">
        <f t="shared" si="11"/>
        <v>111</v>
      </c>
      <c r="R28" s="773" t="s">
        <v>17</v>
      </c>
      <c r="S28" s="774">
        <f t="shared" ref="S28:S40" si="12">F28</f>
        <v>100</v>
      </c>
      <c r="T28" s="773" t="s">
        <v>17</v>
      </c>
      <c r="U28" s="774">
        <f t="shared" ref="U28:U40" si="13">H28</f>
        <v>100</v>
      </c>
      <c r="V28" s="773" t="s">
        <v>17</v>
      </c>
      <c r="W28" s="774">
        <f t="shared" ref="W28:W40" si="14">J28</f>
        <v>100</v>
      </c>
      <c r="X28" s="1809"/>
      <c r="Y28" s="3498"/>
      <c r="Z28" s="1810">
        <f t="shared" ref="Z28:Z40" si="15">Q28</f>
        <v>111</v>
      </c>
      <c r="AA28" s="1807">
        <f t="shared" si="3"/>
        <v>1</v>
      </c>
      <c r="AB28" s="1807">
        <f t="shared" si="4"/>
        <v>1</v>
      </c>
      <c r="AC28" s="1807">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81" t="s">
        <v>2561</v>
      </c>
      <c r="Q29" s="1806" t="str">
        <f t="shared" si="11"/>
        <v>建筑类型</v>
      </c>
      <c r="R29" s="773" t="s">
        <v>17</v>
      </c>
      <c r="S29" s="774">
        <f t="shared" si="12"/>
        <v>100</v>
      </c>
      <c r="T29" s="773" t="s">
        <v>17</v>
      </c>
      <c r="U29" s="774">
        <f t="shared" si="13"/>
        <v>100</v>
      </c>
      <c r="V29" s="773" t="s">
        <v>17</v>
      </c>
      <c r="W29" s="774">
        <f t="shared" si="14"/>
        <v>100</v>
      </c>
      <c r="X29" s="1809"/>
      <c r="Y29" s="3502"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02"/>
      <c r="Q30" s="775" t="str">
        <f t="shared" si="11"/>
        <v>项目建筑规模</v>
      </c>
      <c r="R30" s="776" t="s">
        <v>17</v>
      </c>
      <c r="S30" s="777" t="e">
        <f t="shared" si="12"/>
        <v>#N/A</v>
      </c>
      <c r="T30" s="776" t="s">
        <v>17</v>
      </c>
      <c r="U30" s="777" t="e">
        <f t="shared" si="13"/>
        <v>#N/A</v>
      </c>
      <c r="V30" s="776" t="s">
        <v>17</v>
      </c>
      <c r="W30" s="777" t="e">
        <f t="shared" si="14"/>
        <v>#N/A</v>
      </c>
      <c r="X30" s="778"/>
      <c r="Y30" s="3502"/>
      <c r="Z30" s="779"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02"/>
      <c r="Q31" s="1806" t="str">
        <f t="shared" si="11"/>
        <v>建筑结构</v>
      </c>
      <c r="R31" s="773" t="s">
        <v>17</v>
      </c>
      <c r="S31" s="774">
        <f t="shared" si="12"/>
        <v>100</v>
      </c>
      <c r="T31" s="773" t="s">
        <v>17</v>
      </c>
      <c r="U31" s="774">
        <f t="shared" si="13"/>
        <v>100</v>
      </c>
      <c r="V31" s="773" t="s">
        <v>17</v>
      </c>
      <c r="W31" s="774">
        <f t="shared" si="14"/>
        <v>100</v>
      </c>
      <c r="X31" s="1809"/>
      <c r="Y31" s="3502"/>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02"/>
      <c r="Q32" s="1806" t="str">
        <f t="shared" si="11"/>
        <v>公共部分装修</v>
      </c>
      <c r="R32" s="773" t="s">
        <v>17</v>
      </c>
      <c r="S32" s="774">
        <f t="shared" si="12"/>
        <v>100</v>
      </c>
      <c r="T32" s="773" t="s">
        <v>17</v>
      </c>
      <c r="U32" s="774">
        <f t="shared" si="13"/>
        <v>100</v>
      </c>
      <c r="V32" s="773" t="s">
        <v>17</v>
      </c>
      <c r="W32" s="774">
        <f t="shared" si="14"/>
        <v>100</v>
      </c>
      <c r="X32" s="1809"/>
      <c r="Y32" s="3502"/>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02"/>
      <c r="Q33" s="1806" t="str">
        <f t="shared" si="11"/>
        <v>成新度</v>
      </c>
      <c r="R33" s="773" t="s">
        <v>17</v>
      </c>
      <c r="S33" s="774" t="e">
        <f t="shared" si="12"/>
        <v>#N/A</v>
      </c>
      <c r="T33" s="773" t="s">
        <v>17</v>
      </c>
      <c r="U33" s="774" t="e">
        <f t="shared" si="13"/>
        <v>#N/A</v>
      </c>
      <c r="V33" s="773" t="s">
        <v>17</v>
      </c>
      <c r="W33" s="774" t="e">
        <f t="shared" si="14"/>
        <v>#N/A</v>
      </c>
      <c r="X33" s="1809"/>
      <c r="Y33" s="3502"/>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02"/>
      <c r="Q34" s="1791" t="str">
        <f t="shared" si="11"/>
        <v>物业管理</v>
      </c>
      <c r="R34" s="769" t="s">
        <v>17</v>
      </c>
      <c r="S34" s="770">
        <f t="shared" si="12"/>
        <v>100</v>
      </c>
      <c r="T34" s="769" t="s">
        <v>17</v>
      </c>
      <c r="U34" s="770">
        <f t="shared" si="13"/>
        <v>100</v>
      </c>
      <c r="V34" s="769" t="s">
        <v>17</v>
      </c>
      <c r="W34" s="770">
        <f t="shared" si="14"/>
        <v>100</v>
      </c>
      <c r="X34" s="771"/>
      <c r="Y34" s="3502"/>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02" t="s">
        <v>2561</v>
      </c>
      <c r="Q35" s="1806" t="str">
        <f t="shared" si="11"/>
        <v>市政基础设施</v>
      </c>
      <c r="R35" s="773" t="s">
        <v>17</v>
      </c>
      <c r="S35" s="774">
        <f t="shared" si="12"/>
        <v>100</v>
      </c>
      <c r="T35" s="773" t="s">
        <v>17</v>
      </c>
      <c r="U35" s="774">
        <f t="shared" si="13"/>
        <v>100</v>
      </c>
      <c r="V35" s="773" t="s">
        <v>17</v>
      </c>
      <c r="W35" s="774">
        <f t="shared" si="14"/>
        <v>100</v>
      </c>
      <c r="X35" s="1809"/>
      <c r="Y35" s="3502"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02"/>
      <c r="Q36" s="1806" t="str">
        <f t="shared" si="11"/>
        <v>内部装修</v>
      </c>
      <c r="R36" s="773" t="s">
        <v>17</v>
      </c>
      <c r="S36" s="774">
        <f t="shared" si="12"/>
        <v>100</v>
      </c>
      <c r="T36" s="773" t="s">
        <v>17</v>
      </c>
      <c r="U36" s="774">
        <f t="shared" si="13"/>
        <v>100</v>
      </c>
      <c r="V36" s="773" t="s">
        <v>17</v>
      </c>
      <c r="W36" s="774">
        <f t="shared" si="14"/>
        <v>100</v>
      </c>
      <c r="X36" s="1809"/>
      <c r="Y36" s="3502"/>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02"/>
      <c r="Q37" s="1806" t="str">
        <f t="shared" si="11"/>
        <v>内部装修状况</v>
      </c>
      <c r="R37" s="773" t="s">
        <v>17</v>
      </c>
      <c r="S37" s="774">
        <f t="shared" si="12"/>
        <v>100</v>
      </c>
      <c r="T37" s="773" t="s">
        <v>17</v>
      </c>
      <c r="U37" s="774">
        <f t="shared" si="13"/>
        <v>100</v>
      </c>
      <c r="V37" s="773" t="s">
        <v>17</v>
      </c>
      <c r="W37" s="774">
        <f t="shared" si="14"/>
        <v>100</v>
      </c>
      <c r="X37" s="1809"/>
      <c r="Y37" s="3502"/>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02"/>
      <c r="Q38" s="775">
        <f t="shared" si="11"/>
        <v>111</v>
      </c>
      <c r="R38" s="776" t="s">
        <v>17</v>
      </c>
      <c r="S38" s="777">
        <f t="shared" si="12"/>
        <v>100</v>
      </c>
      <c r="T38" s="776" t="s">
        <v>17</v>
      </c>
      <c r="U38" s="777">
        <f t="shared" si="13"/>
        <v>100</v>
      </c>
      <c r="V38" s="776" t="s">
        <v>17</v>
      </c>
      <c r="W38" s="777">
        <f t="shared" si="14"/>
        <v>100</v>
      </c>
      <c r="X38" s="778"/>
      <c r="Y38" s="3502"/>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02"/>
      <c r="Q39" s="1806">
        <f t="shared" si="11"/>
        <v>111</v>
      </c>
      <c r="R39" s="773" t="s">
        <v>17</v>
      </c>
      <c r="S39" s="774">
        <f t="shared" si="12"/>
        <v>100</v>
      </c>
      <c r="T39" s="773" t="s">
        <v>17</v>
      </c>
      <c r="U39" s="774">
        <f t="shared" si="13"/>
        <v>100</v>
      </c>
      <c r="V39" s="773" t="s">
        <v>17</v>
      </c>
      <c r="W39" s="774">
        <f t="shared" si="14"/>
        <v>100</v>
      </c>
      <c r="X39" s="1809"/>
      <c r="Y39" s="3502"/>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03"/>
      <c r="Q40" s="1806">
        <f t="shared" si="11"/>
        <v>111</v>
      </c>
      <c r="R40" s="773" t="s">
        <v>17</v>
      </c>
      <c r="S40" s="774">
        <f t="shared" si="12"/>
        <v>100</v>
      </c>
      <c r="T40" s="773" t="s">
        <v>17</v>
      </c>
      <c r="U40" s="774">
        <f t="shared" si="13"/>
        <v>100</v>
      </c>
      <c r="V40" s="773" t="s">
        <v>17</v>
      </c>
      <c r="W40" s="774">
        <f t="shared" si="14"/>
        <v>100</v>
      </c>
      <c r="X40" s="1809"/>
      <c r="Y40" s="3503"/>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2"/>
      <c r="L41" s="1145"/>
      <c r="M41" s="1146"/>
      <c r="N41" s="1133"/>
      <c r="O41" s="1146"/>
      <c r="P41" s="3490" t="str">
        <f>A41</f>
        <v>成交单价（元/平方米）</v>
      </c>
      <c r="Q41" s="3490"/>
      <c r="R41" s="3491">
        <f>E41</f>
        <v>0</v>
      </c>
      <c r="S41" s="3491"/>
      <c r="T41" s="3491">
        <f>G41</f>
        <v>0</v>
      </c>
      <c r="U41" s="3491"/>
      <c r="V41" s="3491">
        <f>I41</f>
        <v>0</v>
      </c>
      <c r="W41" s="3491"/>
      <c r="X41" s="758"/>
      <c r="Y41" s="780"/>
      <c r="Z41" s="758"/>
      <c r="AA41" s="758"/>
      <c r="AB41" s="758"/>
      <c r="AC41" s="758"/>
    </row>
    <row r="42" spans="1:29" ht="15.75" thickBot="1">
      <c r="A42" s="486" t="s">
        <v>2665</v>
      </c>
      <c r="B42" s="487"/>
      <c r="C42" s="1409" t="e">
        <f>R43</f>
        <v>#DIV/0!</v>
      </c>
      <c r="D42" s="1410"/>
      <c r="E42" s="1411" t="e">
        <f>R42</f>
        <v>#DIV/0!</v>
      </c>
      <c r="F42" s="1411"/>
      <c r="G42" s="1409" t="e">
        <f>T42</f>
        <v>#DIV/0!</v>
      </c>
      <c r="H42" s="1410"/>
      <c r="I42" s="1411" t="e">
        <f>V42</f>
        <v>#DIV/0!</v>
      </c>
      <c r="J42" s="1410"/>
      <c r="K42" s="783"/>
      <c r="L42" s="1145"/>
      <c r="M42" s="1146"/>
      <c r="N42" s="1133"/>
      <c r="O42" s="1146"/>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758"/>
      <c r="Y42" s="758"/>
      <c r="Z42" s="758"/>
      <c r="AA42" s="758"/>
      <c r="AB42" s="758"/>
      <c r="AC42" s="758"/>
    </row>
    <row r="43" spans="1:29" ht="15.75" thickBot="1">
      <c r="A43" s="492" t="s">
        <v>2666</v>
      </c>
      <c r="B43" s="493"/>
      <c r="C43" s="1413" t="e">
        <f>R43</f>
        <v>#DIV/0!</v>
      </c>
      <c r="D43" s="1413"/>
      <c r="E43" s="1413"/>
      <c r="F43" s="1413"/>
      <c r="G43" s="1413"/>
      <c r="H43" s="1413"/>
      <c r="I43" s="1413"/>
      <c r="J43" s="1413"/>
      <c r="K43" s="784"/>
      <c r="L43" s="1145"/>
      <c r="M43" s="1146"/>
      <c r="N43" s="1146"/>
      <c r="O43" s="1146"/>
      <c r="P43" s="3569" t="str">
        <f>A43</f>
        <v>估价对象XX用房的比较价值（楼面单价，元/平方米）</v>
      </c>
      <c r="Q43" s="3570"/>
      <c r="R43" s="3571" t="e">
        <f>IF(F1="售价",ROUND(AVERAGE(R42:V42),0),ROUND(AVERAGE(R42:V42),1))</f>
        <v>#DIV/0!</v>
      </c>
      <c r="S43" s="3571"/>
      <c r="T43" s="3571"/>
      <c r="U43" s="3571"/>
      <c r="V43" s="3571"/>
      <c r="W43" s="357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e">
        <f>项目基本情况!#REF!&amp;"："</f>
        <v>#REF!</v>
      </c>
    </row>
    <row r="4" spans="1:1" ht="18">
      <c r="A4" s="1944" t="str">
        <f>"受贵公司委托，我公司对"&amp;项目基本情况!S1&amp;"进行了预评估。"</f>
        <v>受贵公司委托，我公司对北京市昌平区北七家镇1、2、4、7进行了预评估。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1、2、4、7房地产，为所有。根据《国有土地使用证》[]，估价对象（分摊）出让国有建设用地使用权面积为8774.68平方米。根据《房屋所有权证》[]、《测绘报告》[]，估价对象建筑面积为34081.78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1" spans="1:1" ht="76.5">
      <c r="A11" s="1947" t="s">
        <v>1612</v>
      </c>
    </row>
    <row r="12" spans="1:1" ht="18.75">
      <c r="A12" s="1945" t="s">
        <v>1613</v>
      </c>
    </row>
    <row r="13" spans="1:1" ht="38.25" customHeight="1">
      <c r="A13" s="1948" t="str">
        <f>IF(项目基本情况!B8="抵押",IF(项目基本情况!#REF!=项目基本情况!B6,定义!C51,定义!B51),定义!D51)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2018年12月31日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本次评估采用的主估价方法为比较法和收益法。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4" t="e">
        <f ca="1">IF(C2="——",IF(B37="元/平方米",ROUND(C39*D3/10000,0),ROUND(F3*C39/10000,0)),IF(B37="元/平方米",ROUND(C39*D3/10000,0),ROUND(F3*C39/10000,0))-D2)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1415"/>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15"/>
      <c r="Q3" s="767"/>
      <c r="R3" s="767"/>
      <c r="S3" s="767"/>
      <c r="T3" s="767"/>
      <c r="U3" s="767"/>
      <c r="V3" s="767"/>
      <c r="W3" s="767"/>
      <c r="X3" s="767"/>
      <c r="Y3" s="767"/>
      <c r="Z3" s="767"/>
      <c r="AA3" s="767"/>
      <c r="AB3" s="785"/>
      <c r="AC3" s="781"/>
    </row>
    <row r="4" spans="1:29" ht="15">
      <c r="A4" s="401" t="s">
        <v>2641</v>
      </c>
      <c r="B4" s="402"/>
      <c r="C4" s="3507" t="s">
        <v>2642</v>
      </c>
      <c r="D4" s="3508"/>
      <c r="E4" s="3509" t="s">
        <v>2643</v>
      </c>
      <c r="F4" s="3510"/>
      <c r="G4" s="3507" t="s">
        <v>2644</v>
      </c>
      <c r="H4" s="3508"/>
      <c r="I4" s="3507" t="s">
        <v>2645</v>
      </c>
      <c r="J4" s="3508"/>
      <c r="K4" s="610" t="s">
        <v>2646</v>
      </c>
      <c r="L4" s="1132"/>
      <c r="M4" s="1133"/>
      <c r="N4" s="1133"/>
      <c r="O4" s="1133"/>
      <c r="P4" s="3573" t="s">
        <v>2647</v>
      </c>
      <c r="Q4" s="3574"/>
      <c r="R4" s="3577" t="s">
        <v>2643</v>
      </c>
      <c r="S4" s="3578"/>
      <c r="T4" s="3577" t="s">
        <v>2644</v>
      </c>
      <c r="U4" s="3578"/>
      <c r="V4" s="3524" t="s">
        <v>2645</v>
      </c>
      <c r="W4" s="3524"/>
      <c r="X4" s="1809"/>
      <c r="Y4" s="3577" t="s">
        <v>2647</v>
      </c>
      <c r="Z4" s="3578"/>
      <c r="AA4" s="3572" t="s">
        <v>2643</v>
      </c>
      <c r="AB4" s="3538" t="s">
        <v>2644</v>
      </c>
      <c r="AC4" s="3572" t="s">
        <v>2645</v>
      </c>
    </row>
    <row r="5" spans="1:29" ht="15">
      <c r="A5" s="404"/>
      <c r="B5" s="405"/>
      <c r="C5" s="3533" t="s">
        <v>2538</v>
      </c>
      <c r="D5" s="3528"/>
      <c r="E5" s="3580" t="s">
        <v>2539</v>
      </c>
      <c r="F5" s="3541"/>
      <c r="G5" s="3533" t="s">
        <v>2540</v>
      </c>
      <c r="H5" s="3528"/>
      <c r="I5" s="3533" t="s">
        <v>2541</v>
      </c>
      <c r="J5" s="3528"/>
      <c r="K5" s="610"/>
      <c r="L5" s="1132"/>
      <c r="M5" s="1133"/>
      <c r="N5" s="1133"/>
      <c r="O5" s="1133"/>
      <c r="P5" s="3575"/>
      <c r="Q5" s="3514"/>
      <c r="R5" s="3519"/>
      <c r="S5" s="3520"/>
      <c r="T5" s="3519"/>
      <c r="U5" s="3520"/>
      <c r="V5" s="3524"/>
      <c r="W5" s="3524"/>
      <c r="X5" s="1809"/>
      <c r="Y5" s="3519"/>
      <c r="Z5" s="3520"/>
      <c r="AA5" s="3538"/>
      <c r="AB5" s="3538"/>
      <c r="AC5" s="3538"/>
    </row>
    <row r="6" spans="1:29" ht="15.75" thickBot="1">
      <c r="A6" s="406"/>
      <c r="B6" s="407"/>
      <c r="C6" s="3534" t="s">
        <v>2542</v>
      </c>
      <c r="D6" s="3526"/>
      <c r="E6" s="3579" t="s">
        <v>2542</v>
      </c>
      <c r="F6" s="3536"/>
      <c r="G6" s="3534" t="s">
        <v>2542</v>
      </c>
      <c r="H6" s="3526"/>
      <c r="I6" s="3534" t="s">
        <v>2542</v>
      </c>
      <c r="J6" s="3526"/>
      <c r="K6" s="610" t="s">
        <v>2543</v>
      </c>
      <c r="L6" s="1132"/>
      <c r="M6" s="1133"/>
      <c r="N6" s="1133"/>
      <c r="O6" s="1133"/>
      <c r="P6" s="3576"/>
      <c r="Q6" s="3516"/>
      <c r="R6" s="3519"/>
      <c r="S6" s="3520"/>
      <c r="T6" s="3521"/>
      <c r="U6" s="3522"/>
      <c r="V6" s="3524"/>
      <c r="W6" s="3524"/>
      <c r="X6" s="1809"/>
      <c r="Y6" s="3521"/>
      <c r="Z6" s="3522"/>
      <c r="AA6" s="3539"/>
      <c r="AB6" s="3539"/>
      <c r="AC6" s="3539"/>
    </row>
    <row r="7" spans="1:29" s="117" customFormat="1" ht="15.75" thickBot="1">
      <c r="A7" s="408" t="s">
        <v>2544</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531" t="s">
        <v>2545</v>
      </c>
      <c r="Q7" s="3532"/>
      <c r="R7" s="769" t="s">
        <v>17</v>
      </c>
      <c r="S7" s="770">
        <f t="shared" ref="S7:S14" si="0">F7</f>
        <v>0</v>
      </c>
      <c r="T7" s="769" t="s">
        <v>17</v>
      </c>
      <c r="U7" s="770">
        <f t="shared" ref="U7:U14" si="1">H7</f>
        <v>0</v>
      </c>
      <c r="V7" s="769" t="s">
        <v>17</v>
      </c>
      <c r="W7" s="770">
        <f t="shared" ref="W7:W14" si="2">J7</f>
        <v>0</v>
      </c>
      <c r="X7" s="771"/>
      <c r="Y7" s="3531" t="s">
        <v>2545</v>
      </c>
      <c r="Z7" s="3530"/>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531" t="s">
        <v>2548</v>
      </c>
      <c r="Q8" s="3530"/>
      <c r="R8" s="769" t="s">
        <v>17</v>
      </c>
      <c r="S8" s="770">
        <f t="shared" si="0"/>
        <v>0</v>
      </c>
      <c r="T8" s="769" t="s">
        <v>17</v>
      </c>
      <c r="U8" s="770">
        <f t="shared" si="1"/>
        <v>0</v>
      </c>
      <c r="V8" s="769" t="s">
        <v>17</v>
      </c>
      <c r="W8" s="770">
        <f t="shared" si="2"/>
        <v>0</v>
      </c>
      <c r="X8" s="771"/>
      <c r="Y8" s="3531" t="s">
        <v>2548</v>
      </c>
      <c r="Z8" s="3530"/>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490" t="s">
        <v>2551</v>
      </c>
      <c r="Q9" s="1791" t="str">
        <f t="shared" ref="Q9:Q14" si="6">B9</f>
        <v>用途</v>
      </c>
      <c r="R9" s="769" t="s">
        <v>17</v>
      </c>
      <c r="S9" s="770">
        <f t="shared" si="0"/>
        <v>100</v>
      </c>
      <c r="T9" s="769" t="s">
        <v>17</v>
      </c>
      <c r="U9" s="770">
        <f t="shared" si="1"/>
        <v>100</v>
      </c>
      <c r="V9" s="769" t="s">
        <v>17</v>
      </c>
      <c r="W9" s="770">
        <f t="shared" si="2"/>
        <v>100</v>
      </c>
      <c r="X9" s="771"/>
      <c r="Y9" s="3344"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490"/>
      <c r="Q10" s="1791" t="str">
        <f t="shared" si="6"/>
        <v>土地使用年限（年）</v>
      </c>
      <c r="R10" s="769" t="s">
        <v>17</v>
      </c>
      <c r="S10" s="770">
        <f t="shared" si="0"/>
        <v>100</v>
      </c>
      <c r="T10" s="769" t="s">
        <v>17</v>
      </c>
      <c r="U10" s="770">
        <f t="shared" si="1"/>
        <v>100</v>
      </c>
      <c r="V10" s="769" t="s">
        <v>17</v>
      </c>
      <c r="W10" s="770">
        <f t="shared" si="2"/>
        <v>100</v>
      </c>
      <c r="X10" s="771"/>
      <c r="Y10" s="334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490"/>
      <c r="Q11" s="1791">
        <f t="shared" si="6"/>
        <v>111</v>
      </c>
      <c r="R11" s="769" t="s">
        <v>17</v>
      </c>
      <c r="S11" s="770">
        <f t="shared" si="0"/>
        <v>100</v>
      </c>
      <c r="T11" s="769" t="s">
        <v>17</v>
      </c>
      <c r="U11" s="770">
        <f t="shared" si="1"/>
        <v>100</v>
      </c>
      <c r="V11" s="769" t="s">
        <v>17</v>
      </c>
      <c r="W11" s="770">
        <f t="shared" si="2"/>
        <v>100</v>
      </c>
      <c r="X11" s="771"/>
      <c r="Y11" s="334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490"/>
      <c r="Q12" s="1791">
        <f t="shared" si="6"/>
        <v>111</v>
      </c>
      <c r="R12" s="769" t="s">
        <v>17</v>
      </c>
      <c r="S12" s="770">
        <f t="shared" si="0"/>
        <v>100</v>
      </c>
      <c r="T12" s="769" t="s">
        <v>17</v>
      </c>
      <c r="U12" s="770">
        <f t="shared" si="1"/>
        <v>100</v>
      </c>
      <c r="V12" s="769" t="s">
        <v>17</v>
      </c>
      <c r="W12" s="770">
        <f t="shared" si="2"/>
        <v>100</v>
      </c>
      <c r="X12" s="771"/>
      <c r="Y12" s="334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490"/>
      <c r="Q13" s="1791">
        <f t="shared" si="6"/>
        <v>111</v>
      </c>
      <c r="R13" s="769" t="s">
        <v>17</v>
      </c>
      <c r="S13" s="770">
        <f t="shared" si="0"/>
        <v>100</v>
      </c>
      <c r="T13" s="769" t="s">
        <v>17</v>
      </c>
      <c r="U13" s="770">
        <f t="shared" si="1"/>
        <v>100</v>
      </c>
      <c r="V13" s="769" t="s">
        <v>17</v>
      </c>
      <c r="W13" s="770">
        <f t="shared" si="2"/>
        <v>100</v>
      </c>
      <c r="X13" s="771"/>
      <c r="Y13" s="3344"/>
      <c r="Z13" s="55">
        <f t="shared" si="7"/>
        <v>111</v>
      </c>
      <c r="AA13" s="772">
        <f t="shared" si="3"/>
        <v>1</v>
      </c>
      <c r="AB13" s="772">
        <f t="shared" si="4"/>
        <v>1</v>
      </c>
      <c r="AC13" s="772">
        <f t="shared" si="5"/>
        <v>1</v>
      </c>
    </row>
    <row r="14" spans="1:29" ht="128.25">
      <c r="A14" s="401" t="s">
        <v>2555</v>
      </c>
      <c r="B14" s="62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497" t="s">
        <v>2556</v>
      </c>
      <c r="Q14" s="1806" t="str">
        <f t="shared" si="6"/>
        <v>交通便捷度</v>
      </c>
      <c r="R14" s="773" t="s">
        <v>17</v>
      </c>
      <c r="S14" s="774">
        <f t="shared" si="0"/>
        <v>100</v>
      </c>
      <c r="T14" s="773" t="s">
        <v>17</v>
      </c>
      <c r="U14" s="774">
        <f t="shared" si="1"/>
        <v>100</v>
      </c>
      <c r="V14" s="773" t="s">
        <v>17</v>
      </c>
      <c r="W14" s="774">
        <f t="shared" si="2"/>
        <v>100</v>
      </c>
      <c r="X14" s="1809"/>
      <c r="Y14" s="3497"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2"/>
      <c r="M15" s="1133"/>
      <c r="N15" s="1133"/>
      <c r="O15" s="1133"/>
      <c r="P15" s="3498"/>
      <c r="Q15" s="1806"/>
      <c r="R15" s="773"/>
      <c r="S15" s="774"/>
      <c r="T15" s="773"/>
      <c r="U15" s="774"/>
      <c r="V15" s="773"/>
      <c r="W15" s="774"/>
      <c r="X15" s="1809"/>
      <c r="Y15" s="3498"/>
      <c r="Z15" s="1810"/>
      <c r="AA15" s="1807">
        <v>1</v>
      </c>
      <c r="AB15" s="1807">
        <v>1</v>
      </c>
      <c r="AC15" s="1807">
        <v>1</v>
      </c>
    </row>
    <row r="16" spans="1:29" ht="213.75">
      <c r="A16" s="404"/>
      <c r="B16" s="63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498"/>
      <c r="Q16" s="1806" t="str">
        <f>B16</f>
        <v>公共配套设施</v>
      </c>
      <c r="R16" s="773" t="s">
        <v>17</v>
      </c>
      <c r="S16" s="774">
        <f>F16</f>
        <v>100</v>
      </c>
      <c r="T16" s="773" t="s">
        <v>17</v>
      </c>
      <c r="U16" s="774">
        <f>H16</f>
        <v>100</v>
      </c>
      <c r="V16" s="773" t="s">
        <v>17</v>
      </c>
      <c r="W16" s="774">
        <f>J16</f>
        <v>100</v>
      </c>
      <c r="X16" s="1809"/>
      <c r="Y16" s="3498"/>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42"/>
      <c r="M17" s="1133"/>
      <c r="N17" s="1133"/>
      <c r="O17" s="1133"/>
      <c r="P17" s="3498"/>
      <c r="Q17" s="1806"/>
      <c r="R17" s="773"/>
      <c r="S17" s="774"/>
      <c r="T17" s="773"/>
      <c r="U17" s="774"/>
      <c r="V17" s="773"/>
      <c r="W17" s="774"/>
      <c r="X17" s="1809"/>
      <c r="Y17" s="3498"/>
      <c r="Z17" s="1810"/>
      <c r="AA17" s="1807">
        <v>1</v>
      </c>
      <c r="AB17" s="1807">
        <v>1</v>
      </c>
      <c r="AC17" s="1807">
        <v>1</v>
      </c>
    </row>
    <row r="18" spans="1:29" ht="42.75">
      <c r="A18" s="404"/>
      <c r="B18" s="633" t="s">
        <v>2685</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498"/>
      <c r="Q18" s="1806" t="str">
        <f>B18</f>
        <v>基础设施水平</v>
      </c>
      <c r="R18" s="773" t="s">
        <v>17</v>
      </c>
      <c r="S18" s="774">
        <f>F18</f>
        <v>100</v>
      </c>
      <c r="T18" s="773" t="s">
        <v>17</v>
      </c>
      <c r="U18" s="774">
        <f>H18</f>
        <v>100</v>
      </c>
      <c r="V18" s="773" t="s">
        <v>17</v>
      </c>
      <c r="W18" s="774">
        <f>J18</f>
        <v>100</v>
      </c>
      <c r="X18" s="1809"/>
      <c r="Y18" s="3498"/>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42"/>
      <c r="M19" s="1133"/>
      <c r="N19" s="1133"/>
      <c r="O19" s="1133"/>
      <c r="P19" s="3498"/>
      <c r="Q19" s="1806"/>
      <c r="R19" s="773"/>
      <c r="S19" s="774"/>
      <c r="T19" s="773"/>
      <c r="U19" s="774"/>
      <c r="V19" s="773"/>
      <c r="W19" s="774"/>
      <c r="X19" s="1809"/>
      <c r="Y19" s="3498"/>
      <c r="Z19" s="1810"/>
      <c r="AA19" s="1807">
        <v>1</v>
      </c>
      <c r="AB19" s="1807">
        <v>1</v>
      </c>
      <c r="AC19" s="1807">
        <v>1</v>
      </c>
    </row>
    <row r="20" spans="1:29" ht="85.5">
      <c r="A20" s="404"/>
      <c r="B20" s="631" t="s">
        <v>2706</v>
      </c>
      <c r="C20" s="2604" t="str">
        <f>IF(B1="工业",估价对象房地状况!G7,估价对象房地状况!C9)</f>
        <v>区域自然环境：秀水湖公园；人文环境：北京邮电大学（洪福校区）；综合评价环境状况较好。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498"/>
      <c r="Q20" s="1806" t="str">
        <f>B20</f>
        <v>自然及人文环境</v>
      </c>
      <c r="R20" s="773" t="s">
        <v>17</v>
      </c>
      <c r="S20" s="774">
        <f>F20</f>
        <v>100</v>
      </c>
      <c r="T20" s="773" t="s">
        <v>17</v>
      </c>
      <c r="U20" s="774">
        <f>H20</f>
        <v>100</v>
      </c>
      <c r="V20" s="773" t="s">
        <v>17</v>
      </c>
      <c r="W20" s="774">
        <f>J20</f>
        <v>100</v>
      </c>
      <c r="X20" s="1809"/>
      <c r="Y20" s="3498"/>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2"/>
      <c r="M21" s="1133"/>
      <c r="N21" s="1133"/>
      <c r="O21" s="1133"/>
      <c r="P21" s="3498"/>
      <c r="Q21" s="1806"/>
      <c r="R21" s="773"/>
      <c r="S21" s="774"/>
      <c r="T21" s="773"/>
      <c r="U21" s="774"/>
      <c r="V21" s="773"/>
      <c r="W21" s="774"/>
      <c r="X21" s="1809"/>
      <c r="Y21" s="3498"/>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498"/>
      <c r="Q22" s="1806" t="str">
        <f>B22</f>
        <v>楼层</v>
      </c>
      <c r="R22" s="773" t="s">
        <v>17</v>
      </c>
      <c r="S22" s="774">
        <f>F22</f>
        <v>100</v>
      </c>
      <c r="T22" s="773" t="s">
        <v>17</v>
      </c>
      <c r="U22" s="774">
        <f>H22</f>
        <v>100</v>
      </c>
      <c r="V22" s="773" t="s">
        <v>17</v>
      </c>
      <c r="W22" s="774">
        <f>J22</f>
        <v>100</v>
      </c>
      <c r="X22" s="1809"/>
      <c r="Y22" s="3498"/>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498"/>
      <c r="Q23" s="1806">
        <f>B23</f>
        <v>111</v>
      </c>
      <c r="R23" s="773" t="s">
        <v>17</v>
      </c>
      <c r="S23" s="774">
        <f>F23</f>
        <v>100</v>
      </c>
      <c r="T23" s="773" t="s">
        <v>17</v>
      </c>
      <c r="U23" s="774">
        <f>H23</f>
        <v>100</v>
      </c>
      <c r="V23" s="773" t="s">
        <v>17</v>
      </c>
      <c r="W23" s="774">
        <f>J23</f>
        <v>100</v>
      </c>
      <c r="X23" s="1809"/>
      <c r="Y23" s="3498"/>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498"/>
      <c r="Q24" s="1806">
        <f t="shared" ref="Q24:Q36" si="11">B24</f>
        <v>111</v>
      </c>
      <c r="R24" s="773" t="s">
        <v>17</v>
      </c>
      <c r="S24" s="774">
        <f>F24</f>
        <v>100</v>
      </c>
      <c r="T24" s="773" t="s">
        <v>17</v>
      </c>
      <c r="U24" s="774">
        <f>H24</f>
        <v>100</v>
      </c>
      <c r="V24" s="773" t="s">
        <v>17</v>
      </c>
      <c r="W24" s="774">
        <f>J24</f>
        <v>100</v>
      </c>
      <c r="X24" s="1809"/>
      <c r="Y24" s="3498"/>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498"/>
      <c r="Q25" s="1791">
        <f t="shared" si="11"/>
        <v>111</v>
      </c>
      <c r="R25" s="769" t="s">
        <v>17</v>
      </c>
      <c r="S25" s="770">
        <f>F25</f>
        <v>100</v>
      </c>
      <c r="T25" s="769" t="s">
        <v>17</v>
      </c>
      <c r="U25" s="770">
        <f>H25</f>
        <v>100</v>
      </c>
      <c r="V25" s="769" t="s">
        <v>17</v>
      </c>
      <c r="W25" s="770">
        <f>J25</f>
        <v>100</v>
      </c>
      <c r="X25" s="771"/>
      <c r="Y25" s="3498"/>
      <c r="Z25" s="55">
        <f>Q25</f>
        <v>111</v>
      </c>
      <c r="AA25" s="1807">
        <f>D25/F25</f>
        <v>1</v>
      </c>
      <c r="AB25" s="1807">
        <f>D25/H25</f>
        <v>1</v>
      </c>
      <c r="AC25" s="1807">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581" t="s">
        <v>2561</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502"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502"/>
      <c r="Q27" s="775" t="str">
        <f t="shared" si="11"/>
        <v>项目停车位配比</v>
      </c>
      <c r="R27" s="776" t="s">
        <v>17</v>
      </c>
      <c r="S27" s="777">
        <f t="shared" si="12"/>
        <v>100</v>
      </c>
      <c r="T27" s="776" t="s">
        <v>17</v>
      </c>
      <c r="U27" s="777">
        <f t="shared" si="13"/>
        <v>100</v>
      </c>
      <c r="V27" s="776" t="s">
        <v>17</v>
      </c>
      <c r="W27" s="777">
        <f t="shared" si="14"/>
        <v>100</v>
      </c>
      <c r="X27" s="778"/>
      <c r="Y27" s="3502"/>
      <c r="Z27" s="779"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502"/>
      <c r="Q28" s="1806" t="str">
        <f t="shared" si="11"/>
        <v>公共部分装修</v>
      </c>
      <c r="R28" s="773" t="s">
        <v>17</v>
      </c>
      <c r="S28" s="774">
        <f t="shared" si="12"/>
        <v>100</v>
      </c>
      <c r="T28" s="773" t="s">
        <v>17</v>
      </c>
      <c r="U28" s="774">
        <f t="shared" si="13"/>
        <v>100</v>
      </c>
      <c r="V28" s="773" t="s">
        <v>17</v>
      </c>
      <c r="W28" s="774">
        <f t="shared" si="14"/>
        <v>100</v>
      </c>
      <c r="X28" s="1809"/>
      <c r="Y28" s="3502"/>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502"/>
      <c r="Q29" s="1806" t="str">
        <f t="shared" si="11"/>
        <v>成新率</v>
      </c>
      <c r="R29" s="773" t="s">
        <v>17</v>
      </c>
      <c r="S29" s="774" t="e">
        <f t="shared" si="12"/>
        <v>#N/A</v>
      </c>
      <c r="T29" s="773" t="s">
        <v>17</v>
      </c>
      <c r="U29" s="774" t="e">
        <f t="shared" si="13"/>
        <v>#N/A</v>
      </c>
      <c r="V29" s="773" t="s">
        <v>17</v>
      </c>
      <c r="W29" s="774" t="e">
        <f t="shared" si="14"/>
        <v>#N/A</v>
      </c>
      <c r="X29" s="1809"/>
      <c r="Y29" s="3502"/>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502"/>
      <c r="Q30" s="1806" t="str">
        <f t="shared" si="11"/>
        <v>物业等级</v>
      </c>
      <c r="R30" s="773" t="s">
        <v>17</v>
      </c>
      <c r="S30" s="774">
        <f t="shared" si="12"/>
        <v>100</v>
      </c>
      <c r="T30" s="773" t="s">
        <v>17</v>
      </c>
      <c r="U30" s="774">
        <f t="shared" si="13"/>
        <v>100</v>
      </c>
      <c r="V30" s="773" t="s">
        <v>17</v>
      </c>
      <c r="W30" s="774">
        <f t="shared" si="14"/>
        <v>100</v>
      </c>
      <c r="X30" s="1809"/>
      <c r="Y30" s="3502"/>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502"/>
      <c r="Q31" s="1791" t="str">
        <f t="shared" si="11"/>
        <v>停车位面积</v>
      </c>
      <c r="R31" s="769" t="s">
        <v>17</v>
      </c>
      <c r="S31" s="770" t="e">
        <f t="shared" si="12"/>
        <v>#N/A</v>
      </c>
      <c r="T31" s="769" t="s">
        <v>17</v>
      </c>
      <c r="U31" s="770" t="e">
        <f t="shared" si="13"/>
        <v>#N/A</v>
      </c>
      <c r="V31" s="769" t="s">
        <v>17</v>
      </c>
      <c r="W31" s="770" t="e">
        <f t="shared" si="14"/>
        <v>#N/A</v>
      </c>
      <c r="X31" s="771"/>
      <c r="Y31" s="3502"/>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502" t="s">
        <v>2561</v>
      </c>
      <c r="Q32" s="1806" t="str">
        <f t="shared" si="11"/>
        <v>车位类型</v>
      </c>
      <c r="R32" s="773" t="s">
        <v>17</v>
      </c>
      <c r="S32" s="774">
        <f t="shared" si="12"/>
        <v>100</v>
      </c>
      <c r="T32" s="773" t="s">
        <v>17</v>
      </c>
      <c r="U32" s="774">
        <f t="shared" si="13"/>
        <v>100</v>
      </c>
      <c r="V32" s="773" t="s">
        <v>17</v>
      </c>
      <c r="W32" s="774">
        <f t="shared" si="14"/>
        <v>100</v>
      </c>
      <c r="X32" s="1809"/>
      <c r="Y32" s="3502"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502"/>
      <c r="Q33" s="1806" t="str">
        <f t="shared" si="11"/>
        <v>是否直接入户</v>
      </c>
      <c r="R33" s="773" t="s">
        <v>17</v>
      </c>
      <c r="S33" s="774">
        <f t="shared" si="12"/>
        <v>100</v>
      </c>
      <c r="T33" s="773" t="s">
        <v>17</v>
      </c>
      <c r="U33" s="774">
        <f t="shared" si="13"/>
        <v>100</v>
      </c>
      <c r="V33" s="773" t="s">
        <v>17</v>
      </c>
      <c r="W33" s="774">
        <f t="shared" si="14"/>
        <v>100</v>
      </c>
      <c r="X33" s="1809"/>
      <c r="Y33" s="3502"/>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502"/>
      <c r="Q34" s="1806">
        <f t="shared" si="11"/>
        <v>111</v>
      </c>
      <c r="R34" s="773" t="s">
        <v>17</v>
      </c>
      <c r="S34" s="774">
        <f t="shared" si="12"/>
        <v>100</v>
      </c>
      <c r="T34" s="773" t="s">
        <v>17</v>
      </c>
      <c r="U34" s="774">
        <f t="shared" si="13"/>
        <v>100</v>
      </c>
      <c r="V34" s="773" t="s">
        <v>17</v>
      </c>
      <c r="W34" s="774">
        <f t="shared" si="14"/>
        <v>100</v>
      </c>
      <c r="X34" s="1809"/>
      <c r="Y34" s="3502"/>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02"/>
      <c r="Q35" s="775">
        <f t="shared" si="11"/>
        <v>111</v>
      </c>
      <c r="R35" s="776" t="s">
        <v>17</v>
      </c>
      <c r="S35" s="777">
        <f t="shared" si="12"/>
        <v>100</v>
      </c>
      <c r="T35" s="776" t="s">
        <v>17</v>
      </c>
      <c r="U35" s="777">
        <f t="shared" si="13"/>
        <v>100</v>
      </c>
      <c r="V35" s="776" t="s">
        <v>17</v>
      </c>
      <c r="W35" s="777">
        <f t="shared" si="14"/>
        <v>100</v>
      </c>
      <c r="X35" s="778"/>
      <c r="Y35" s="3502"/>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02"/>
      <c r="Q36" s="1806">
        <f t="shared" si="11"/>
        <v>111</v>
      </c>
      <c r="R36" s="773" t="s">
        <v>17</v>
      </c>
      <c r="S36" s="774">
        <f t="shared" si="12"/>
        <v>100</v>
      </c>
      <c r="T36" s="773" t="s">
        <v>17</v>
      </c>
      <c r="U36" s="774">
        <f t="shared" si="13"/>
        <v>100</v>
      </c>
      <c r="V36" s="773" t="s">
        <v>17</v>
      </c>
      <c r="W36" s="774">
        <f t="shared" si="14"/>
        <v>100</v>
      </c>
      <c r="X36" s="1809"/>
      <c r="Y36" s="3502"/>
      <c r="Z36" s="1810">
        <f t="shared" si="15"/>
        <v>111</v>
      </c>
      <c r="AA36" s="1807">
        <f t="shared" si="3"/>
        <v>1</v>
      </c>
      <c r="AB36" s="1807">
        <f t="shared" si="4"/>
        <v>1</v>
      </c>
      <c r="AC36" s="1807">
        <f t="shared" si="5"/>
        <v>1</v>
      </c>
    </row>
    <row r="37" spans="1:29" ht="15">
      <c r="A37" s="479" t="s">
        <v>2716</v>
      </c>
      <c r="B37" s="2692" t="s">
        <v>2717</v>
      </c>
      <c r="C37" s="1403" t="s">
        <v>1</v>
      </c>
      <c r="D37" s="1404"/>
      <c r="E37" s="1405"/>
      <c r="F37" s="1406"/>
      <c r="G37" s="1407"/>
      <c r="H37" s="1408"/>
      <c r="I37" s="1405"/>
      <c r="J37" s="1408"/>
      <c r="K37" s="619"/>
      <c r="L37" s="1145"/>
      <c r="M37" s="1146"/>
      <c r="N37" s="1133"/>
      <c r="O37" s="1146"/>
      <c r="P37" s="3490" t="str">
        <f>A37</f>
        <v>成交单价</v>
      </c>
      <c r="Q37" s="3490"/>
      <c r="R37" s="3491">
        <f>E37</f>
        <v>0</v>
      </c>
      <c r="S37" s="3491"/>
      <c r="T37" s="3491">
        <f>G37</f>
        <v>0</v>
      </c>
      <c r="U37" s="3491"/>
      <c r="V37" s="3491">
        <f>I37</f>
        <v>0</v>
      </c>
      <c r="W37" s="3491"/>
      <c r="X37" s="758"/>
      <c r="Y37" s="780"/>
      <c r="Z37" s="758"/>
      <c r="AA37" s="758"/>
      <c r="AB37" s="758"/>
      <c r="AC37" s="758"/>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45"/>
      <c r="M38" s="1146"/>
      <c r="N38" s="1146"/>
      <c r="O38" s="1146"/>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758"/>
      <c r="Y38" s="758"/>
      <c r="Z38" s="758"/>
      <c r="AA38" s="758"/>
      <c r="AB38" s="758"/>
      <c r="AC38" s="758"/>
    </row>
    <row r="39" spans="1:29" ht="15.75" thickBot="1">
      <c r="A39" s="492" t="s">
        <v>2719</v>
      </c>
      <c r="B39" s="493"/>
      <c r="C39" s="1413" t="e">
        <f>R39</f>
        <v>#DIV/0!</v>
      </c>
      <c r="D39" s="1413"/>
      <c r="E39" s="1413"/>
      <c r="F39" s="1413"/>
      <c r="G39" s="1413"/>
      <c r="H39" s="1413"/>
      <c r="I39" s="1413"/>
      <c r="J39" s="1413"/>
      <c r="K39" s="621"/>
      <c r="L39" s="1145"/>
      <c r="M39" s="1146"/>
      <c r="N39" s="1146"/>
      <c r="O39" s="1146"/>
      <c r="P39" s="3569" t="str">
        <f>A39</f>
        <v>估价对象XX用房的比较价值（楼面单价，元/平方米）</v>
      </c>
      <c r="Q39" s="3570"/>
      <c r="R39" s="3571" t="e">
        <f>IF(F1="售价",ROUND(AVERAGE(R38:V38),0),ROUND(AVERAGE(R38:V38),1))</f>
        <v>#DIV/0!</v>
      </c>
      <c r="S39" s="3571"/>
      <c r="T39" s="3571"/>
      <c r="U39" s="3571"/>
      <c r="V39" s="3571"/>
      <c r="W39" s="357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16"/>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16"/>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16"/>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16"/>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17"/>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17"/>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16"/>
      <c r="Q46" s="1146"/>
      <c r="R46" s="1146"/>
      <c r="S46" s="1146"/>
      <c r="T46" s="1146"/>
      <c r="U46" s="1146"/>
      <c r="V46" s="1146"/>
      <c r="W46" s="1146"/>
      <c r="X46" s="1146"/>
      <c r="Y46" s="1146"/>
      <c r="Z46" s="1146"/>
      <c r="AA46" s="1146"/>
      <c r="AB46" s="1146"/>
      <c r="AC46" s="1146"/>
    </row>
    <row r="47" spans="1:29" ht="21.75" thickBot="1">
      <c r="A47" s="1420" t="s">
        <v>2723</v>
      </c>
      <c r="B47" s="1146"/>
      <c r="C47" s="1161"/>
      <c r="D47" s="1161"/>
      <c r="E47" s="1161"/>
      <c r="F47" s="1421"/>
      <c r="G47" s="1421"/>
      <c r="H47" s="1161"/>
      <c r="I47" s="1161"/>
      <c r="J47" s="1161"/>
      <c r="K47" s="1162"/>
      <c r="L47" s="1163"/>
      <c r="M47" s="1161"/>
      <c r="N47" s="1161"/>
      <c r="O47" s="1161"/>
      <c r="P47" s="1418"/>
      <c r="Q47" s="1419"/>
      <c r="R47" s="1146"/>
      <c r="S47" s="1146"/>
      <c r="T47" s="1146"/>
      <c r="U47" s="1146"/>
      <c r="V47" s="1146"/>
      <c r="W47" s="1146"/>
      <c r="X47" s="1146"/>
      <c r="Y47" s="1146"/>
      <c r="Z47" s="1146"/>
      <c r="AA47" s="1146"/>
      <c r="AB47" s="1146"/>
      <c r="AC47" s="1146"/>
    </row>
    <row r="48" spans="1:29" s="508" customFormat="1" ht="15">
      <c r="A48" s="505" t="s">
        <v>2724</v>
      </c>
      <c r="B48" s="506"/>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53"/>
      <c r="O51" s="1153"/>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53"/>
      <c r="O52" s="1153"/>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54"/>
      <c r="O53" s="1154"/>
      <c r="P53" s="1425"/>
      <c r="Q53" s="1419"/>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25"/>
      <c r="Q54" s="1419"/>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25"/>
      <c r="Q55" s="1419"/>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25"/>
      <c r="Q56" s="1419"/>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25"/>
      <c r="Q57" s="1419"/>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25"/>
      <c r="Q58" s="1419"/>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5"/>
      <c r="O60" s="1155"/>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6"/>
      <c r="O61" s="1156"/>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6"/>
      <c r="O62" s="1156"/>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1"/>
      <c r="Q63" s="1419"/>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25"/>
      <c r="Q64" s="1419"/>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25"/>
      <c r="Q65" s="1419"/>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25"/>
      <c r="Q66" s="1419"/>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78"/>
      <c r="N67" s="1155"/>
      <c r="O67" s="1155"/>
      <c r="P67" s="1425"/>
      <c r="Q67" s="1419"/>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25"/>
      <c r="Q68" s="1419"/>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25"/>
      <c r="Q69" s="1419"/>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25"/>
      <c r="Q70" s="1419"/>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25"/>
      <c r="Q71" s="1419"/>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25"/>
      <c r="Q72" s="1419"/>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5"/>
      <c r="O74" s="1155"/>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53"/>
      <c r="O75" s="1153"/>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5"/>
      <c r="O76" s="1155"/>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6"/>
      <c r="O77" s="1156"/>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6"/>
      <c r="O78" s="1156"/>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54"/>
      <c r="O79" s="1154"/>
      <c r="P79" s="1425"/>
      <c r="Q79" s="1419"/>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25"/>
      <c r="Q80" s="1419"/>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25"/>
      <c r="Q81" s="1419"/>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54"/>
      <c r="O83" s="1154"/>
      <c r="P83" s="1425"/>
      <c r="Q83" s="1419"/>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25"/>
      <c r="Q84" s="1419"/>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25"/>
      <c r="Q85" s="1419"/>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25"/>
      <c r="Q86" s="1419"/>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25"/>
      <c r="Q87" s="1419"/>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25"/>
      <c r="Q88" s="1419"/>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25"/>
      <c r="Q89" s="1419"/>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6"/>
      <c r="O91" s="1156"/>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6"/>
      <c r="O92" s="1156"/>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54"/>
      <c r="O93" s="1154"/>
      <c r="P93" s="1425"/>
      <c r="Q93" s="1419"/>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25"/>
      <c r="Q94" s="1419"/>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25"/>
      <c r="Q95" s="1419"/>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25"/>
      <c r="Q96" s="1419"/>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2"/>
      <c r="Q97" s="1433"/>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25"/>
      <c r="Q98" s="1419"/>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6"/>
      <c r="O100" s="1156"/>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54"/>
      <c r="O101" s="1154"/>
      <c r="P101" s="1425"/>
      <c r="Q101" s="1419"/>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25"/>
      <c r="Q102" s="1419"/>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IF(C2="——",ROUND(C37*D3/10000,0),ROUND(C37*D3/10000,0)-D2)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7" t="s">
        <v>2642</v>
      </c>
      <c r="D4" s="3508"/>
      <c r="E4" s="3509" t="s">
        <v>2643</v>
      </c>
      <c r="F4" s="3510"/>
      <c r="G4" s="3507" t="s">
        <v>2644</v>
      </c>
      <c r="H4" s="3508"/>
      <c r="I4" s="3507" t="s">
        <v>2645</v>
      </c>
      <c r="J4" s="3508"/>
      <c r="K4" s="610" t="s">
        <v>2646</v>
      </c>
      <c r="L4" s="1132"/>
      <c r="M4" s="1133"/>
      <c r="N4" s="1133"/>
      <c r="O4" s="1133"/>
      <c r="P4" s="3573" t="s">
        <v>2647</v>
      </c>
      <c r="Q4" s="3574"/>
      <c r="R4" s="3577" t="s">
        <v>2643</v>
      </c>
      <c r="S4" s="3578"/>
      <c r="T4" s="3577" t="s">
        <v>2644</v>
      </c>
      <c r="U4" s="3578"/>
      <c r="V4" s="3524" t="s">
        <v>2645</v>
      </c>
      <c r="W4" s="3524"/>
      <c r="X4" s="1809"/>
      <c r="Y4" s="3577" t="s">
        <v>2647</v>
      </c>
      <c r="Z4" s="3578"/>
      <c r="AA4" s="3572" t="s">
        <v>2643</v>
      </c>
      <c r="AB4" s="3538" t="s">
        <v>2644</v>
      </c>
      <c r="AC4" s="3572" t="s">
        <v>2645</v>
      </c>
    </row>
    <row r="5" spans="1:29" ht="15">
      <c r="A5" s="404"/>
      <c r="B5" s="405"/>
      <c r="C5" s="3533" t="s">
        <v>2538</v>
      </c>
      <c r="D5" s="3528"/>
      <c r="E5" s="3580" t="s">
        <v>2539</v>
      </c>
      <c r="F5" s="3541"/>
      <c r="G5" s="3533" t="s">
        <v>2540</v>
      </c>
      <c r="H5" s="3528"/>
      <c r="I5" s="3533" t="s">
        <v>2541</v>
      </c>
      <c r="J5" s="3528"/>
      <c r="K5" s="610"/>
      <c r="L5" s="1132"/>
      <c r="M5" s="1133"/>
      <c r="N5" s="1133"/>
      <c r="O5" s="1133"/>
      <c r="P5" s="3575"/>
      <c r="Q5" s="3514"/>
      <c r="R5" s="3519"/>
      <c r="S5" s="3520"/>
      <c r="T5" s="3519"/>
      <c r="U5" s="3520"/>
      <c r="V5" s="3524"/>
      <c r="W5" s="3524"/>
      <c r="X5" s="1809"/>
      <c r="Y5" s="3519"/>
      <c r="Z5" s="3520"/>
      <c r="AA5" s="3538"/>
      <c r="AB5" s="3538"/>
      <c r="AC5" s="3538"/>
    </row>
    <row r="6" spans="1:29" ht="15.75" thickBot="1">
      <c r="A6" s="406"/>
      <c r="B6" s="407"/>
      <c r="C6" s="3534" t="s">
        <v>2542</v>
      </c>
      <c r="D6" s="3526"/>
      <c r="E6" s="3579" t="s">
        <v>2542</v>
      </c>
      <c r="F6" s="3536"/>
      <c r="G6" s="3534" t="s">
        <v>2542</v>
      </c>
      <c r="H6" s="3526"/>
      <c r="I6" s="3534" t="s">
        <v>2542</v>
      </c>
      <c r="J6" s="3526"/>
      <c r="K6" s="610" t="s">
        <v>2543</v>
      </c>
      <c r="L6" s="1132"/>
      <c r="M6" s="1133"/>
      <c r="N6" s="1133"/>
      <c r="O6" s="1133"/>
      <c r="P6" s="3576"/>
      <c r="Q6" s="3516"/>
      <c r="R6" s="3519"/>
      <c r="S6" s="3520"/>
      <c r="T6" s="3521"/>
      <c r="U6" s="3522"/>
      <c r="V6" s="3524"/>
      <c r="W6" s="3524"/>
      <c r="X6" s="1809"/>
      <c r="Y6" s="3521"/>
      <c r="Z6" s="3522"/>
      <c r="AA6" s="3539"/>
      <c r="AB6" s="3539"/>
      <c r="AC6" s="3539"/>
    </row>
    <row r="7" spans="1:29" s="117" customFormat="1" ht="15.75" thickBot="1">
      <c r="A7" s="408" t="s">
        <v>2544</v>
      </c>
      <c r="B7" s="409"/>
      <c r="C7" s="410">
        <f>'数据-取费表'!B2</f>
        <v>43465</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31" t="s">
        <v>2545</v>
      </c>
      <c r="Q7" s="3532"/>
      <c r="R7" s="769" t="s">
        <v>17</v>
      </c>
      <c r="S7" s="770">
        <f t="shared" ref="S7:S14" si="0">F7</f>
        <v>0</v>
      </c>
      <c r="T7" s="769" t="s">
        <v>17</v>
      </c>
      <c r="U7" s="770">
        <f t="shared" ref="U7:U14" si="1">H7</f>
        <v>0</v>
      </c>
      <c r="V7" s="769" t="s">
        <v>17</v>
      </c>
      <c r="W7" s="770">
        <f t="shared" ref="W7:W14" si="2">J7</f>
        <v>0</v>
      </c>
      <c r="X7" s="771"/>
      <c r="Y7" s="3531" t="s">
        <v>2545</v>
      </c>
      <c r="Z7" s="3530"/>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31" t="s">
        <v>2548</v>
      </c>
      <c r="Q8" s="3530"/>
      <c r="R8" s="769" t="s">
        <v>17</v>
      </c>
      <c r="S8" s="770">
        <f t="shared" si="0"/>
        <v>0</v>
      </c>
      <c r="T8" s="769" t="s">
        <v>17</v>
      </c>
      <c r="U8" s="770">
        <f t="shared" si="1"/>
        <v>0</v>
      </c>
      <c r="V8" s="769" t="s">
        <v>17</v>
      </c>
      <c r="W8" s="770">
        <f t="shared" si="2"/>
        <v>0</v>
      </c>
      <c r="X8" s="771"/>
      <c r="Y8" s="3531" t="s">
        <v>2548</v>
      </c>
      <c r="Z8" s="3530"/>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490" t="s">
        <v>2551</v>
      </c>
      <c r="Q9" s="1791" t="str">
        <f t="shared" ref="Q9:Q14" si="6">B9</f>
        <v>用途</v>
      </c>
      <c r="R9" s="769" t="s">
        <v>17</v>
      </c>
      <c r="S9" s="770">
        <f t="shared" si="0"/>
        <v>100</v>
      </c>
      <c r="T9" s="769" t="s">
        <v>17</v>
      </c>
      <c r="U9" s="770">
        <f t="shared" si="1"/>
        <v>100</v>
      </c>
      <c r="V9" s="769" t="s">
        <v>17</v>
      </c>
      <c r="W9" s="770">
        <f t="shared" si="2"/>
        <v>100</v>
      </c>
      <c r="X9" s="771"/>
      <c r="Y9" s="3344"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490"/>
      <c r="Q10" s="1791" t="str">
        <f t="shared" si="6"/>
        <v>土地使用年限（年）</v>
      </c>
      <c r="R10" s="769" t="s">
        <v>17</v>
      </c>
      <c r="S10" s="770">
        <f t="shared" si="0"/>
        <v>100</v>
      </c>
      <c r="T10" s="769" t="s">
        <v>17</v>
      </c>
      <c r="U10" s="770">
        <f t="shared" si="1"/>
        <v>100</v>
      </c>
      <c r="V10" s="769" t="s">
        <v>17</v>
      </c>
      <c r="W10" s="770">
        <f t="shared" si="2"/>
        <v>100</v>
      </c>
      <c r="X10" s="771"/>
      <c r="Y10" s="3344"/>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490"/>
      <c r="Q11" s="1791">
        <f t="shared" si="6"/>
        <v>111</v>
      </c>
      <c r="R11" s="769" t="s">
        <v>17</v>
      </c>
      <c r="S11" s="770">
        <f t="shared" si="0"/>
        <v>100</v>
      </c>
      <c r="T11" s="769" t="s">
        <v>17</v>
      </c>
      <c r="U11" s="770">
        <f t="shared" si="1"/>
        <v>100</v>
      </c>
      <c r="V11" s="769" t="s">
        <v>17</v>
      </c>
      <c r="W11" s="770">
        <f t="shared" si="2"/>
        <v>100</v>
      </c>
      <c r="X11" s="771"/>
      <c r="Y11" s="3344"/>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490"/>
      <c r="Q12" s="1791">
        <f t="shared" si="6"/>
        <v>111</v>
      </c>
      <c r="R12" s="769" t="s">
        <v>17</v>
      </c>
      <c r="S12" s="770">
        <f t="shared" si="0"/>
        <v>100</v>
      </c>
      <c r="T12" s="769" t="s">
        <v>17</v>
      </c>
      <c r="U12" s="770">
        <f t="shared" si="1"/>
        <v>100</v>
      </c>
      <c r="V12" s="769" t="s">
        <v>17</v>
      </c>
      <c r="W12" s="770">
        <f t="shared" si="2"/>
        <v>100</v>
      </c>
      <c r="X12" s="771"/>
      <c r="Y12" s="3344"/>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490"/>
      <c r="Q13" s="1791">
        <f t="shared" si="6"/>
        <v>111</v>
      </c>
      <c r="R13" s="769" t="s">
        <v>17</v>
      </c>
      <c r="S13" s="770">
        <f t="shared" si="0"/>
        <v>100</v>
      </c>
      <c r="T13" s="769" t="s">
        <v>17</v>
      </c>
      <c r="U13" s="770">
        <f t="shared" si="1"/>
        <v>100</v>
      </c>
      <c r="V13" s="769" t="s">
        <v>17</v>
      </c>
      <c r="W13" s="770">
        <f t="shared" si="2"/>
        <v>100</v>
      </c>
      <c r="X13" s="771"/>
      <c r="Y13" s="3344"/>
      <c r="Z13" s="55">
        <f t="shared" si="7"/>
        <v>111</v>
      </c>
      <c r="AA13" s="772">
        <f t="shared" si="3"/>
        <v>1</v>
      </c>
      <c r="AB13" s="772">
        <f t="shared" si="4"/>
        <v>1</v>
      </c>
      <c r="AC13" s="772">
        <f t="shared" si="5"/>
        <v>1</v>
      </c>
    </row>
    <row r="14" spans="1:29" ht="128.25">
      <c r="A14" s="440" t="s">
        <v>2555</v>
      </c>
      <c r="B14" s="6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497" t="s">
        <v>2556</v>
      </c>
      <c r="Q14" s="1806" t="str">
        <f t="shared" si="6"/>
        <v>交通便捷度</v>
      </c>
      <c r="R14" s="773" t="s">
        <v>17</v>
      </c>
      <c r="S14" s="774">
        <f t="shared" si="0"/>
        <v>100</v>
      </c>
      <c r="T14" s="773" t="s">
        <v>17</v>
      </c>
      <c r="U14" s="774">
        <f t="shared" si="1"/>
        <v>100</v>
      </c>
      <c r="V14" s="773" t="s">
        <v>17</v>
      </c>
      <c r="W14" s="774">
        <f t="shared" si="2"/>
        <v>100</v>
      </c>
      <c r="X14" s="1809"/>
      <c r="Y14" s="3497"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2"/>
      <c r="M15" s="1133"/>
      <c r="N15" s="1133"/>
      <c r="O15" s="1141"/>
      <c r="P15" s="3498"/>
      <c r="Q15" s="1806"/>
      <c r="R15" s="773"/>
      <c r="S15" s="774"/>
      <c r="T15" s="773"/>
      <c r="U15" s="774"/>
      <c r="V15" s="773"/>
      <c r="W15" s="774"/>
      <c r="X15" s="1809"/>
      <c r="Y15" s="3498"/>
      <c r="Z15" s="1810"/>
      <c r="AA15" s="1807">
        <v>1</v>
      </c>
      <c r="AB15" s="1807">
        <v>1</v>
      </c>
      <c r="AC15" s="1807">
        <v>1</v>
      </c>
    </row>
    <row r="16" spans="1:29" ht="213.75">
      <c r="A16" s="428"/>
      <c r="B16" s="45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498"/>
      <c r="Q16" s="1806" t="str">
        <f>B16</f>
        <v>公共配套设施</v>
      </c>
      <c r="R16" s="773" t="s">
        <v>17</v>
      </c>
      <c r="S16" s="774">
        <f>F16</f>
        <v>100</v>
      </c>
      <c r="T16" s="773" t="s">
        <v>17</v>
      </c>
      <c r="U16" s="774">
        <f>H16</f>
        <v>100</v>
      </c>
      <c r="V16" s="773" t="s">
        <v>17</v>
      </c>
      <c r="W16" s="774">
        <f>J16</f>
        <v>100</v>
      </c>
      <c r="X16" s="1809"/>
      <c r="Y16" s="3498"/>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42"/>
      <c r="M17" s="1133"/>
      <c r="N17" s="1133"/>
      <c r="O17" s="1141"/>
      <c r="P17" s="3498"/>
      <c r="Q17" s="1806"/>
      <c r="R17" s="773"/>
      <c r="S17" s="774"/>
      <c r="T17" s="773"/>
      <c r="U17" s="774"/>
      <c r="V17" s="773"/>
      <c r="W17" s="774"/>
      <c r="X17" s="1809"/>
      <c r="Y17" s="3498"/>
      <c r="Z17" s="1810"/>
      <c r="AA17" s="1807">
        <v>1</v>
      </c>
      <c r="AB17" s="1807">
        <v>1</v>
      </c>
      <c r="AC17" s="1807">
        <v>1</v>
      </c>
    </row>
    <row r="18" spans="1:29" ht="42.75">
      <c r="A18" s="428"/>
      <c r="B18" s="1380" t="s">
        <v>2685</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498"/>
      <c r="Q18" s="1806" t="str">
        <f>B18</f>
        <v>基础设施水平</v>
      </c>
      <c r="R18" s="773" t="s">
        <v>17</v>
      </c>
      <c r="S18" s="774">
        <f>F18</f>
        <v>100</v>
      </c>
      <c r="T18" s="773" t="s">
        <v>17</v>
      </c>
      <c r="U18" s="774">
        <f>H18</f>
        <v>100</v>
      </c>
      <c r="V18" s="773" t="s">
        <v>17</v>
      </c>
      <c r="W18" s="774">
        <f>J18</f>
        <v>100</v>
      </c>
      <c r="X18" s="1809"/>
      <c r="Y18" s="3498"/>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42"/>
      <c r="M19" s="1133"/>
      <c r="N19" s="1133"/>
      <c r="O19" s="1141"/>
      <c r="P19" s="3498"/>
      <c r="Q19" s="1806"/>
      <c r="R19" s="773"/>
      <c r="S19" s="774"/>
      <c r="T19" s="773"/>
      <c r="U19" s="774"/>
      <c r="V19" s="773"/>
      <c r="W19" s="774"/>
      <c r="X19" s="1809"/>
      <c r="Y19" s="3498"/>
      <c r="Z19" s="1810"/>
      <c r="AA19" s="1807">
        <v>1</v>
      </c>
      <c r="AB19" s="1807">
        <v>1</v>
      </c>
      <c r="AC19" s="1807">
        <v>1</v>
      </c>
    </row>
    <row r="20" spans="1:29" ht="85.5">
      <c r="A20" s="428"/>
      <c r="B20" s="451" t="s">
        <v>2706</v>
      </c>
      <c r="C20" s="2604" t="str">
        <f>IF(B1="工业",估价对象房地状况!G7,估价对象房地状况!C9)</f>
        <v>区域自然环境：秀水湖公园；人文环境：北京邮电大学（洪福校区）；综合评价环境状况较好。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498"/>
      <c r="Q20" s="1806" t="str">
        <f>B20</f>
        <v>自然及人文环境</v>
      </c>
      <c r="R20" s="773" t="s">
        <v>17</v>
      </c>
      <c r="S20" s="774">
        <f>F20</f>
        <v>100</v>
      </c>
      <c r="T20" s="773" t="s">
        <v>17</v>
      </c>
      <c r="U20" s="774">
        <f>H20</f>
        <v>100</v>
      </c>
      <c r="V20" s="773" t="s">
        <v>17</v>
      </c>
      <c r="W20" s="774">
        <f>J20</f>
        <v>100</v>
      </c>
      <c r="X20" s="1809"/>
      <c r="Y20" s="3498"/>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2"/>
      <c r="M21" s="1133"/>
      <c r="N21" s="1133"/>
      <c r="O21" s="1141"/>
      <c r="P21" s="3498"/>
      <c r="Q21" s="1806"/>
      <c r="R21" s="773"/>
      <c r="S21" s="774"/>
      <c r="T21" s="773"/>
      <c r="U21" s="774"/>
      <c r="V21" s="773"/>
      <c r="W21" s="774"/>
      <c r="X21" s="1809"/>
      <c r="Y21" s="3498"/>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498"/>
      <c r="Q22" s="1806" t="str">
        <f>B22</f>
        <v>楼层</v>
      </c>
      <c r="R22" s="773" t="s">
        <v>17</v>
      </c>
      <c r="S22" s="774">
        <f>F22</f>
        <v>100</v>
      </c>
      <c r="T22" s="773" t="s">
        <v>17</v>
      </c>
      <c r="U22" s="774">
        <f>H22</f>
        <v>100</v>
      </c>
      <c r="V22" s="773" t="s">
        <v>17</v>
      </c>
      <c r="W22" s="774">
        <f>J22</f>
        <v>100</v>
      </c>
      <c r="X22" s="1809"/>
      <c r="Y22" s="3498"/>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498"/>
      <c r="Q23" s="1806">
        <f>B23</f>
        <v>111</v>
      </c>
      <c r="R23" s="773" t="s">
        <v>17</v>
      </c>
      <c r="S23" s="774">
        <f>F23</f>
        <v>100</v>
      </c>
      <c r="T23" s="773" t="s">
        <v>17</v>
      </c>
      <c r="U23" s="774">
        <f>H23</f>
        <v>100</v>
      </c>
      <c r="V23" s="773" t="s">
        <v>17</v>
      </c>
      <c r="W23" s="774">
        <f>J23</f>
        <v>100</v>
      </c>
      <c r="X23" s="1809"/>
      <c r="Y23" s="3498"/>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498"/>
      <c r="Q24" s="1806">
        <f t="shared" ref="Q24:Q34" si="11">B24</f>
        <v>111</v>
      </c>
      <c r="R24" s="773" t="s">
        <v>17</v>
      </c>
      <c r="S24" s="774">
        <f>F24</f>
        <v>100</v>
      </c>
      <c r="T24" s="773" t="s">
        <v>17</v>
      </c>
      <c r="U24" s="774">
        <f>H24</f>
        <v>100</v>
      </c>
      <c r="V24" s="773" t="s">
        <v>17</v>
      </c>
      <c r="W24" s="774">
        <f>J24</f>
        <v>100</v>
      </c>
      <c r="X24" s="1809"/>
      <c r="Y24" s="3498"/>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498"/>
      <c r="Q25" s="1791">
        <f t="shared" si="11"/>
        <v>111</v>
      </c>
      <c r="R25" s="769" t="s">
        <v>17</v>
      </c>
      <c r="S25" s="770">
        <f>F25</f>
        <v>100</v>
      </c>
      <c r="T25" s="769" t="s">
        <v>17</v>
      </c>
      <c r="U25" s="770">
        <f>H25</f>
        <v>100</v>
      </c>
      <c r="V25" s="769" t="s">
        <v>17</v>
      </c>
      <c r="W25" s="770">
        <f>J25</f>
        <v>100</v>
      </c>
      <c r="X25" s="771"/>
      <c r="Y25" s="3498"/>
      <c r="Z25" s="55">
        <f>Q25</f>
        <v>111</v>
      </c>
      <c r="AA25" s="1807">
        <f>D25/F25</f>
        <v>1</v>
      </c>
      <c r="AB25" s="1807">
        <f>D25/H25</f>
        <v>1</v>
      </c>
      <c r="AC25" s="1807">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81" t="s">
        <v>2561</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502"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02"/>
      <c r="Q27" s="775" t="str">
        <f t="shared" si="11"/>
        <v>成新率</v>
      </c>
      <c r="R27" s="776" t="s">
        <v>17</v>
      </c>
      <c r="S27" s="777" t="e">
        <f t="shared" si="12"/>
        <v>#N/A</v>
      </c>
      <c r="T27" s="776" t="s">
        <v>17</v>
      </c>
      <c r="U27" s="777" t="e">
        <f t="shared" si="13"/>
        <v>#N/A</v>
      </c>
      <c r="V27" s="776" t="s">
        <v>17</v>
      </c>
      <c r="W27" s="777" t="e">
        <f t="shared" si="14"/>
        <v>#N/A</v>
      </c>
      <c r="X27" s="778"/>
      <c r="Y27" s="3502"/>
      <c r="Z27" s="779"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02"/>
      <c r="Q28" s="1806" t="str">
        <f t="shared" si="11"/>
        <v>物业等级</v>
      </c>
      <c r="R28" s="773" t="s">
        <v>17</v>
      </c>
      <c r="S28" s="774">
        <f t="shared" si="12"/>
        <v>100</v>
      </c>
      <c r="T28" s="773" t="s">
        <v>17</v>
      </c>
      <c r="U28" s="774">
        <f t="shared" si="13"/>
        <v>100</v>
      </c>
      <c r="V28" s="773" t="s">
        <v>17</v>
      </c>
      <c r="W28" s="774">
        <f t="shared" si="14"/>
        <v>100</v>
      </c>
      <c r="X28" s="1809"/>
      <c r="Y28" s="3502"/>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02"/>
      <c r="Q29" s="1806" t="str">
        <f t="shared" si="11"/>
        <v>有无电梯</v>
      </c>
      <c r="R29" s="773" t="s">
        <v>17</v>
      </c>
      <c r="S29" s="774">
        <f t="shared" si="12"/>
        <v>100</v>
      </c>
      <c r="T29" s="773" t="s">
        <v>17</v>
      </c>
      <c r="U29" s="774">
        <f t="shared" si="13"/>
        <v>100</v>
      </c>
      <c r="V29" s="773" t="s">
        <v>17</v>
      </c>
      <c r="W29" s="774">
        <f t="shared" si="14"/>
        <v>100</v>
      </c>
      <c r="X29" s="1809"/>
      <c r="Y29" s="3502"/>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02"/>
      <c r="Q30" s="1806" t="str">
        <f t="shared" si="11"/>
        <v>建筑面积</v>
      </c>
      <c r="R30" s="773" t="s">
        <v>17</v>
      </c>
      <c r="S30" s="774" t="e">
        <f t="shared" si="12"/>
        <v>#N/A</v>
      </c>
      <c r="T30" s="773" t="s">
        <v>17</v>
      </c>
      <c r="U30" s="774" t="e">
        <f t="shared" si="13"/>
        <v>#N/A</v>
      </c>
      <c r="V30" s="773" t="s">
        <v>17</v>
      </c>
      <c r="W30" s="774" t="e">
        <f t="shared" si="14"/>
        <v>#N/A</v>
      </c>
      <c r="X30" s="1809"/>
      <c r="Y30" s="3502"/>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02"/>
      <c r="Q31" s="1791" t="str">
        <f t="shared" si="11"/>
        <v>是否封闭</v>
      </c>
      <c r="R31" s="769" t="s">
        <v>17</v>
      </c>
      <c r="S31" s="770">
        <f t="shared" si="12"/>
        <v>100</v>
      </c>
      <c r="T31" s="769" t="s">
        <v>17</v>
      </c>
      <c r="U31" s="770">
        <f t="shared" si="13"/>
        <v>100</v>
      </c>
      <c r="V31" s="769" t="s">
        <v>17</v>
      </c>
      <c r="W31" s="770">
        <f t="shared" si="14"/>
        <v>100</v>
      </c>
      <c r="X31" s="771"/>
      <c r="Y31" s="3502"/>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02" t="s">
        <v>2561</v>
      </c>
      <c r="Q32" s="1806">
        <f t="shared" si="11"/>
        <v>111</v>
      </c>
      <c r="R32" s="773" t="s">
        <v>17</v>
      </c>
      <c r="S32" s="774">
        <f t="shared" si="12"/>
        <v>100</v>
      </c>
      <c r="T32" s="773" t="s">
        <v>17</v>
      </c>
      <c r="U32" s="774">
        <f t="shared" si="13"/>
        <v>100</v>
      </c>
      <c r="V32" s="773" t="s">
        <v>17</v>
      </c>
      <c r="W32" s="774">
        <f t="shared" si="14"/>
        <v>100</v>
      </c>
      <c r="X32" s="1809"/>
      <c r="Y32" s="3502" t="s">
        <v>2561</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02"/>
      <c r="Q33" s="1806">
        <f t="shared" si="11"/>
        <v>111</v>
      </c>
      <c r="R33" s="773" t="s">
        <v>17</v>
      </c>
      <c r="S33" s="774">
        <f t="shared" si="12"/>
        <v>100</v>
      </c>
      <c r="T33" s="773" t="s">
        <v>17</v>
      </c>
      <c r="U33" s="774">
        <f t="shared" si="13"/>
        <v>100</v>
      </c>
      <c r="V33" s="773" t="s">
        <v>17</v>
      </c>
      <c r="W33" s="774">
        <f t="shared" si="14"/>
        <v>100</v>
      </c>
      <c r="X33" s="1809"/>
      <c r="Y33" s="3502"/>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02"/>
      <c r="Q34" s="1806">
        <f t="shared" si="11"/>
        <v>111</v>
      </c>
      <c r="R34" s="773" t="s">
        <v>17</v>
      </c>
      <c r="S34" s="774">
        <f t="shared" si="12"/>
        <v>100</v>
      </c>
      <c r="T34" s="773" t="s">
        <v>17</v>
      </c>
      <c r="U34" s="774">
        <f t="shared" si="13"/>
        <v>100</v>
      </c>
      <c r="V34" s="773" t="s">
        <v>17</v>
      </c>
      <c r="W34" s="774">
        <f t="shared" si="14"/>
        <v>100</v>
      </c>
      <c r="X34" s="1809"/>
      <c r="Y34" s="3502"/>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2"/>
      <c r="L35" s="1145"/>
      <c r="M35" s="1146"/>
      <c r="N35" s="1133"/>
      <c r="O35" s="1146"/>
      <c r="P35" s="3490" t="str">
        <f>A35</f>
        <v>成交单价（元/平方米）</v>
      </c>
      <c r="Q35" s="3490"/>
      <c r="R35" s="3491">
        <f>E35</f>
        <v>0</v>
      </c>
      <c r="S35" s="3491"/>
      <c r="T35" s="3491">
        <f>G35</f>
        <v>0</v>
      </c>
      <c r="U35" s="3491"/>
      <c r="V35" s="3491">
        <f>I35</f>
        <v>0</v>
      </c>
      <c r="W35" s="3491"/>
      <c r="X35" s="758"/>
      <c r="Y35" s="780"/>
      <c r="Z35" s="758"/>
      <c r="AA35" s="758"/>
      <c r="AB35" s="758"/>
      <c r="AC35" s="758"/>
    </row>
    <row r="36" spans="1:29" ht="15.75" thickBot="1">
      <c r="A36" s="486" t="s">
        <v>2665</v>
      </c>
      <c r="B36" s="487"/>
      <c r="C36" s="1409" t="e">
        <f>R37</f>
        <v>#DIV/0!</v>
      </c>
      <c r="D36" s="1410"/>
      <c r="E36" s="1411" t="e">
        <f>R36</f>
        <v>#DIV/0!</v>
      </c>
      <c r="F36" s="1411"/>
      <c r="G36" s="1409" t="e">
        <f>T36</f>
        <v>#DIV/0!</v>
      </c>
      <c r="H36" s="1410"/>
      <c r="I36" s="1411" t="e">
        <f>V36</f>
        <v>#DIV/0!</v>
      </c>
      <c r="J36" s="1410"/>
      <c r="K36" s="783"/>
      <c r="L36" s="1145"/>
      <c r="M36" s="1146"/>
      <c r="N36" s="1133"/>
      <c r="O36" s="1146"/>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758"/>
      <c r="Y36" s="758"/>
      <c r="Z36" s="758"/>
      <c r="AA36" s="758"/>
      <c r="AB36" s="758"/>
      <c r="AC36" s="758"/>
    </row>
    <row r="37" spans="1:29" ht="15.75" thickBot="1">
      <c r="A37" s="492" t="s">
        <v>2666</v>
      </c>
      <c r="B37" s="493"/>
      <c r="C37" s="1413" t="e">
        <f>R37</f>
        <v>#DIV/0!</v>
      </c>
      <c r="D37" s="1413"/>
      <c r="E37" s="1413"/>
      <c r="F37" s="1413"/>
      <c r="G37" s="1413"/>
      <c r="H37" s="1413"/>
      <c r="I37" s="1413"/>
      <c r="J37" s="1413"/>
      <c r="K37" s="784"/>
      <c r="L37" s="1145"/>
      <c r="M37" s="1146"/>
      <c r="N37" s="1146"/>
      <c r="O37" s="1146"/>
      <c r="P37" s="3569" t="str">
        <f>A37</f>
        <v>估价对象XX用房的比较价值（楼面单价，元/平方米）</v>
      </c>
      <c r="Q37" s="3570"/>
      <c r="R37" s="3571" t="e">
        <f>IF(F1="售价",ROUND(AVERAGE(R36:V36),0),ROUND(AVERAGE(R36:V36),1))</f>
        <v>#DIV/0!</v>
      </c>
      <c r="S37" s="3571"/>
      <c r="T37" s="3571"/>
      <c r="U37" s="3571"/>
      <c r="V37" s="3571"/>
      <c r="W37" s="357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507" t="s">
        <v>2642</v>
      </c>
      <c r="D4" s="3508"/>
      <c r="E4" s="3509" t="s">
        <v>2643</v>
      </c>
      <c r="F4" s="3510"/>
      <c r="G4" s="3507" t="s">
        <v>2644</v>
      </c>
      <c r="H4" s="3508"/>
      <c r="I4" s="3507" t="s">
        <v>2645</v>
      </c>
      <c r="J4" s="3508"/>
      <c r="K4" s="610" t="s">
        <v>2646</v>
      </c>
      <c r="L4" s="1132"/>
      <c r="M4" s="1133"/>
      <c r="N4" s="1133"/>
      <c r="O4" s="1133"/>
      <c r="P4" s="3573" t="s">
        <v>2647</v>
      </c>
      <c r="Q4" s="3574"/>
      <c r="R4" s="3577" t="s">
        <v>2643</v>
      </c>
      <c r="S4" s="3578"/>
      <c r="T4" s="3577" t="s">
        <v>2644</v>
      </c>
      <c r="U4" s="3578"/>
      <c r="V4" s="3524" t="s">
        <v>2645</v>
      </c>
      <c r="W4" s="3524"/>
      <c r="X4" s="1809"/>
      <c r="Y4" s="3577" t="s">
        <v>2647</v>
      </c>
      <c r="Z4" s="3578"/>
      <c r="AA4" s="3572" t="s">
        <v>2643</v>
      </c>
      <c r="AB4" s="3538" t="s">
        <v>2644</v>
      </c>
      <c r="AC4" s="3572" t="s">
        <v>2645</v>
      </c>
    </row>
    <row r="5" spans="1:30" ht="15">
      <c r="A5" s="404"/>
      <c r="B5" s="405"/>
      <c r="C5" s="3533" t="s">
        <v>2538</v>
      </c>
      <c r="D5" s="3528"/>
      <c r="E5" s="3580" t="s">
        <v>2539</v>
      </c>
      <c r="F5" s="3541"/>
      <c r="G5" s="3533" t="s">
        <v>2540</v>
      </c>
      <c r="H5" s="3528"/>
      <c r="I5" s="3533" t="s">
        <v>2541</v>
      </c>
      <c r="J5" s="3528"/>
      <c r="K5" s="610"/>
      <c r="L5" s="1132"/>
      <c r="M5" s="1133"/>
      <c r="N5" s="1133"/>
      <c r="O5" s="1133"/>
      <c r="P5" s="3575"/>
      <c r="Q5" s="3514"/>
      <c r="R5" s="3519"/>
      <c r="S5" s="3520"/>
      <c r="T5" s="3519"/>
      <c r="U5" s="3520"/>
      <c r="V5" s="3524"/>
      <c r="W5" s="3524"/>
      <c r="X5" s="1809"/>
      <c r="Y5" s="3519"/>
      <c r="Z5" s="3520"/>
      <c r="AA5" s="3538"/>
      <c r="AB5" s="3538"/>
      <c r="AC5" s="3538"/>
    </row>
    <row r="6" spans="1:30" ht="15.75" thickBot="1">
      <c r="A6" s="406"/>
      <c r="B6" s="407"/>
      <c r="C6" s="3534" t="s">
        <v>2542</v>
      </c>
      <c r="D6" s="3526"/>
      <c r="E6" s="3579" t="s">
        <v>2542</v>
      </c>
      <c r="F6" s="3536"/>
      <c r="G6" s="3534" t="s">
        <v>2542</v>
      </c>
      <c r="H6" s="3526"/>
      <c r="I6" s="3534" t="s">
        <v>2542</v>
      </c>
      <c r="J6" s="3526"/>
      <c r="K6" s="610" t="s">
        <v>2543</v>
      </c>
      <c r="L6" s="1132"/>
      <c r="M6" s="1133"/>
      <c r="N6" s="1133"/>
      <c r="O6" s="1133"/>
      <c r="P6" s="3576"/>
      <c r="Q6" s="3516"/>
      <c r="R6" s="3519"/>
      <c r="S6" s="3520"/>
      <c r="T6" s="3521"/>
      <c r="U6" s="3522"/>
      <c r="V6" s="3524"/>
      <c r="W6" s="3524"/>
      <c r="X6" s="1809"/>
      <c r="Y6" s="3521"/>
      <c r="Z6" s="3522"/>
      <c r="AA6" s="3539"/>
      <c r="AB6" s="3539"/>
      <c r="AC6" s="3539"/>
    </row>
    <row r="7" spans="1:30" s="117" customFormat="1" ht="15.75" thickBot="1">
      <c r="A7" s="408" t="s">
        <v>2544</v>
      </c>
      <c r="B7" s="409"/>
      <c r="C7" s="410">
        <f>'数据-取费表'!B2</f>
        <v>43465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531" t="s">
        <v>2545</v>
      </c>
      <c r="Q7" s="3532"/>
      <c r="R7" s="769" t="s">
        <v>17</v>
      </c>
      <c r="S7" s="770">
        <f t="shared" ref="S7:S15" si="0">F7</f>
        <v>0</v>
      </c>
      <c r="T7" s="769" t="s">
        <v>17</v>
      </c>
      <c r="U7" s="770">
        <f t="shared" ref="U7:U15" si="1">H7</f>
        <v>0</v>
      </c>
      <c r="V7" s="769" t="s">
        <v>17</v>
      </c>
      <c r="W7" s="770">
        <f t="shared" ref="W7:W15" si="2">J7</f>
        <v>0</v>
      </c>
      <c r="X7" s="771"/>
      <c r="Y7" s="3531" t="s">
        <v>2545</v>
      </c>
      <c r="Z7" s="3530"/>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531" t="s">
        <v>2548</v>
      </c>
      <c r="Q8" s="3530"/>
      <c r="R8" s="769" t="s">
        <v>17</v>
      </c>
      <c r="S8" s="770">
        <f t="shared" si="0"/>
        <v>0</v>
      </c>
      <c r="T8" s="769" t="s">
        <v>17</v>
      </c>
      <c r="U8" s="770">
        <f t="shared" si="1"/>
        <v>0</v>
      </c>
      <c r="V8" s="769" t="s">
        <v>17</v>
      </c>
      <c r="W8" s="770">
        <f t="shared" si="2"/>
        <v>0</v>
      </c>
      <c r="X8" s="771"/>
      <c r="Y8" s="3531" t="s">
        <v>2548</v>
      </c>
      <c r="Z8" s="3530"/>
      <c r="AA8" s="772" t="e">
        <f t="shared" ref="AA8:AA45" si="3">D8/F8</f>
        <v>#DIV/0!</v>
      </c>
      <c r="AB8" s="772" t="e">
        <f t="shared" ref="AB8:AB45" si="4">D8/H8</f>
        <v>#DIV/0!</v>
      </c>
      <c r="AC8" s="772"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490" t="s">
        <v>2551</v>
      </c>
      <c r="Q9" s="1791" t="str">
        <f t="shared" ref="Q9:Q15" si="6">B9</f>
        <v>用途</v>
      </c>
      <c r="R9" s="769" t="s">
        <v>17</v>
      </c>
      <c r="S9" s="770">
        <f t="shared" si="0"/>
        <v>100</v>
      </c>
      <c r="T9" s="769" t="s">
        <v>17</v>
      </c>
      <c r="U9" s="770">
        <f t="shared" si="1"/>
        <v>100</v>
      </c>
      <c r="V9" s="769" t="s">
        <v>17</v>
      </c>
      <c r="W9" s="770">
        <f t="shared" si="2"/>
        <v>100</v>
      </c>
      <c r="X9" s="771"/>
      <c r="Y9" s="3344"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490"/>
      <c r="Q10" s="1791" t="str">
        <f t="shared" si="6"/>
        <v>土地使用年限（年）</v>
      </c>
      <c r="R10" s="769" t="s">
        <v>17</v>
      </c>
      <c r="S10" s="770">
        <f t="shared" si="0"/>
        <v>104</v>
      </c>
      <c r="T10" s="769" t="s">
        <v>17</v>
      </c>
      <c r="U10" s="770">
        <f t="shared" si="1"/>
        <v>104</v>
      </c>
      <c r="V10" s="769" t="s">
        <v>17</v>
      </c>
      <c r="W10" s="770">
        <f t="shared" si="2"/>
        <v>104</v>
      </c>
      <c r="X10" s="771"/>
      <c r="Y10" s="3344"/>
      <c r="Z10" s="55" t="str">
        <f t="shared" si="7"/>
        <v>土地使用年限（年）</v>
      </c>
      <c r="AA10" s="772">
        <f t="shared" si="3"/>
        <v>0.96153846153846156</v>
      </c>
      <c r="AB10" s="772">
        <f t="shared" si="4"/>
        <v>0.96153846153846156</v>
      </c>
      <c r="AC10" s="772">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490"/>
      <c r="Q11" s="1791" t="str">
        <f t="shared" si="6"/>
        <v>容积率</v>
      </c>
      <c r="R11" s="769" t="s">
        <v>17</v>
      </c>
      <c r="S11" s="770" t="e">
        <f t="shared" si="0"/>
        <v>#N/A</v>
      </c>
      <c r="T11" s="769" t="s">
        <v>17</v>
      </c>
      <c r="U11" s="770" t="e">
        <f t="shared" si="1"/>
        <v>#N/A</v>
      </c>
      <c r="V11" s="769" t="s">
        <v>17</v>
      </c>
      <c r="W11" s="770" t="e">
        <f t="shared" si="2"/>
        <v>#N/A</v>
      </c>
      <c r="X11" s="771"/>
      <c r="Y11" s="3344"/>
      <c r="Z11" s="55" t="str">
        <f t="shared" si="7"/>
        <v>容积率</v>
      </c>
      <c r="AA11" s="772" t="e">
        <f t="shared" si="3"/>
        <v>#N/A</v>
      </c>
      <c r="AB11" s="772" t="e">
        <f t="shared" si="4"/>
        <v>#N/A</v>
      </c>
      <c r="AC11" s="772"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490"/>
      <c r="Q12" s="1791" t="str">
        <f t="shared" si="6"/>
        <v>配建</v>
      </c>
      <c r="R12" s="769" t="s">
        <v>17</v>
      </c>
      <c r="S12" s="770">
        <f t="shared" si="0"/>
        <v>100</v>
      </c>
      <c r="T12" s="769" t="s">
        <v>17</v>
      </c>
      <c r="U12" s="770">
        <f t="shared" si="1"/>
        <v>100</v>
      </c>
      <c r="V12" s="769" t="s">
        <v>17</v>
      </c>
      <c r="W12" s="770">
        <f t="shared" si="2"/>
        <v>100</v>
      </c>
      <c r="X12" s="771"/>
      <c r="Y12" s="3344"/>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490"/>
      <c r="Q13" s="1791">
        <f t="shared" si="6"/>
        <v>111</v>
      </c>
      <c r="R13" s="769" t="s">
        <v>17</v>
      </c>
      <c r="S13" s="770">
        <f t="shared" si="0"/>
        <v>100</v>
      </c>
      <c r="T13" s="769" t="s">
        <v>17</v>
      </c>
      <c r="U13" s="770">
        <f t="shared" si="1"/>
        <v>100</v>
      </c>
      <c r="V13" s="769" t="s">
        <v>17</v>
      </c>
      <c r="W13" s="770">
        <f t="shared" si="2"/>
        <v>100</v>
      </c>
      <c r="X13" s="771"/>
      <c r="Y13" s="3344"/>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490"/>
      <c r="Q14" s="1791">
        <f t="shared" si="6"/>
        <v>111</v>
      </c>
      <c r="R14" s="769" t="s">
        <v>17</v>
      </c>
      <c r="S14" s="770">
        <f t="shared" si="0"/>
        <v>100</v>
      </c>
      <c r="T14" s="769" t="s">
        <v>17</v>
      </c>
      <c r="U14" s="770">
        <f t="shared" si="1"/>
        <v>100</v>
      </c>
      <c r="V14" s="769" t="s">
        <v>17</v>
      </c>
      <c r="W14" s="770">
        <f t="shared" si="2"/>
        <v>100</v>
      </c>
      <c r="X14" s="771"/>
      <c r="Y14" s="3344"/>
      <c r="Z14" s="55">
        <f t="shared" si="7"/>
        <v>111</v>
      </c>
      <c r="AA14" s="772">
        <f>D14/F14</f>
        <v>1</v>
      </c>
      <c r="AB14" s="772">
        <f>D14/H14</f>
        <v>1</v>
      </c>
      <c r="AC14" s="772">
        <f>D14/J14</f>
        <v>1</v>
      </c>
    </row>
    <row r="15" spans="1:30" ht="15">
      <c r="A15" s="440" t="s">
        <v>2555</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497" t="s">
        <v>2556</v>
      </c>
      <c r="Q15" s="1806" t="str">
        <f t="shared" si="6"/>
        <v>居住社区成熟度</v>
      </c>
      <c r="R15" s="773" t="s">
        <v>17</v>
      </c>
      <c r="S15" s="774">
        <f t="shared" si="0"/>
        <v>100</v>
      </c>
      <c r="T15" s="773" t="s">
        <v>17</v>
      </c>
      <c r="U15" s="774">
        <f t="shared" si="1"/>
        <v>100</v>
      </c>
      <c r="V15" s="773" t="s">
        <v>17</v>
      </c>
      <c r="W15" s="774">
        <f t="shared" si="2"/>
        <v>100</v>
      </c>
      <c r="X15" s="1809"/>
      <c r="Y15" s="3497" t="s">
        <v>2556</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42"/>
      <c r="M16" s="1133"/>
      <c r="N16" s="1133"/>
      <c r="O16" s="1141"/>
      <c r="P16" s="3498"/>
      <c r="Q16" s="1806"/>
      <c r="R16" s="773"/>
      <c r="S16" s="774"/>
      <c r="T16" s="773"/>
      <c r="U16" s="774"/>
      <c r="V16" s="773"/>
      <c r="W16" s="774"/>
      <c r="X16" s="1809"/>
      <c r="Y16" s="3498"/>
      <c r="Z16" s="1810"/>
      <c r="AA16" s="1807">
        <v>1</v>
      </c>
      <c r="AB16" s="1807">
        <v>1</v>
      </c>
      <c r="AC16" s="1807">
        <v>1</v>
      </c>
    </row>
    <row r="17" spans="1:29" ht="71.25">
      <c r="A17" s="428"/>
      <c r="B17" s="451" t="s">
        <v>2649</v>
      </c>
      <c r="C17" s="2661" t="str">
        <f>估价对象房地状况!C16</f>
        <v>位于昌平区平西府地区，周边商业氛围一般，人流量一般，商业繁华度一般。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498"/>
      <c r="Q17" s="1806" t="str">
        <f>B17</f>
        <v>商业繁华度</v>
      </c>
      <c r="R17" s="773" t="s">
        <v>17</v>
      </c>
      <c r="S17" s="774">
        <f>F17</f>
        <v>100</v>
      </c>
      <c r="T17" s="773" t="s">
        <v>17</v>
      </c>
      <c r="U17" s="774">
        <f>H17</f>
        <v>100</v>
      </c>
      <c r="V17" s="773" t="s">
        <v>17</v>
      </c>
      <c r="W17" s="774">
        <f>J17</f>
        <v>100</v>
      </c>
      <c r="X17" s="1809"/>
      <c r="Y17" s="3498"/>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42"/>
      <c r="M18" s="1133"/>
      <c r="N18" s="1133"/>
      <c r="O18" s="1141"/>
      <c r="P18" s="3498"/>
      <c r="Q18" s="1806"/>
      <c r="R18" s="773"/>
      <c r="S18" s="774"/>
      <c r="T18" s="773"/>
      <c r="U18" s="774"/>
      <c r="V18" s="773"/>
      <c r="W18" s="774"/>
      <c r="X18" s="1809"/>
      <c r="Y18" s="3498"/>
      <c r="Z18" s="1810"/>
      <c r="AA18" s="1807">
        <v>1</v>
      </c>
      <c r="AB18" s="1807">
        <v>1</v>
      </c>
      <c r="AC18" s="1807">
        <v>1</v>
      </c>
    </row>
    <row r="19" spans="1:29" ht="85.5">
      <c r="A19" s="428"/>
      <c r="B19" s="451" t="s">
        <v>2683</v>
      </c>
      <c r="C19" s="2661" t="str">
        <f>估价对象房地状况!C17</f>
        <v>估价对象位于昌平区北七家镇，周边办公楼项目较多，入驻率高，办公集聚程度较好。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498"/>
      <c r="Q19" s="1806" t="str">
        <f>B19</f>
        <v>办公集聚程度</v>
      </c>
      <c r="R19" s="773" t="s">
        <v>17</v>
      </c>
      <c r="S19" s="774">
        <f>F19</f>
        <v>100</v>
      </c>
      <c r="T19" s="773" t="s">
        <v>17</v>
      </c>
      <c r="U19" s="774">
        <f>H19</f>
        <v>100</v>
      </c>
      <c r="V19" s="773" t="s">
        <v>17</v>
      </c>
      <c r="W19" s="774">
        <f>J19</f>
        <v>100</v>
      </c>
      <c r="X19" s="1809"/>
      <c r="Y19" s="3498"/>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42"/>
      <c r="M20" s="1133"/>
      <c r="N20" s="1133"/>
      <c r="O20" s="1141"/>
      <c r="P20" s="3498"/>
      <c r="Q20" s="1806"/>
      <c r="R20" s="773"/>
      <c r="S20" s="774"/>
      <c r="T20" s="773"/>
      <c r="U20" s="774"/>
      <c r="V20" s="773"/>
      <c r="W20" s="774"/>
      <c r="X20" s="1809"/>
      <c r="Y20" s="3498"/>
      <c r="Z20" s="1810"/>
      <c r="AA20" s="1807">
        <v>1</v>
      </c>
      <c r="AB20" s="1807">
        <v>1</v>
      </c>
      <c r="AC20" s="1807">
        <v>1</v>
      </c>
    </row>
    <row r="21" spans="1:29" ht="128.25">
      <c r="A21" s="428"/>
      <c r="B21" s="451" t="s">
        <v>2705</v>
      </c>
      <c r="C21" s="2604" t="str">
        <f>估价对象房地状况!C18</f>
        <v>估价对象周边路网较为密集、公共交通通达情况较好，有417、607、871路等公共交通，停车便捷程度较好，综合评价交通便捷度较好。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498"/>
      <c r="Q21" s="1806" t="str">
        <f>B21</f>
        <v>交通便捷度</v>
      </c>
      <c r="R21" s="773" t="s">
        <v>17</v>
      </c>
      <c r="S21" s="774">
        <f>F21</f>
        <v>100</v>
      </c>
      <c r="T21" s="773" t="s">
        <v>17</v>
      </c>
      <c r="U21" s="774">
        <f>H21</f>
        <v>100</v>
      </c>
      <c r="V21" s="773" t="s">
        <v>17</v>
      </c>
      <c r="W21" s="774">
        <f>J21</f>
        <v>100</v>
      </c>
      <c r="X21" s="1809"/>
      <c r="Y21" s="3498"/>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42"/>
      <c r="M22" s="1133"/>
      <c r="N22" s="1133"/>
      <c r="O22" s="1141"/>
      <c r="P22" s="3498"/>
      <c r="Q22" s="1806"/>
      <c r="R22" s="773"/>
      <c r="S22" s="774"/>
      <c r="T22" s="773"/>
      <c r="U22" s="774"/>
      <c r="V22" s="773"/>
      <c r="W22" s="774"/>
      <c r="X22" s="1809"/>
      <c r="Y22" s="3498"/>
      <c r="Z22" s="1810"/>
      <c r="AA22" s="1807">
        <v>1</v>
      </c>
      <c r="AB22" s="1807">
        <v>1</v>
      </c>
      <c r="AC22" s="1807">
        <v>1</v>
      </c>
    </row>
    <row r="23" spans="1:29" ht="15">
      <c r="A23" s="404"/>
      <c r="B23" s="451" t="s">
        <v>2744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498"/>
      <c r="Q23" s="1806" t="str">
        <f t="shared" ref="Q23:Q37" si="8">B23</f>
        <v>区域土地利用方向</v>
      </c>
      <c r="R23" s="773" t="s">
        <v>17</v>
      </c>
      <c r="S23" s="774">
        <f>F23</f>
        <v>100</v>
      </c>
      <c r="T23" s="773" t="s">
        <v>17</v>
      </c>
      <c r="U23" s="774">
        <f>H23</f>
        <v>100</v>
      </c>
      <c r="V23" s="773" t="s">
        <v>17</v>
      </c>
      <c r="W23" s="774">
        <f>J23</f>
        <v>100</v>
      </c>
      <c r="X23" s="1809"/>
      <c r="Y23" s="3498"/>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11"/>
      <c r="L24" s="1142"/>
      <c r="M24" s="1133"/>
      <c r="N24" s="1133"/>
      <c r="O24" s="1141"/>
      <c r="P24" s="3498"/>
      <c r="Q24" s="1806"/>
      <c r="R24" s="773"/>
      <c r="S24" s="774"/>
      <c r="T24" s="773"/>
      <c r="U24" s="774"/>
      <c r="V24" s="773"/>
      <c r="W24" s="774"/>
      <c r="X24" s="1809"/>
      <c r="Y24" s="3498"/>
      <c r="Z24" s="1810"/>
      <c r="AA24" s="1807"/>
      <c r="AB24" s="1807"/>
      <c r="AC24" s="1807"/>
    </row>
    <row r="25" spans="1:29" ht="85.5">
      <c r="A25" s="404"/>
      <c r="B25" s="1380" t="s">
        <v>2745</v>
      </c>
      <c r="C25" s="2661" t="str">
        <f>估价对象房地状况!C20</f>
        <v>区域自然环境：秀水湖公园；人文环境：北京邮电大学（洪福校区）；综合评价环境状况较好。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498"/>
      <c r="Q25" s="1806" t="str">
        <f t="shared" si="8"/>
        <v>自然及人文环境状况</v>
      </c>
      <c r="R25" s="773" t="s">
        <v>17</v>
      </c>
      <c r="S25" s="774">
        <f>F25</f>
        <v>100</v>
      </c>
      <c r="T25" s="773" t="s">
        <v>17</v>
      </c>
      <c r="U25" s="774">
        <f>H25</f>
        <v>100</v>
      </c>
      <c r="V25" s="773" t="s">
        <v>17</v>
      </c>
      <c r="W25" s="774">
        <f>J25</f>
        <v>100</v>
      </c>
      <c r="X25" s="1809"/>
      <c r="Y25" s="3498"/>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42"/>
      <c r="M26" s="1133"/>
      <c r="N26" s="1133"/>
      <c r="O26" s="1141"/>
      <c r="P26" s="3498"/>
      <c r="Q26" s="1806"/>
      <c r="R26" s="773"/>
      <c r="S26" s="774"/>
      <c r="T26" s="773"/>
      <c r="U26" s="774"/>
      <c r="V26" s="773"/>
      <c r="W26" s="774"/>
      <c r="X26" s="1809"/>
      <c r="Y26" s="3498"/>
      <c r="Z26" s="1810"/>
      <c r="AA26" s="1807">
        <v>1</v>
      </c>
      <c r="AB26" s="1807">
        <v>1</v>
      </c>
      <c r="AC26" s="1807">
        <v>1</v>
      </c>
    </row>
    <row r="27" spans="1:29" s="117" customFormat="1" ht="213.75">
      <c r="A27" s="649"/>
      <c r="B27" s="1380" t="s">
        <v>2650</v>
      </c>
      <c r="C27" s="2604"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498"/>
      <c r="Q27" s="1791" t="str">
        <f t="shared" si="8"/>
        <v>公共配套设施</v>
      </c>
      <c r="R27" s="769" t="s">
        <v>17</v>
      </c>
      <c r="S27" s="770">
        <f>F27</f>
        <v>100</v>
      </c>
      <c r="T27" s="769" t="s">
        <v>17</v>
      </c>
      <c r="U27" s="770">
        <f>H27</f>
        <v>100</v>
      </c>
      <c r="V27" s="769" t="s">
        <v>17</v>
      </c>
      <c r="W27" s="770">
        <f>J27</f>
        <v>100</v>
      </c>
      <c r="X27" s="771"/>
      <c r="Y27" s="3498"/>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34"/>
      <c r="M28" s="1135"/>
      <c r="N28" s="1135"/>
      <c r="O28" s="1136"/>
      <c r="P28" s="3498"/>
      <c r="Q28" s="1791"/>
      <c r="R28" s="769"/>
      <c r="S28" s="770"/>
      <c r="T28" s="769"/>
      <c r="U28" s="770"/>
      <c r="V28" s="769"/>
      <c r="W28" s="770"/>
      <c r="X28" s="771"/>
      <c r="Y28" s="3498"/>
      <c r="Z28" s="55"/>
      <c r="AA28" s="1807">
        <v>1</v>
      </c>
      <c r="AB28" s="1807">
        <v>1</v>
      </c>
      <c r="AC28" s="1807">
        <v>1</v>
      </c>
    </row>
    <row r="29" spans="1:29" s="117" customFormat="1" ht="42.75">
      <c r="A29" s="649"/>
      <c r="B29" s="1380" t="s">
        <v>2651</v>
      </c>
      <c r="C29" s="2604"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498"/>
      <c r="Q29" s="1791" t="str">
        <f t="shared" ref="Q29" si="9">B29</f>
        <v>基础设施水平</v>
      </c>
      <c r="R29" s="769" t="s">
        <v>17</v>
      </c>
      <c r="S29" s="770">
        <f>F29</f>
        <v>100</v>
      </c>
      <c r="T29" s="769" t="s">
        <v>17</v>
      </c>
      <c r="U29" s="770">
        <f>H29</f>
        <v>100</v>
      </c>
      <c r="V29" s="769" t="s">
        <v>17</v>
      </c>
      <c r="W29" s="770">
        <f>J29</f>
        <v>100</v>
      </c>
      <c r="X29" s="771"/>
      <c r="Y29" s="3498"/>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34"/>
      <c r="M30" s="1135"/>
      <c r="N30" s="1135"/>
      <c r="O30" s="1136"/>
      <c r="P30" s="3498"/>
      <c r="Q30" s="1791"/>
      <c r="R30" s="769"/>
      <c r="S30" s="770"/>
      <c r="T30" s="769"/>
      <c r="U30" s="770"/>
      <c r="V30" s="769"/>
      <c r="W30" s="770"/>
      <c r="X30" s="771"/>
      <c r="Y30" s="3498"/>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498"/>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498"/>
      <c r="Z31" s="1810" t="str">
        <f t="shared" ref="Z31:Z45" si="13">Q31</f>
        <v>临街状况</v>
      </c>
      <c r="AA31" s="1807">
        <f t="shared" si="3"/>
        <v>1</v>
      </c>
      <c r="AB31" s="1807">
        <f t="shared" si="4"/>
        <v>1</v>
      </c>
      <c r="AC31" s="1807">
        <f t="shared" si="5"/>
        <v>1</v>
      </c>
    </row>
    <row r="32" spans="1:29" ht="27">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498"/>
      <c r="Q32" s="1806" t="str">
        <f t="shared" si="8"/>
        <v>毗邻道路的类型与等级</v>
      </c>
      <c r="R32" s="773" t="s">
        <v>17</v>
      </c>
      <c r="S32" s="774">
        <f t="shared" si="10"/>
        <v>100</v>
      </c>
      <c r="T32" s="773" t="s">
        <v>17</v>
      </c>
      <c r="U32" s="774">
        <f t="shared" si="11"/>
        <v>100</v>
      </c>
      <c r="V32" s="773" t="s">
        <v>17</v>
      </c>
      <c r="W32" s="774">
        <f t="shared" si="12"/>
        <v>100</v>
      </c>
      <c r="X32" s="1809"/>
      <c r="Y32" s="3498"/>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42"/>
      <c r="M33" s="1133"/>
      <c r="N33" s="1133"/>
      <c r="O33" s="1141"/>
      <c r="P33" s="3498"/>
      <c r="Q33" s="1806"/>
      <c r="R33" s="773"/>
      <c r="S33" s="774"/>
      <c r="T33" s="773"/>
      <c r="U33" s="774"/>
      <c r="V33" s="773"/>
      <c r="W33" s="774"/>
      <c r="X33" s="1809"/>
      <c r="Y33" s="3498"/>
      <c r="Z33" s="1810"/>
      <c r="AA33" s="1807">
        <v>1</v>
      </c>
      <c r="AB33" s="1807">
        <v>1</v>
      </c>
      <c r="AC33" s="1807">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498"/>
      <c r="Q34" s="1806" t="str">
        <f t="shared" si="8"/>
        <v>土地级别</v>
      </c>
      <c r="R34" s="773" t="s">
        <v>17</v>
      </c>
      <c r="S34" s="774">
        <f t="shared" si="10"/>
        <v>100</v>
      </c>
      <c r="T34" s="773" t="s">
        <v>17</v>
      </c>
      <c r="U34" s="774">
        <f t="shared" si="11"/>
        <v>100</v>
      </c>
      <c r="V34" s="773" t="s">
        <v>17</v>
      </c>
      <c r="W34" s="774">
        <f t="shared" si="12"/>
        <v>100</v>
      </c>
      <c r="X34" s="1809"/>
      <c r="Y34" s="3498"/>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498"/>
      <c r="Q35" s="1806">
        <f t="shared" si="8"/>
        <v>111</v>
      </c>
      <c r="R35" s="773" t="s">
        <v>17</v>
      </c>
      <c r="S35" s="774">
        <f t="shared" si="10"/>
        <v>100</v>
      </c>
      <c r="T35" s="773" t="s">
        <v>17</v>
      </c>
      <c r="U35" s="774">
        <f t="shared" si="11"/>
        <v>100</v>
      </c>
      <c r="V35" s="773" t="s">
        <v>17</v>
      </c>
      <c r="W35" s="774">
        <f t="shared" si="12"/>
        <v>100</v>
      </c>
      <c r="X35" s="1809"/>
      <c r="Y35" s="3498"/>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81" t="s">
        <v>2561</v>
      </c>
      <c r="Q36" s="1806">
        <f t="shared" si="8"/>
        <v>111</v>
      </c>
      <c r="R36" s="773" t="s">
        <v>17</v>
      </c>
      <c r="S36" s="774">
        <f t="shared" si="10"/>
        <v>100</v>
      </c>
      <c r="T36" s="773" t="s">
        <v>17</v>
      </c>
      <c r="U36" s="774">
        <f t="shared" si="11"/>
        <v>100</v>
      </c>
      <c r="V36" s="773" t="s">
        <v>17</v>
      </c>
      <c r="W36" s="774">
        <f t="shared" si="12"/>
        <v>100</v>
      </c>
      <c r="X36" s="1809"/>
      <c r="Y36" s="3502"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02"/>
      <c r="Q37" s="1806">
        <f t="shared" si="8"/>
        <v>111</v>
      </c>
      <c r="R37" s="776" t="s">
        <v>17</v>
      </c>
      <c r="S37" s="777">
        <f t="shared" si="10"/>
        <v>100</v>
      </c>
      <c r="T37" s="776" t="s">
        <v>17</v>
      </c>
      <c r="U37" s="777">
        <f t="shared" si="11"/>
        <v>100</v>
      </c>
      <c r="V37" s="776" t="s">
        <v>17</v>
      </c>
      <c r="W37" s="777">
        <f t="shared" si="12"/>
        <v>100</v>
      </c>
      <c r="X37" s="778"/>
      <c r="Y37" s="3502"/>
      <c r="Z37" s="779">
        <f t="shared" si="13"/>
        <v>111</v>
      </c>
      <c r="AA37" s="1807">
        <f t="shared" si="3"/>
        <v>1</v>
      </c>
      <c r="AB37" s="1807">
        <f t="shared" si="4"/>
        <v>1</v>
      </c>
      <c r="AC37" s="1807">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502"/>
      <c r="Q38" s="1806" t="str">
        <f>B38</f>
        <v>宗地面积</v>
      </c>
      <c r="R38" s="773" t="s">
        <v>17</v>
      </c>
      <c r="S38" s="774" t="e">
        <f t="shared" si="10"/>
        <v>#N/A</v>
      </c>
      <c r="T38" s="773" t="s">
        <v>17</v>
      </c>
      <c r="U38" s="774" t="e">
        <f t="shared" si="11"/>
        <v>#N/A</v>
      </c>
      <c r="V38" s="773" t="s">
        <v>17</v>
      </c>
      <c r="W38" s="774" t="e">
        <f t="shared" si="12"/>
        <v>#N/A</v>
      </c>
      <c r="X38" s="1809"/>
      <c r="Y38" s="3502"/>
      <c r="Z38" s="1810" t="str">
        <f t="shared" si="13"/>
        <v>宗地面积</v>
      </c>
      <c r="AA38" s="1807" t="e">
        <f t="shared" si="3"/>
        <v>#N/A</v>
      </c>
      <c r="AB38" s="1807" t="e">
        <f t="shared" si="4"/>
        <v>#N/A</v>
      </c>
      <c r="AC38" s="1807"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2"/>
      <c r="M39" s="1133"/>
      <c r="N39" s="1133"/>
      <c r="O39" s="1141"/>
      <c r="P39" s="3502"/>
      <c r="Q39" s="1806" t="str">
        <f t="shared" ref="Q39:Q45" si="14">B39</f>
        <v>宗地形状</v>
      </c>
      <c r="R39" s="773" t="s">
        <v>17</v>
      </c>
      <c r="S39" s="774">
        <f t="shared" si="10"/>
        <v>100</v>
      </c>
      <c r="T39" s="773" t="s">
        <v>17</v>
      </c>
      <c r="U39" s="774">
        <f t="shared" si="11"/>
        <v>100</v>
      </c>
      <c r="V39" s="773" t="s">
        <v>17</v>
      </c>
      <c r="W39" s="774">
        <f t="shared" si="12"/>
        <v>100</v>
      </c>
      <c r="X39" s="1809"/>
      <c r="Y39" s="3502"/>
      <c r="Z39" s="1810" t="str">
        <f t="shared" si="13"/>
        <v>宗地形状</v>
      </c>
      <c r="AA39" s="1807">
        <f t="shared" si="3"/>
        <v>1</v>
      </c>
      <c r="AB39" s="1807">
        <f t="shared" si="4"/>
        <v>1</v>
      </c>
      <c r="AC39" s="1807">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2"/>
      <c r="M40" s="1133"/>
      <c r="N40" s="1133"/>
      <c r="O40" s="1141"/>
      <c r="P40" s="3502"/>
      <c r="Q40" s="1806" t="str">
        <f t="shared" si="14"/>
        <v>临街宽度及深度</v>
      </c>
      <c r="R40" s="773" t="s">
        <v>17</v>
      </c>
      <c r="S40" s="774">
        <f t="shared" si="10"/>
        <v>100</v>
      </c>
      <c r="T40" s="773" t="s">
        <v>17</v>
      </c>
      <c r="U40" s="774">
        <f t="shared" si="11"/>
        <v>100</v>
      </c>
      <c r="V40" s="773" t="s">
        <v>17</v>
      </c>
      <c r="W40" s="774">
        <f t="shared" si="12"/>
        <v>100</v>
      </c>
      <c r="X40" s="1809"/>
      <c r="Y40" s="3502"/>
      <c r="Z40" s="1810" t="str">
        <f t="shared" si="13"/>
        <v>临街宽度及深度</v>
      </c>
      <c r="AA40" s="1807">
        <f t="shared" si="3"/>
        <v>1</v>
      </c>
      <c r="AB40" s="1807">
        <f t="shared" si="4"/>
        <v>1</v>
      </c>
      <c r="AC40" s="1807">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502"/>
      <c r="Q41" s="1806" t="str">
        <f t="shared" si="14"/>
        <v>宗地开发程度</v>
      </c>
      <c r="R41" s="769" t="s">
        <v>17</v>
      </c>
      <c r="S41" s="770">
        <f t="shared" si="10"/>
        <v>100</v>
      </c>
      <c r="T41" s="769" t="s">
        <v>17</v>
      </c>
      <c r="U41" s="770">
        <f t="shared" si="11"/>
        <v>100</v>
      </c>
      <c r="V41" s="769" t="s">
        <v>17</v>
      </c>
      <c r="W41" s="770">
        <f t="shared" si="12"/>
        <v>100</v>
      </c>
      <c r="X41" s="771"/>
      <c r="Y41" s="3502"/>
      <c r="Z41" s="55" t="str">
        <f t="shared" si="13"/>
        <v>宗地开发程度</v>
      </c>
      <c r="AA41" s="772">
        <f t="shared" si="3"/>
        <v>1</v>
      </c>
      <c r="AB41" s="772">
        <f t="shared" si="4"/>
        <v>1</v>
      </c>
      <c r="AC41" s="772">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2"/>
      <c r="M42" s="1133"/>
      <c r="N42" s="1133"/>
      <c r="O42" s="1141"/>
      <c r="P42" s="3502" t="s">
        <v>2561</v>
      </c>
      <c r="Q42" s="1806" t="str">
        <f t="shared" si="14"/>
        <v>工程地质条件</v>
      </c>
      <c r="R42" s="773" t="s">
        <v>17</v>
      </c>
      <c r="S42" s="774">
        <f t="shared" si="10"/>
        <v>100</v>
      </c>
      <c r="T42" s="773" t="s">
        <v>17</v>
      </c>
      <c r="U42" s="774">
        <f t="shared" si="11"/>
        <v>100</v>
      </c>
      <c r="V42" s="773" t="s">
        <v>17</v>
      </c>
      <c r="W42" s="774">
        <f t="shared" si="12"/>
        <v>100</v>
      </c>
      <c r="X42" s="1809"/>
      <c r="Y42" s="3502"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02"/>
      <c r="Q43" s="1806">
        <f t="shared" si="14"/>
        <v>111</v>
      </c>
      <c r="R43" s="773" t="s">
        <v>17</v>
      </c>
      <c r="S43" s="774">
        <f t="shared" si="10"/>
        <v>100</v>
      </c>
      <c r="T43" s="773" t="s">
        <v>17</v>
      </c>
      <c r="U43" s="774">
        <f t="shared" si="11"/>
        <v>100</v>
      </c>
      <c r="V43" s="773" t="s">
        <v>17</v>
      </c>
      <c r="W43" s="774">
        <f t="shared" si="12"/>
        <v>100</v>
      </c>
      <c r="X43" s="1809"/>
      <c r="Y43" s="3502"/>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02"/>
      <c r="Q44" s="1806">
        <f t="shared" si="14"/>
        <v>111</v>
      </c>
      <c r="R44" s="773" t="s">
        <v>17</v>
      </c>
      <c r="S44" s="774">
        <f t="shared" si="10"/>
        <v>100</v>
      </c>
      <c r="T44" s="773" t="s">
        <v>17</v>
      </c>
      <c r="U44" s="774">
        <f t="shared" si="11"/>
        <v>100</v>
      </c>
      <c r="V44" s="773" t="s">
        <v>17</v>
      </c>
      <c r="W44" s="774">
        <f t="shared" si="12"/>
        <v>100</v>
      </c>
      <c r="X44" s="1809"/>
      <c r="Y44" s="3502"/>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02"/>
      <c r="Q45" s="1806">
        <f t="shared" si="14"/>
        <v>111</v>
      </c>
      <c r="R45" s="776" t="s">
        <v>17</v>
      </c>
      <c r="S45" s="777">
        <f t="shared" si="10"/>
        <v>100</v>
      </c>
      <c r="T45" s="776" t="s">
        <v>17</v>
      </c>
      <c r="U45" s="777">
        <f t="shared" si="11"/>
        <v>100</v>
      </c>
      <c r="V45" s="776" t="s">
        <v>17</v>
      </c>
      <c r="W45" s="777">
        <f t="shared" si="12"/>
        <v>100</v>
      </c>
      <c r="X45" s="778"/>
      <c r="Y45" s="3502"/>
      <c r="Z45" s="779">
        <f t="shared" si="13"/>
        <v>111</v>
      </c>
      <c r="AA45" s="1807">
        <f t="shared" si="3"/>
        <v>1</v>
      </c>
      <c r="AB45" s="1807">
        <f t="shared" si="4"/>
        <v>1</v>
      </c>
      <c r="AC45" s="1807">
        <f t="shared" si="5"/>
        <v>1</v>
      </c>
    </row>
    <row r="46" spans="1:29" ht="15">
      <c r="A46" s="479" t="s">
        <v>2716</v>
      </c>
      <c r="B46" s="2701" t="s">
        <v>2752</v>
      </c>
      <c r="C46" s="682" t="s">
        <v>1</v>
      </c>
      <c r="D46" s="481"/>
      <c r="E46" s="482"/>
      <c r="F46" s="483"/>
      <c r="G46" s="484"/>
      <c r="H46" s="485"/>
      <c r="I46" s="482"/>
      <c r="J46" s="485"/>
      <c r="K46" s="782"/>
      <c r="L46" s="1145"/>
      <c r="M46" s="1146"/>
      <c r="N46" s="1133"/>
      <c r="O46" s="1146"/>
      <c r="P46" s="3490" t="str">
        <f>A46</f>
        <v>成交单价</v>
      </c>
      <c r="Q46" s="3490"/>
      <c r="R46" s="3524">
        <f>E46</f>
        <v>0</v>
      </c>
      <c r="S46" s="3524"/>
      <c r="T46" s="3524">
        <f>G46</f>
        <v>0</v>
      </c>
      <c r="U46" s="3524"/>
      <c r="V46" s="3524">
        <f>I46</f>
        <v>0</v>
      </c>
      <c r="W46" s="3524"/>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5"/>
      <c r="M47" s="1146"/>
      <c r="N47" s="1146"/>
      <c r="O47" s="1146"/>
      <c r="P47" s="3490" t="str">
        <f>A47</f>
        <v>比较价值（元/平方米）</v>
      </c>
      <c r="Q47" s="3490"/>
      <c r="R47" s="3582" t="e">
        <f>ROUND(PRODUCT(R46,AA7:AA45),0)</f>
        <v>#DIV/0!</v>
      </c>
      <c r="S47" s="3582"/>
      <c r="T47" s="3582" t="e">
        <f>ROUND(PRODUCT(T46,AB7:AB45),0)</f>
        <v>#DIV/0!</v>
      </c>
      <c r="U47" s="3582"/>
      <c r="V47" s="3582" t="e">
        <f>ROUND(PRODUCT(V46,AC7:AC45),0)</f>
        <v>#DIV/0!</v>
      </c>
      <c r="W47" s="3582"/>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569" t="str">
        <f>A48</f>
        <v>估价对象XX用房的比较价值（楼面单价，元/平方米）</v>
      </c>
      <c r="Q48" s="3570"/>
      <c r="R48" s="3583" t="e">
        <f>ROUND(AVERAGE(R47:V47),0)</f>
        <v>#DIV/0!</v>
      </c>
      <c r="S48" s="3583"/>
      <c r="T48" s="3583"/>
      <c r="U48" s="3583"/>
      <c r="V48" s="3583"/>
      <c r="W48" s="358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2754</v>
      </c>
      <c r="B55" s="685" t="s">
        <v>2755</v>
      </c>
      <c r="C55" s="2702" t="s">
        <v>2756</v>
      </c>
      <c r="D55" s="2703" t="s">
        <v>2757</v>
      </c>
      <c r="E55" s="686" t="s">
        <v>2758</v>
      </c>
      <c r="F55" s="1109" t="s">
        <v>2759</v>
      </c>
      <c r="G55" s="3507" t="s">
        <v>2760</v>
      </c>
      <c r="H55" s="3584"/>
      <c r="I55" s="144" t="s">
        <v>2761</v>
      </c>
      <c r="J55" s="2704">
        <f>项目基本情况!F35</f>
        <v>0</v>
      </c>
      <c r="K55" s="2705" t="s">
        <v>2762</v>
      </c>
      <c r="L55" s="1108"/>
      <c r="M55" s="1146"/>
      <c r="N55" s="1146"/>
      <c r="O55" s="1146"/>
    </row>
    <row r="56" spans="1:15" s="692" customFormat="1">
      <c r="A56" s="688" t="s">
        <v>2763</v>
      </c>
      <c r="B56" s="689" t="e">
        <f>C48</f>
        <v>#DIV/0!</v>
      </c>
      <c r="C56" s="690">
        <v>1</v>
      </c>
      <c r="D56" s="1165">
        <v>1</v>
      </c>
      <c r="E56" s="690">
        <f>'数据-汇总表'!E8+'数据-汇总表'!E9</f>
        <v>34081.78</v>
      </c>
      <c r="F56" s="1105" t="e">
        <f t="shared" ref="F56:F65" si="15">ROUND(B56*E56/10000,0)</f>
        <v>#DIV/0!</v>
      </c>
      <c r="G56" s="3489"/>
      <c r="H56" s="3490"/>
      <c r="I56" s="1110">
        <v>1</v>
      </c>
      <c r="J56" s="1113">
        <v>1</v>
      </c>
      <c r="K56" s="1147"/>
      <c r="L56" s="943"/>
      <c r="M56" s="943"/>
      <c r="N56" s="943"/>
      <c r="O56" s="943"/>
    </row>
    <row r="57" spans="1:15" s="692" customFormat="1">
      <c r="A57" s="693" t="s">
        <v>2764</v>
      </c>
      <c r="B57" s="262" t="e">
        <f>ROUND($C$48*C57*D57,0)</f>
        <v>#DIV/0!</v>
      </c>
      <c r="C57" s="200">
        <f t="shared" ref="C57:C65" si="16">IF($C$55="北京市系数",I57,J57)</f>
        <v>0</v>
      </c>
      <c r="D57" s="1166">
        <v>0.25</v>
      </c>
      <c r="E57" s="694"/>
      <c r="F57" s="1105" t="e">
        <f t="shared" si="15"/>
        <v>#DIV/0!</v>
      </c>
      <c r="G57" s="3585" t="s">
        <v>2765</v>
      </c>
      <c r="H57" s="1106">
        <f>项目基本情况!B37</f>
        <v>0</v>
      </c>
      <c r="I57" s="1110">
        <f>SUMIF(修正!A45:A56,H57,修正!B45:B56)</f>
        <v>0</v>
      </c>
      <c r="J57" s="1114"/>
      <c r="K57" s="1146"/>
      <c r="L57" s="943"/>
      <c r="M57" s="943"/>
      <c r="N57" s="943"/>
      <c r="O57" s="943"/>
    </row>
    <row r="58" spans="1:15" s="692" customFormat="1">
      <c r="A58" s="693" t="s">
        <v>2766</v>
      </c>
      <c r="B58" s="262" t="e">
        <f t="shared" ref="B58:B65" si="17">ROUND($C$48*C58*D58,0)</f>
        <v>#DIV/0!</v>
      </c>
      <c r="C58" s="200">
        <f t="shared" si="16"/>
        <v>0</v>
      </c>
      <c r="D58" s="1166">
        <v>0.25</v>
      </c>
      <c r="E58" s="694"/>
      <c r="F58" s="1105" t="e">
        <f t="shared" si="15"/>
        <v>#DIV/0!</v>
      </c>
      <c r="G58" s="3585"/>
      <c r="H58" s="1106">
        <f>项目基本情况!B37</f>
        <v>0</v>
      </c>
      <c r="I58" s="1110">
        <f>SUMIF(修正!A45:A56,H58,修正!C45:C56)</f>
        <v>0</v>
      </c>
      <c r="J58" s="1114"/>
      <c r="K58" s="1147"/>
      <c r="L58" s="943"/>
      <c r="M58" s="943"/>
      <c r="N58" s="943"/>
      <c r="O58" s="943"/>
    </row>
    <row r="59" spans="1:15" s="692" customFormat="1">
      <c r="A59" s="693" t="s">
        <v>2767</v>
      </c>
      <c r="B59" s="262" t="e">
        <f t="shared" si="17"/>
        <v>#DIV/0!</v>
      </c>
      <c r="C59" s="200">
        <f t="shared" si="16"/>
        <v>0</v>
      </c>
      <c r="D59" s="1166">
        <v>0.25</v>
      </c>
      <c r="E59" s="694"/>
      <c r="F59" s="1105" t="e">
        <f t="shared" si="15"/>
        <v>#DIV/0!</v>
      </c>
      <c r="G59" s="3585"/>
      <c r="H59" s="1106">
        <f>项目基本情况!B37</f>
        <v>0</v>
      </c>
      <c r="I59" s="1110">
        <f>SUMIF(修正!A45:A56,H59,修正!D45:D56)</f>
        <v>0</v>
      </c>
      <c r="J59" s="1114"/>
      <c r="K59" s="1146"/>
      <c r="L59" s="943"/>
      <c r="M59" s="943"/>
      <c r="N59" s="943"/>
      <c r="O59" s="943"/>
    </row>
    <row r="60" spans="1:15" s="692" customFormat="1">
      <c r="A60" s="693" t="s">
        <v>2768</v>
      </c>
      <c r="B60" s="262" t="e">
        <f t="shared" si="17"/>
        <v>#DIV/0!</v>
      </c>
      <c r="C60" s="200">
        <f t="shared" si="16"/>
        <v>0</v>
      </c>
      <c r="D60" s="1166">
        <v>0.25</v>
      </c>
      <c r="E60" s="694"/>
      <c r="F60" s="1105" t="e">
        <f t="shared" si="15"/>
        <v>#DIV/0!</v>
      </c>
      <c r="G60" s="3585"/>
      <c r="H60" s="1106">
        <f>项目基本情况!B37</f>
        <v>0</v>
      </c>
      <c r="I60" s="1110">
        <f>SUMIF(修正!A45:A56,H60,修正!E45:E56)</f>
        <v>0</v>
      </c>
      <c r="J60" s="1114"/>
      <c r="K60" s="1147"/>
      <c r="L60" s="943"/>
      <c r="M60" s="943"/>
      <c r="N60" s="943"/>
      <c r="O60" s="943"/>
    </row>
    <row r="61" spans="1:15" s="692" customFormat="1">
      <c r="A61" s="693" t="s">
        <v>2769</v>
      </c>
      <c r="B61" s="262" t="e">
        <f t="shared" si="17"/>
        <v>#DIV/0!</v>
      </c>
      <c r="C61" s="200">
        <f t="shared" si="16"/>
        <v>0.25</v>
      </c>
      <c r="D61" s="1166">
        <v>0.25</v>
      </c>
      <c r="E61" s="261">
        <f>'数据-汇总表'!E11</f>
        <v>0</v>
      </c>
      <c r="F61" s="1105" t="e">
        <f t="shared" si="15"/>
        <v>#DIV/0!</v>
      </c>
      <c r="G61" s="2706" t="s">
        <v>2770</v>
      </c>
      <c r="H61" s="1106" t="str">
        <f>项目基本情况!C37</f>
        <v>七级</v>
      </c>
      <c r="I61" s="1110">
        <f>SUMIF(修正!A45:A56,H61,修正!F45:F56)</f>
        <v>0.25</v>
      </c>
      <c r="J61" s="1114"/>
      <c r="K61" s="1146"/>
      <c r="L61" s="943"/>
      <c r="M61" s="943"/>
      <c r="N61" s="943"/>
      <c r="O61" s="943"/>
    </row>
    <row r="62" spans="1:15" s="692" customFormat="1">
      <c r="A62" s="693" t="s">
        <v>2771</v>
      </c>
      <c r="B62" s="262" t="e">
        <f t="shared" si="17"/>
        <v>#DIV/0!</v>
      </c>
      <c r="C62" s="200">
        <f t="shared" si="16"/>
        <v>0.25</v>
      </c>
      <c r="D62" s="1166">
        <v>0.25</v>
      </c>
      <c r="E62" s="261">
        <f>'数据-汇总表'!E12</f>
        <v>0</v>
      </c>
      <c r="F62" s="1105" t="e">
        <f t="shared" si="15"/>
        <v>#DIV/0!</v>
      </c>
      <c r="G62" s="1111" t="s">
        <v>2772</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2775</v>
      </c>
      <c r="B64" s="262" t="e">
        <f t="shared" si="17"/>
        <v>#DIV/0!</v>
      </c>
      <c r="C64" s="200">
        <f t="shared" si="16"/>
        <v>0</v>
      </c>
      <c r="D64" s="1166">
        <v>0.25</v>
      </c>
      <c r="E64" s="261">
        <f>'数据-汇总表'!E14</f>
        <v>0</v>
      </c>
      <c r="F64" s="1105" t="e">
        <f t="shared" si="15"/>
        <v>#DIV/0!</v>
      </c>
      <c r="G64" s="2706" t="s">
        <v>2765</v>
      </c>
      <c r="H64" s="1106">
        <f>项目基本情况!B37</f>
        <v>0</v>
      </c>
      <c r="I64" s="1110">
        <f>SUMIF(修正!A45:A56,H64,修正!H45:H56)</f>
        <v>0</v>
      </c>
      <c r="J64" s="1114"/>
      <c r="K64" s="1147"/>
      <c r="L64" s="943"/>
      <c r="M64" s="943"/>
      <c r="N64" s="943"/>
      <c r="O64" s="943"/>
    </row>
    <row r="65" spans="1:17" s="692" customFormat="1" ht="15" thickBot="1">
      <c r="A65" s="693" t="s">
        <v>2776</v>
      </c>
      <c r="B65" s="262" t="e">
        <f t="shared" si="17"/>
        <v>#DIV/0!</v>
      </c>
      <c r="C65" s="200">
        <f t="shared" si="16"/>
        <v>0.2</v>
      </c>
      <c r="D65" s="1166">
        <v>0.25</v>
      </c>
      <c r="E65" s="261">
        <f>'数据-汇总表'!E15</f>
        <v>0</v>
      </c>
      <c r="F65" s="1105" t="e">
        <f t="shared" si="15"/>
        <v>#DIV/0!</v>
      </c>
      <c r="G65" s="2707" t="s">
        <v>2770</v>
      </c>
      <c r="H65" s="1116" t="str">
        <f>项目基本情况!C37</f>
        <v>七级</v>
      </c>
      <c r="I65" s="1112">
        <f>SUMIF(修正!A45:A56,H65,修正!H45:H56)</f>
        <v>0.2</v>
      </c>
      <c r="J65" s="1115"/>
      <c r="K65" s="1146"/>
      <c r="L65" s="943"/>
      <c r="M65" s="943"/>
      <c r="N65" s="943"/>
      <c r="O65" s="943"/>
    </row>
    <row r="66" spans="1:17" s="692" customFormat="1" ht="13.5" thickBot="1">
      <c r="A66" s="695" t="s">
        <v>2777</v>
      </c>
      <c r="B66" s="696" t="s">
        <v>28</v>
      </c>
      <c r="C66" s="696" t="s">
        <v>29</v>
      </c>
      <c r="D66" s="696" t="s">
        <v>1026</v>
      </c>
      <c r="E66" s="696">
        <f>IF(B46="楼面地价",SUM(E56:E65),'数据-汇总表'!D3)</f>
        <v>34081.78</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08" t="s">
        <v>2778</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7"/>
    </row>
    <row r="71" spans="1:17" s="117" customFormat="1" ht="30" customHeight="1">
      <c r="A71" s="2709"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3"/>
      <c r="N71" s="595"/>
      <c r="O71" s="1564"/>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7" t="s">
        <v>2642</v>
      </c>
      <c r="D4" s="3508"/>
      <c r="E4" s="3509" t="s">
        <v>2643</v>
      </c>
      <c r="F4" s="3510"/>
      <c r="G4" s="3507" t="s">
        <v>2644</v>
      </c>
      <c r="H4" s="3508"/>
      <c r="I4" s="3507" t="s">
        <v>2645</v>
      </c>
      <c r="J4" s="3508"/>
      <c r="K4" s="610" t="s">
        <v>2646</v>
      </c>
      <c r="L4" s="1132"/>
      <c r="M4" s="1133"/>
      <c r="N4" s="1133"/>
      <c r="O4" s="1133"/>
      <c r="P4" s="3573" t="s">
        <v>2647</v>
      </c>
      <c r="Q4" s="3574"/>
      <c r="R4" s="3577" t="s">
        <v>2643</v>
      </c>
      <c r="S4" s="3578"/>
      <c r="T4" s="3577" t="s">
        <v>2644</v>
      </c>
      <c r="U4" s="3578"/>
      <c r="V4" s="3524" t="s">
        <v>2645</v>
      </c>
      <c r="W4" s="3524"/>
      <c r="X4" s="1809"/>
      <c r="Y4" s="3577" t="s">
        <v>2647</v>
      </c>
      <c r="Z4" s="3578"/>
      <c r="AA4" s="3572" t="s">
        <v>2643</v>
      </c>
      <c r="AB4" s="3538" t="s">
        <v>2644</v>
      </c>
      <c r="AC4" s="3572" t="s">
        <v>2645</v>
      </c>
    </row>
    <row r="5" spans="1:29" ht="15">
      <c r="A5" s="404"/>
      <c r="B5" s="405"/>
      <c r="C5" s="3533" t="s">
        <v>2538</v>
      </c>
      <c r="D5" s="3528"/>
      <c r="E5" s="3580" t="s">
        <v>2539</v>
      </c>
      <c r="F5" s="3541"/>
      <c r="G5" s="3533" t="s">
        <v>2540</v>
      </c>
      <c r="H5" s="3528"/>
      <c r="I5" s="3533" t="s">
        <v>2541</v>
      </c>
      <c r="J5" s="3528"/>
      <c r="K5" s="610"/>
      <c r="L5" s="1132"/>
      <c r="M5" s="1133"/>
      <c r="N5" s="1133"/>
      <c r="O5" s="1133"/>
      <c r="P5" s="3575"/>
      <c r="Q5" s="3514"/>
      <c r="R5" s="3519"/>
      <c r="S5" s="3520"/>
      <c r="T5" s="3519"/>
      <c r="U5" s="3520"/>
      <c r="V5" s="3524"/>
      <c r="W5" s="3524"/>
      <c r="X5" s="1809"/>
      <c r="Y5" s="3519"/>
      <c r="Z5" s="3520"/>
      <c r="AA5" s="3538"/>
      <c r="AB5" s="3538"/>
      <c r="AC5" s="3538"/>
    </row>
    <row r="6" spans="1:29" ht="15.75" thickBot="1">
      <c r="A6" s="406"/>
      <c r="B6" s="407"/>
      <c r="C6" s="3586" t="s">
        <v>2793</v>
      </c>
      <c r="D6" s="3587"/>
      <c r="E6" s="3588" t="s">
        <v>2793</v>
      </c>
      <c r="F6" s="3589"/>
      <c r="G6" s="3586" t="s">
        <v>2793</v>
      </c>
      <c r="H6" s="3587"/>
      <c r="I6" s="3586" t="s">
        <v>2793</v>
      </c>
      <c r="J6" s="3587"/>
      <c r="K6" s="610" t="s">
        <v>2543</v>
      </c>
      <c r="L6" s="1132"/>
      <c r="M6" s="1133"/>
      <c r="N6" s="1133"/>
      <c r="O6" s="1133"/>
      <c r="P6" s="3576"/>
      <c r="Q6" s="3516"/>
      <c r="R6" s="3519"/>
      <c r="S6" s="3520"/>
      <c r="T6" s="3521"/>
      <c r="U6" s="3522"/>
      <c r="V6" s="3524"/>
      <c r="W6" s="3524"/>
      <c r="X6" s="1809"/>
      <c r="Y6" s="3521"/>
      <c r="Z6" s="3522"/>
      <c r="AA6" s="3539"/>
      <c r="AB6" s="3539"/>
      <c r="AC6" s="3539"/>
    </row>
    <row r="7" spans="1:29" s="117" customFormat="1" ht="15.75" thickBot="1">
      <c r="A7" s="408" t="s">
        <v>2544</v>
      </c>
      <c r="B7" s="409"/>
      <c r="C7" s="410">
        <f>'数据-取费表'!B2</f>
        <v>43465</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31" t="s">
        <v>2545</v>
      </c>
      <c r="Q7" s="3532"/>
      <c r="R7" s="769" t="s">
        <v>17</v>
      </c>
      <c r="S7" s="770">
        <f t="shared" ref="S7:S15" si="0">F7</f>
        <v>0</v>
      </c>
      <c r="T7" s="769" t="s">
        <v>17</v>
      </c>
      <c r="U7" s="770">
        <f t="shared" ref="U7:U15" si="1">H7</f>
        <v>0</v>
      </c>
      <c r="V7" s="769" t="s">
        <v>17</v>
      </c>
      <c r="W7" s="770">
        <f t="shared" ref="W7:W15" si="2">J7</f>
        <v>0</v>
      </c>
      <c r="X7" s="771"/>
      <c r="Y7" s="3531" t="s">
        <v>2545</v>
      </c>
      <c r="Z7" s="3530"/>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31" t="s">
        <v>2548</v>
      </c>
      <c r="Q8" s="3530"/>
      <c r="R8" s="769" t="s">
        <v>17</v>
      </c>
      <c r="S8" s="770">
        <f t="shared" si="0"/>
        <v>0</v>
      </c>
      <c r="T8" s="769" t="s">
        <v>17</v>
      </c>
      <c r="U8" s="770">
        <f t="shared" si="1"/>
        <v>0</v>
      </c>
      <c r="V8" s="769" t="s">
        <v>17</v>
      </c>
      <c r="W8" s="770">
        <f t="shared" si="2"/>
        <v>0</v>
      </c>
      <c r="X8" s="771"/>
      <c r="Y8" s="3531" t="s">
        <v>2548</v>
      </c>
      <c r="Z8" s="3530"/>
      <c r="AA8" s="772" t="e">
        <f t="shared" ref="AA8:AA40" si="3">D8/F8</f>
        <v>#DIV/0!</v>
      </c>
      <c r="AB8" s="772" t="e">
        <f t="shared" ref="AB8:AB40" si="4">D8/H8</f>
        <v>#DIV/0!</v>
      </c>
      <c r="AC8" s="772"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490" t="s">
        <v>2551</v>
      </c>
      <c r="Q9" s="1791" t="str">
        <f t="shared" ref="Q9:Q15" si="6">B9</f>
        <v>用途</v>
      </c>
      <c r="R9" s="769" t="s">
        <v>17</v>
      </c>
      <c r="S9" s="770">
        <f t="shared" si="0"/>
        <v>100</v>
      </c>
      <c r="T9" s="769" t="s">
        <v>17</v>
      </c>
      <c r="U9" s="770">
        <f t="shared" si="1"/>
        <v>100</v>
      </c>
      <c r="V9" s="769" t="s">
        <v>17</v>
      </c>
      <c r="W9" s="770">
        <f t="shared" si="2"/>
        <v>100</v>
      </c>
      <c r="X9" s="771"/>
      <c r="Y9" s="3344"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490"/>
      <c r="Q10" s="1791" t="str">
        <f t="shared" si="6"/>
        <v>土地使用年限（年）</v>
      </c>
      <c r="R10" s="769" t="s">
        <v>17</v>
      </c>
      <c r="S10" s="770">
        <f t="shared" si="0"/>
        <v>104</v>
      </c>
      <c r="T10" s="769" t="s">
        <v>17</v>
      </c>
      <c r="U10" s="770">
        <f t="shared" si="1"/>
        <v>104</v>
      </c>
      <c r="V10" s="769" t="s">
        <v>17</v>
      </c>
      <c r="W10" s="770">
        <f t="shared" si="2"/>
        <v>104</v>
      </c>
      <c r="X10" s="771"/>
      <c r="Y10" s="3344"/>
      <c r="Z10" s="55" t="str">
        <f t="shared" si="7"/>
        <v>土地使用年限（年）</v>
      </c>
      <c r="AA10" s="772">
        <f t="shared" si="3"/>
        <v>0.96153846153846156</v>
      </c>
      <c r="AB10" s="772">
        <f t="shared" si="4"/>
        <v>0.96153846153846156</v>
      </c>
      <c r="AC10" s="772">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490"/>
      <c r="Q11" s="1791" t="str">
        <f t="shared" si="6"/>
        <v>容积率</v>
      </c>
      <c r="R11" s="769" t="s">
        <v>17</v>
      </c>
      <c r="S11" s="770" t="e">
        <f t="shared" si="0"/>
        <v>#N/A</v>
      </c>
      <c r="T11" s="769" t="s">
        <v>17</v>
      </c>
      <c r="U11" s="770" t="e">
        <f t="shared" si="1"/>
        <v>#N/A</v>
      </c>
      <c r="V11" s="769" t="s">
        <v>17</v>
      </c>
      <c r="W11" s="770" t="e">
        <f t="shared" si="2"/>
        <v>#N/A</v>
      </c>
      <c r="X11" s="771"/>
      <c r="Y11" s="3344"/>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490"/>
      <c r="Q12" s="1791">
        <f t="shared" si="6"/>
        <v>111</v>
      </c>
      <c r="R12" s="769" t="s">
        <v>17</v>
      </c>
      <c r="S12" s="770">
        <f t="shared" si="0"/>
        <v>100</v>
      </c>
      <c r="T12" s="769" t="s">
        <v>17</v>
      </c>
      <c r="U12" s="770">
        <f t="shared" si="1"/>
        <v>100</v>
      </c>
      <c r="V12" s="769" t="s">
        <v>17</v>
      </c>
      <c r="W12" s="770">
        <f t="shared" si="2"/>
        <v>100</v>
      </c>
      <c r="X12" s="771"/>
      <c r="Y12" s="3344"/>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490"/>
      <c r="Q13" s="1791">
        <f t="shared" si="6"/>
        <v>111</v>
      </c>
      <c r="R13" s="769" t="s">
        <v>17</v>
      </c>
      <c r="S13" s="770">
        <f t="shared" si="0"/>
        <v>100</v>
      </c>
      <c r="T13" s="769" t="s">
        <v>17</v>
      </c>
      <c r="U13" s="770">
        <f t="shared" si="1"/>
        <v>100</v>
      </c>
      <c r="V13" s="769" t="s">
        <v>17</v>
      </c>
      <c r="W13" s="770">
        <f t="shared" si="2"/>
        <v>100</v>
      </c>
      <c r="X13" s="771"/>
      <c r="Y13" s="3344"/>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490"/>
      <c r="Q14" s="1791">
        <f t="shared" si="6"/>
        <v>111</v>
      </c>
      <c r="R14" s="769" t="s">
        <v>17</v>
      </c>
      <c r="S14" s="770">
        <f t="shared" si="0"/>
        <v>100</v>
      </c>
      <c r="T14" s="769" t="s">
        <v>17</v>
      </c>
      <c r="U14" s="770">
        <f t="shared" si="1"/>
        <v>100</v>
      </c>
      <c r="V14" s="769" t="s">
        <v>17</v>
      </c>
      <c r="W14" s="770">
        <f t="shared" si="2"/>
        <v>100</v>
      </c>
      <c r="X14" s="771"/>
      <c r="Y14" s="3344"/>
      <c r="Z14" s="55">
        <f t="shared" si="7"/>
        <v>111</v>
      </c>
      <c r="AA14" s="772">
        <f t="shared" si="3"/>
        <v>1</v>
      </c>
      <c r="AB14" s="772">
        <f t="shared" si="4"/>
        <v>1</v>
      </c>
      <c r="AC14" s="772">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497" t="s">
        <v>2556</v>
      </c>
      <c r="Q15" s="1806" t="str">
        <f t="shared" si="6"/>
        <v>产业集聚程度</v>
      </c>
      <c r="R15" s="773" t="s">
        <v>17</v>
      </c>
      <c r="S15" s="774">
        <f t="shared" si="0"/>
        <v>100</v>
      </c>
      <c r="T15" s="773" t="s">
        <v>17</v>
      </c>
      <c r="U15" s="774">
        <f t="shared" si="1"/>
        <v>100</v>
      </c>
      <c r="V15" s="773" t="s">
        <v>17</v>
      </c>
      <c r="W15" s="774">
        <f t="shared" si="2"/>
        <v>100</v>
      </c>
      <c r="X15" s="1809"/>
      <c r="Y15" s="3497" t="s">
        <v>2556</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42"/>
      <c r="M16" s="1133"/>
      <c r="N16" s="1133"/>
      <c r="O16" s="1141"/>
      <c r="P16" s="3498"/>
      <c r="Q16" s="1806"/>
      <c r="R16" s="773"/>
      <c r="S16" s="774"/>
      <c r="T16" s="773"/>
      <c r="U16" s="774"/>
      <c r="V16" s="773"/>
      <c r="W16" s="774"/>
      <c r="X16" s="1809"/>
      <c r="Y16" s="3498"/>
      <c r="Z16" s="1810"/>
      <c r="AA16" s="1807">
        <v>1</v>
      </c>
      <c r="AB16" s="1807">
        <v>1</v>
      </c>
      <c r="AC16" s="1807">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498"/>
      <c r="Q17" s="1806" t="str">
        <f>B17</f>
        <v>交通便捷度</v>
      </c>
      <c r="R17" s="773" t="s">
        <v>17</v>
      </c>
      <c r="S17" s="774">
        <f>F17</f>
        <v>100</v>
      </c>
      <c r="T17" s="773" t="s">
        <v>17</v>
      </c>
      <c r="U17" s="774">
        <f>H17</f>
        <v>100</v>
      </c>
      <c r="V17" s="773" t="s">
        <v>17</v>
      </c>
      <c r="W17" s="774">
        <f>J17</f>
        <v>100</v>
      </c>
      <c r="X17" s="1809"/>
      <c r="Y17" s="3498"/>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42"/>
      <c r="M18" s="1133"/>
      <c r="N18" s="1133"/>
      <c r="O18" s="1141"/>
      <c r="P18" s="3498"/>
      <c r="Q18" s="1806"/>
      <c r="R18" s="773"/>
      <c r="S18" s="774"/>
      <c r="T18" s="773"/>
      <c r="U18" s="774"/>
      <c r="V18" s="773"/>
      <c r="W18" s="774"/>
      <c r="X18" s="1809"/>
      <c r="Y18" s="3498"/>
      <c r="Z18" s="1810"/>
      <c r="AA18" s="1807">
        <v>1</v>
      </c>
      <c r="AB18" s="1807">
        <v>1</v>
      </c>
      <c r="AC18" s="1807">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498"/>
      <c r="Q19" s="1806" t="str">
        <f t="shared" ref="Q19:Q33" si="8">B19</f>
        <v>区域土地利用方向</v>
      </c>
      <c r="R19" s="773" t="s">
        <v>17</v>
      </c>
      <c r="S19" s="774">
        <f>F19</f>
        <v>100</v>
      </c>
      <c r="T19" s="773" t="s">
        <v>17</v>
      </c>
      <c r="U19" s="774">
        <f>H19</f>
        <v>100</v>
      </c>
      <c r="V19" s="773" t="s">
        <v>17</v>
      </c>
      <c r="W19" s="774">
        <f>J19</f>
        <v>100</v>
      </c>
      <c r="X19" s="1809"/>
      <c r="Y19" s="3498"/>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11"/>
      <c r="L20" s="1142"/>
      <c r="M20" s="1133"/>
      <c r="N20" s="1133"/>
      <c r="O20" s="1141"/>
      <c r="P20" s="3498"/>
      <c r="Q20" s="1806"/>
      <c r="R20" s="773"/>
      <c r="S20" s="774"/>
      <c r="T20" s="773"/>
      <c r="U20" s="774"/>
      <c r="V20" s="773"/>
      <c r="W20" s="774"/>
      <c r="X20" s="1809"/>
      <c r="Y20" s="3498"/>
      <c r="Z20" s="1810"/>
      <c r="AA20" s="1807"/>
      <c r="AB20" s="1807"/>
      <c r="AC20" s="1807"/>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498"/>
      <c r="Q21" s="1806" t="str">
        <f t="shared" si="8"/>
        <v>环境状况</v>
      </c>
      <c r="R21" s="773" t="s">
        <v>17</v>
      </c>
      <c r="S21" s="774">
        <f>F21</f>
        <v>100</v>
      </c>
      <c r="T21" s="773" t="s">
        <v>17</v>
      </c>
      <c r="U21" s="774">
        <f>H21</f>
        <v>100</v>
      </c>
      <c r="V21" s="773" t="s">
        <v>17</v>
      </c>
      <c r="W21" s="774">
        <f>J21</f>
        <v>100</v>
      </c>
      <c r="X21" s="1809"/>
      <c r="Y21" s="3498"/>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42"/>
      <c r="M22" s="1133"/>
      <c r="N22" s="1133"/>
      <c r="O22" s="1141"/>
      <c r="P22" s="3498"/>
      <c r="Q22" s="1806"/>
      <c r="R22" s="773"/>
      <c r="S22" s="774"/>
      <c r="T22" s="773"/>
      <c r="U22" s="774"/>
      <c r="V22" s="773"/>
      <c r="W22" s="774"/>
      <c r="X22" s="1809"/>
      <c r="Y22" s="3498"/>
      <c r="Z22" s="1810"/>
      <c r="AA22" s="1807">
        <v>1</v>
      </c>
      <c r="AB22" s="1807">
        <v>1</v>
      </c>
      <c r="AC22" s="1807">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498"/>
      <c r="Q23" s="1791" t="str">
        <f t="shared" si="8"/>
        <v>公共配套设施</v>
      </c>
      <c r="R23" s="769" t="s">
        <v>17</v>
      </c>
      <c r="S23" s="770">
        <f>F23</f>
        <v>100</v>
      </c>
      <c r="T23" s="769" t="s">
        <v>17</v>
      </c>
      <c r="U23" s="770">
        <f>H23</f>
        <v>100</v>
      </c>
      <c r="V23" s="769" t="s">
        <v>17</v>
      </c>
      <c r="W23" s="770">
        <f>J23</f>
        <v>100</v>
      </c>
      <c r="X23" s="771"/>
      <c r="Y23" s="3498"/>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34"/>
      <c r="M24" s="1135"/>
      <c r="N24" s="1135"/>
      <c r="O24" s="1136"/>
      <c r="P24" s="3498"/>
      <c r="Q24" s="1791"/>
      <c r="R24" s="769"/>
      <c r="S24" s="770"/>
      <c r="T24" s="769"/>
      <c r="U24" s="770"/>
      <c r="V24" s="769"/>
      <c r="W24" s="770"/>
      <c r="X24" s="771"/>
      <c r="Y24" s="3498"/>
      <c r="Z24" s="55"/>
      <c r="AA24" s="772">
        <v>1</v>
      </c>
      <c r="AB24" s="772">
        <v>1</v>
      </c>
      <c r="AC24" s="772">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498"/>
      <c r="Q25" s="1791" t="str">
        <f t="shared" ref="Q25" si="9">B25</f>
        <v>基础设施水平</v>
      </c>
      <c r="R25" s="769" t="s">
        <v>17</v>
      </c>
      <c r="S25" s="770">
        <f>F25</f>
        <v>100</v>
      </c>
      <c r="T25" s="769" t="s">
        <v>17</v>
      </c>
      <c r="U25" s="770">
        <f>H25</f>
        <v>100</v>
      </c>
      <c r="V25" s="769" t="s">
        <v>17</v>
      </c>
      <c r="W25" s="770">
        <f>J25</f>
        <v>100</v>
      </c>
      <c r="X25" s="771"/>
      <c r="Y25" s="3498"/>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34"/>
      <c r="M26" s="1135"/>
      <c r="N26" s="1135"/>
      <c r="O26" s="1136"/>
      <c r="P26" s="3498"/>
      <c r="Q26" s="1791"/>
      <c r="R26" s="769"/>
      <c r="S26" s="770"/>
      <c r="T26" s="769"/>
      <c r="U26" s="770"/>
      <c r="V26" s="769"/>
      <c r="W26" s="770"/>
      <c r="X26" s="771"/>
      <c r="Y26" s="3498"/>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498"/>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498"/>
      <c r="Z27" s="1810" t="str">
        <f t="shared" ref="Z27:Z40" si="13">Q27</f>
        <v>临街状况</v>
      </c>
      <c r="AA27" s="1807">
        <f t="shared" si="3"/>
        <v>1</v>
      </c>
      <c r="AB27" s="1807">
        <f t="shared" si="4"/>
        <v>1</v>
      </c>
      <c r="AC27" s="1807">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498"/>
      <c r="Q28" s="1806" t="str">
        <f t="shared" si="8"/>
        <v>毗邻道路的类型与等级</v>
      </c>
      <c r="R28" s="773" t="s">
        <v>17</v>
      </c>
      <c r="S28" s="774">
        <f t="shared" si="10"/>
        <v>100</v>
      </c>
      <c r="T28" s="773" t="s">
        <v>17</v>
      </c>
      <c r="U28" s="774">
        <f t="shared" si="11"/>
        <v>100</v>
      </c>
      <c r="V28" s="773" t="s">
        <v>17</v>
      </c>
      <c r="W28" s="774">
        <f t="shared" si="12"/>
        <v>100</v>
      </c>
      <c r="X28" s="1809"/>
      <c r="Y28" s="3498"/>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42"/>
      <c r="M29" s="1133"/>
      <c r="N29" s="1133"/>
      <c r="O29" s="1141"/>
      <c r="P29" s="3498"/>
      <c r="Q29" s="1806"/>
      <c r="R29" s="773"/>
      <c r="S29" s="774"/>
      <c r="T29" s="773"/>
      <c r="U29" s="774"/>
      <c r="V29" s="773"/>
      <c r="W29" s="774"/>
      <c r="X29" s="1809"/>
      <c r="Y29" s="3498"/>
      <c r="Z29" s="1810"/>
      <c r="AA29" s="1807">
        <v>1</v>
      </c>
      <c r="AB29" s="1807">
        <v>1</v>
      </c>
      <c r="AC29" s="1807">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498"/>
      <c r="Q30" s="1806" t="str">
        <f t="shared" si="8"/>
        <v>土地级别</v>
      </c>
      <c r="R30" s="773" t="s">
        <v>17</v>
      </c>
      <c r="S30" s="774">
        <f t="shared" si="10"/>
        <v>100</v>
      </c>
      <c r="T30" s="773" t="s">
        <v>17</v>
      </c>
      <c r="U30" s="774">
        <f t="shared" si="11"/>
        <v>100</v>
      </c>
      <c r="V30" s="773" t="s">
        <v>17</v>
      </c>
      <c r="W30" s="774">
        <f t="shared" si="12"/>
        <v>100</v>
      </c>
      <c r="X30" s="1809"/>
      <c r="Y30" s="3498"/>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498"/>
      <c r="Q31" s="1806">
        <f t="shared" si="8"/>
        <v>111</v>
      </c>
      <c r="R31" s="773" t="s">
        <v>17</v>
      </c>
      <c r="S31" s="774">
        <f t="shared" si="10"/>
        <v>100</v>
      </c>
      <c r="T31" s="773" t="s">
        <v>17</v>
      </c>
      <c r="U31" s="774">
        <f t="shared" si="11"/>
        <v>100</v>
      </c>
      <c r="V31" s="773" t="s">
        <v>17</v>
      </c>
      <c r="W31" s="774">
        <f t="shared" si="12"/>
        <v>100</v>
      </c>
      <c r="X31" s="1809"/>
      <c r="Y31" s="3498"/>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81" t="s">
        <v>2561</v>
      </c>
      <c r="Q32" s="1806">
        <f t="shared" si="8"/>
        <v>111</v>
      </c>
      <c r="R32" s="773" t="s">
        <v>17</v>
      </c>
      <c r="S32" s="774">
        <f t="shared" si="10"/>
        <v>100</v>
      </c>
      <c r="T32" s="773" t="s">
        <v>17</v>
      </c>
      <c r="U32" s="774">
        <f t="shared" si="11"/>
        <v>100</v>
      </c>
      <c r="V32" s="773" t="s">
        <v>17</v>
      </c>
      <c r="W32" s="774">
        <f t="shared" si="12"/>
        <v>100</v>
      </c>
      <c r="X32" s="1809"/>
      <c r="Y32" s="3502" t="s">
        <v>2561</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02"/>
      <c r="Q33" s="1806">
        <f t="shared" si="8"/>
        <v>111</v>
      </c>
      <c r="R33" s="776" t="s">
        <v>17</v>
      </c>
      <c r="S33" s="777">
        <f t="shared" si="10"/>
        <v>100</v>
      </c>
      <c r="T33" s="776" t="s">
        <v>17</v>
      </c>
      <c r="U33" s="777">
        <f t="shared" si="11"/>
        <v>100</v>
      </c>
      <c r="V33" s="776" t="s">
        <v>17</v>
      </c>
      <c r="W33" s="777">
        <f t="shared" si="12"/>
        <v>100</v>
      </c>
      <c r="X33" s="778"/>
      <c r="Y33" s="3502"/>
      <c r="Z33" s="779">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02"/>
      <c r="Q34" s="1806" t="str">
        <f>B34</f>
        <v>宗地面积</v>
      </c>
      <c r="R34" s="773" t="s">
        <v>17</v>
      </c>
      <c r="S34" s="774" t="e">
        <f t="shared" si="10"/>
        <v>#N/A</v>
      </c>
      <c r="T34" s="773" t="s">
        <v>17</v>
      </c>
      <c r="U34" s="774" t="e">
        <f t="shared" si="11"/>
        <v>#N/A</v>
      </c>
      <c r="V34" s="773" t="s">
        <v>17</v>
      </c>
      <c r="W34" s="774" t="e">
        <f t="shared" si="12"/>
        <v>#N/A</v>
      </c>
      <c r="X34" s="1809"/>
      <c r="Y34" s="3502"/>
      <c r="Z34" s="1810" t="str">
        <f t="shared" si="13"/>
        <v>宗地面积</v>
      </c>
      <c r="AA34" s="1807" t="e">
        <f t="shared" si="3"/>
        <v>#N/A</v>
      </c>
      <c r="AB34" s="1807" t="e">
        <f t="shared" si="4"/>
        <v>#N/A</v>
      </c>
      <c r="AC34" s="1807"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02"/>
      <c r="Q35" s="1806" t="str">
        <f t="shared" ref="Q35:Q40" si="14">B35</f>
        <v>宗地形状</v>
      </c>
      <c r="R35" s="773" t="s">
        <v>17</v>
      </c>
      <c r="S35" s="774">
        <f t="shared" si="10"/>
        <v>100</v>
      </c>
      <c r="T35" s="773" t="s">
        <v>17</v>
      </c>
      <c r="U35" s="774">
        <f t="shared" si="11"/>
        <v>100</v>
      </c>
      <c r="V35" s="773" t="s">
        <v>17</v>
      </c>
      <c r="W35" s="774">
        <f t="shared" si="12"/>
        <v>100</v>
      </c>
      <c r="X35" s="1809"/>
      <c r="Y35" s="3502"/>
      <c r="Z35" s="1810" t="str">
        <f t="shared" si="13"/>
        <v>宗地形状</v>
      </c>
      <c r="AA35" s="1807">
        <f t="shared" si="3"/>
        <v>1</v>
      </c>
      <c r="AB35" s="1807">
        <f t="shared" si="4"/>
        <v>1</v>
      </c>
      <c r="AC35" s="1807">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02"/>
      <c r="Q36" s="1806" t="str">
        <f t="shared" si="14"/>
        <v>宗地开发程度</v>
      </c>
      <c r="R36" s="769" t="s">
        <v>17</v>
      </c>
      <c r="S36" s="770">
        <f t="shared" si="10"/>
        <v>100</v>
      </c>
      <c r="T36" s="769" t="s">
        <v>17</v>
      </c>
      <c r="U36" s="770">
        <f t="shared" si="11"/>
        <v>100</v>
      </c>
      <c r="V36" s="769" t="s">
        <v>17</v>
      </c>
      <c r="W36" s="770">
        <f t="shared" si="12"/>
        <v>100</v>
      </c>
      <c r="X36" s="771"/>
      <c r="Y36" s="3502"/>
      <c r="Z36" s="55" t="str">
        <f t="shared" si="13"/>
        <v>宗地开发程度</v>
      </c>
      <c r="AA36" s="772">
        <f t="shared" si="3"/>
        <v>1</v>
      </c>
      <c r="AB36" s="772">
        <f t="shared" si="4"/>
        <v>1</v>
      </c>
      <c r="AC36" s="772">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02" t="s">
        <v>2561</v>
      </c>
      <c r="Q37" s="1806" t="str">
        <f t="shared" si="14"/>
        <v>工程地质条件</v>
      </c>
      <c r="R37" s="773" t="s">
        <v>17</v>
      </c>
      <c r="S37" s="774">
        <f t="shared" si="10"/>
        <v>100</v>
      </c>
      <c r="T37" s="773" t="s">
        <v>17</v>
      </c>
      <c r="U37" s="774">
        <f t="shared" si="11"/>
        <v>100</v>
      </c>
      <c r="V37" s="773" t="s">
        <v>17</v>
      </c>
      <c r="W37" s="774">
        <f t="shared" si="12"/>
        <v>100</v>
      </c>
      <c r="X37" s="1809"/>
      <c r="Y37" s="3502"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02"/>
      <c r="Q38" s="1806">
        <f t="shared" si="14"/>
        <v>111</v>
      </c>
      <c r="R38" s="773" t="s">
        <v>17</v>
      </c>
      <c r="S38" s="774">
        <f t="shared" si="10"/>
        <v>100</v>
      </c>
      <c r="T38" s="773" t="s">
        <v>17</v>
      </c>
      <c r="U38" s="774">
        <f t="shared" si="11"/>
        <v>100</v>
      </c>
      <c r="V38" s="773" t="s">
        <v>17</v>
      </c>
      <c r="W38" s="774">
        <f t="shared" si="12"/>
        <v>100</v>
      </c>
      <c r="X38" s="1809"/>
      <c r="Y38" s="3502"/>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02"/>
      <c r="Q39" s="1806">
        <f t="shared" si="14"/>
        <v>111</v>
      </c>
      <c r="R39" s="773" t="s">
        <v>17</v>
      </c>
      <c r="S39" s="774">
        <f t="shared" si="10"/>
        <v>100</v>
      </c>
      <c r="T39" s="773" t="s">
        <v>17</v>
      </c>
      <c r="U39" s="774">
        <f t="shared" si="11"/>
        <v>100</v>
      </c>
      <c r="V39" s="773" t="s">
        <v>17</v>
      </c>
      <c r="W39" s="774">
        <f t="shared" si="12"/>
        <v>100</v>
      </c>
      <c r="X39" s="1809"/>
      <c r="Y39" s="3502"/>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02"/>
      <c r="Q40" s="1806">
        <f t="shared" si="14"/>
        <v>111</v>
      </c>
      <c r="R40" s="776" t="s">
        <v>17</v>
      </c>
      <c r="S40" s="777">
        <f t="shared" si="10"/>
        <v>100</v>
      </c>
      <c r="T40" s="776" t="s">
        <v>17</v>
      </c>
      <c r="U40" s="777">
        <f t="shared" si="11"/>
        <v>100</v>
      </c>
      <c r="V40" s="776" t="s">
        <v>17</v>
      </c>
      <c r="W40" s="777">
        <f t="shared" si="12"/>
        <v>100</v>
      </c>
      <c r="X40" s="778"/>
      <c r="Y40" s="3502"/>
      <c r="Z40" s="779">
        <f t="shared" si="13"/>
        <v>111</v>
      </c>
      <c r="AA40" s="1807">
        <f t="shared" si="3"/>
        <v>1</v>
      </c>
      <c r="AB40" s="1807">
        <f t="shared" si="4"/>
        <v>1</v>
      </c>
      <c r="AC40" s="1807">
        <f t="shared" si="5"/>
        <v>1</v>
      </c>
    </row>
    <row r="41" spans="1:29" ht="15">
      <c r="A41" s="479" t="s">
        <v>2716</v>
      </c>
      <c r="B41" s="2701" t="s">
        <v>2796</v>
      </c>
      <c r="C41" s="682" t="s">
        <v>1</v>
      </c>
      <c r="D41" s="481"/>
      <c r="E41" s="482"/>
      <c r="F41" s="483"/>
      <c r="G41" s="484"/>
      <c r="H41" s="485"/>
      <c r="I41" s="482"/>
      <c r="J41" s="485"/>
      <c r="K41" s="782"/>
      <c r="L41" s="1145"/>
      <c r="M41" s="1133"/>
      <c r="N41" s="1133"/>
      <c r="O41" s="1146"/>
      <c r="P41" s="3490" t="str">
        <f>A41</f>
        <v>成交单价</v>
      </c>
      <c r="Q41" s="3490"/>
      <c r="R41" s="3524">
        <f>E41</f>
        <v>0</v>
      </c>
      <c r="S41" s="3524"/>
      <c r="T41" s="3524">
        <f>G41</f>
        <v>0</v>
      </c>
      <c r="U41" s="3524"/>
      <c r="V41" s="3524">
        <f>I41</f>
        <v>0</v>
      </c>
      <c r="W41" s="3524"/>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5"/>
      <c r="M42" s="1133"/>
      <c r="N42" s="1133"/>
      <c r="O42" s="1146"/>
      <c r="P42" s="3490" t="str">
        <f>A42</f>
        <v>比较价值（元/平方米）</v>
      </c>
      <c r="Q42" s="3490"/>
      <c r="R42" s="3582" t="e">
        <f>ROUND(PRODUCT(R41,AA7:AA40),0)</f>
        <v>#DIV/0!</v>
      </c>
      <c r="S42" s="3582"/>
      <c r="T42" s="3582" t="e">
        <f>ROUND(PRODUCT(T41,AB7:AB40),0)</f>
        <v>#DIV/0!</v>
      </c>
      <c r="U42" s="3582"/>
      <c r="V42" s="3582" t="e">
        <f>ROUND(PRODUCT(V41,AC7:AC40),0)</f>
        <v>#DIV/0!</v>
      </c>
      <c r="W42" s="3582"/>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569" t="str">
        <f>A43</f>
        <v>估价对象XX用房的比较价值（楼面单价，元/平方米）</v>
      </c>
      <c r="Q43" s="3570"/>
      <c r="R43" s="3583" t="e">
        <f>ROUND(AVERAGE(R42:V42),0)</f>
        <v>#DIV/0!</v>
      </c>
      <c r="S43" s="3583"/>
      <c r="T43" s="3583"/>
      <c r="U43" s="3583"/>
      <c r="V43" s="3583"/>
      <c r="W43" s="358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2754</v>
      </c>
      <c r="B50" s="685" t="s">
        <v>2755</v>
      </c>
      <c r="C50" s="2702" t="s">
        <v>2756</v>
      </c>
      <c r="D50" s="2703" t="s">
        <v>2757</v>
      </c>
      <c r="E50" s="686" t="s">
        <v>2758</v>
      </c>
      <c r="F50" s="687" t="s">
        <v>2759</v>
      </c>
      <c r="G50" s="3507" t="s">
        <v>2760</v>
      </c>
      <c r="H50" s="3584"/>
      <c r="I50" s="1810" t="s">
        <v>2797</v>
      </c>
      <c r="J50" s="1810">
        <f>项目基本情况!F35</f>
        <v>0</v>
      </c>
      <c r="K50" s="2705" t="s">
        <v>2762</v>
      </c>
      <c r="L50" s="1108"/>
      <c r="M50" s="1146"/>
      <c r="N50" s="1146"/>
      <c r="O50" s="1146"/>
    </row>
    <row r="51" spans="1:17" s="692" customFormat="1">
      <c r="A51" s="688" t="s">
        <v>2763</v>
      </c>
      <c r="B51" s="689" t="e">
        <f>C43</f>
        <v>#DIV/0!</v>
      </c>
      <c r="C51" s="690">
        <v>1</v>
      </c>
      <c r="D51" s="1165">
        <v>1</v>
      </c>
      <c r="E51" s="690">
        <f>'数据-汇总表'!E8+'数据-汇总表'!E9</f>
        <v>34081.78</v>
      </c>
      <c r="F51" s="691" t="e">
        <f t="shared" ref="F51:F60" si="15">ROUND(B51*E51/10000,0)</f>
        <v>#DIV/0!</v>
      </c>
      <c r="G51" s="3489"/>
      <c r="H51" s="3490"/>
      <c r="I51" s="944">
        <v>1</v>
      </c>
      <c r="J51" s="944">
        <v>1</v>
      </c>
      <c r="K51" s="1147"/>
      <c r="L51" s="943"/>
      <c r="M51" s="943"/>
      <c r="N51" s="943"/>
      <c r="O51" s="943"/>
    </row>
    <row r="52" spans="1:17" s="692" customFormat="1">
      <c r="A52" s="693" t="s">
        <v>2764</v>
      </c>
      <c r="B52" s="262" t="e">
        <f>ROUND($C$43*C52*D52,0)</f>
        <v>#DIV/0!</v>
      </c>
      <c r="C52" s="200">
        <f t="shared" ref="C52:C60" si="16">IF($C$50="北京市系数",I52,J52)</f>
        <v>0</v>
      </c>
      <c r="D52" s="1166">
        <v>0.25</v>
      </c>
      <c r="E52" s="694"/>
      <c r="F52" s="691" t="e">
        <f t="shared" si="15"/>
        <v>#DIV/0!</v>
      </c>
      <c r="G52" s="3585" t="s">
        <v>2765</v>
      </c>
      <c r="H52" s="1106">
        <f>项目基本情况!B37</f>
        <v>0</v>
      </c>
      <c r="I52" s="944">
        <f>SUMIF(修正!A45:A56,H52,修正!B45:B56)</f>
        <v>0</v>
      </c>
      <c r="J52" s="945"/>
      <c r="K52" s="1146"/>
      <c r="L52" s="943"/>
      <c r="M52" s="943"/>
      <c r="N52" s="943"/>
      <c r="O52" s="943"/>
    </row>
    <row r="53" spans="1:17" s="692" customFormat="1">
      <c r="A53" s="693" t="s">
        <v>2766</v>
      </c>
      <c r="B53" s="262" t="e">
        <f t="shared" ref="B53:B60" si="17">ROUND($C$43*C53*D53,0)</f>
        <v>#DIV/0!</v>
      </c>
      <c r="C53" s="200">
        <f t="shared" si="16"/>
        <v>0</v>
      </c>
      <c r="D53" s="1166">
        <v>0.25</v>
      </c>
      <c r="E53" s="694"/>
      <c r="F53" s="691" t="e">
        <f t="shared" si="15"/>
        <v>#DIV/0!</v>
      </c>
      <c r="G53" s="3585"/>
      <c r="H53" s="1106">
        <f>项目基本情况!B37</f>
        <v>0</v>
      </c>
      <c r="I53" s="944">
        <f>SUMIF(修正!A45:A56,H53,修正!C45:C56)</f>
        <v>0</v>
      </c>
      <c r="J53" s="945"/>
      <c r="K53" s="1147"/>
      <c r="L53" s="943"/>
      <c r="M53" s="943"/>
      <c r="N53" s="943"/>
      <c r="O53" s="943"/>
    </row>
    <row r="54" spans="1:17" s="692" customFormat="1">
      <c r="A54" s="693" t="s">
        <v>2767</v>
      </c>
      <c r="B54" s="262" t="e">
        <f t="shared" si="17"/>
        <v>#DIV/0!</v>
      </c>
      <c r="C54" s="200">
        <f t="shared" si="16"/>
        <v>0</v>
      </c>
      <c r="D54" s="1166">
        <v>0.25</v>
      </c>
      <c r="E54" s="694"/>
      <c r="F54" s="691" t="e">
        <f t="shared" si="15"/>
        <v>#DIV/0!</v>
      </c>
      <c r="G54" s="3585"/>
      <c r="H54" s="1106">
        <f>项目基本情况!B37</f>
        <v>0</v>
      </c>
      <c r="I54" s="944">
        <f>SUMIF(修正!A45:A56,H54,修正!D45:D56)</f>
        <v>0</v>
      </c>
      <c r="J54" s="945"/>
      <c r="K54" s="1146"/>
      <c r="L54" s="943"/>
      <c r="M54" s="943"/>
      <c r="N54" s="943"/>
      <c r="O54" s="943"/>
    </row>
    <row r="55" spans="1:17" s="692" customFormat="1">
      <c r="A55" s="693" t="s">
        <v>2768</v>
      </c>
      <c r="B55" s="262" t="e">
        <f t="shared" si="17"/>
        <v>#DIV/0!</v>
      </c>
      <c r="C55" s="200">
        <f t="shared" si="16"/>
        <v>0</v>
      </c>
      <c r="D55" s="1166">
        <v>0.25</v>
      </c>
      <c r="E55" s="694"/>
      <c r="F55" s="691" t="e">
        <f t="shared" si="15"/>
        <v>#DIV/0!</v>
      </c>
      <c r="G55" s="3585"/>
      <c r="H55" s="1106">
        <f>项目基本情况!B37</f>
        <v>0</v>
      </c>
      <c r="I55" s="944">
        <f>SUMIF(修正!A45:A56,H55,修正!E45:E56)</f>
        <v>0</v>
      </c>
      <c r="J55" s="945"/>
      <c r="K55" s="1147"/>
      <c r="L55" s="943"/>
      <c r="M55" s="943"/>
      <c r="N55" s="943"/>
      <c r="O55" s="943"/>
    </row>
    <row r="56" spans="1:17" s="692" customFormat="1">
      <c r="A56" s="693" t="s">
        <v>2769</v>
      </c>
      <c r="B56" s="262" t="e">
        <f t="shared" si="17"/>
        <v>#DIV/0!</v>
      </c>
      <c r="C56" s="200">
        <f t="shared" si="16"/>
        <v>0.25</v>
      </c>
      <c r="D56" s="1166">
        <v>0.25</v>
      </c>
      <c r="E56" s="261">
        <f>'数据-汇总表'!E11</f>
        <v>0</v>
      </c>
      <c r="F56" s="691" t="e">
        <f t="shared" si="15"/>
        <v>#DIV/0!</v>
      </c>
      <c r="G56" s="2706" t="s">
        <v>2770</v>
      </c>
      <c r="H56" s="1106" t="str">
        <f>项目基本情况!C37</f>
        <v>七级</v>
      </c>
      <c r="I56" s="944">
        <f>SUMIF(修正!A45:A56,H56,修正!F45:F56)</f>
        <v>0.25</v>
      </c>
      <c r="J56" s="945"/>
      <c r="K56" s="1146"/>
      <c r="L56" s="943"/>
      <c r="M56" s="943"/>
      <c r="N56" s="943"/>
      <c r="O56" s="943"/>
    </row>
    <row r="57" spans="1:17" s="692" customFormat="1">
      <c r="A57" s="693" t="s">
        <v>2771</v>
      </c>
      <c r="B57" s="262" t="e">
        <f t="shared" si="17"/>
        <v>#DIV/0!</v>
      </c>
      <c r="C57" s="200">
        <f t="shared" si="16"/>
        <v>0.25</v>
      </c>
      <c r="D57" s="1166">
        <v>0.25</v>
      </c>
      <c r="E57" s="261">
        <f>'数据-汇总表'!E12</f>
        <v>0</v>
      </c>
      <c r="F57" s="691" t="e">
        <f t="shared" si="15"/>
        <v>#DIV/0!</v>
      </c>
      <c r="G57" s="1111" t="s">
        <v>2772</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2775</v>
      </c>
      <c r="B59" s="262" t="e">
        <f t="shared" si="17"/>
        <v>#DIV/0!</v>
      </c>
      <c r="C59" s="200">
        <f t="shared" si="16"/>
        <v>0</v>
      </c>
      <c r="D59" s="1166">
        <v>0.25</v>
      </c>
      <c r="E59" s="261">
        <f>'数据-汇总表'!E14</f>
        <v>0</v>
      </c>
      <c r="F59" s="691" t="e">
        <f t="shared" si="15"/>
        <v>#DIV/0!</v>
      </c>
      <c r="G59" s="2706" t="s">
        <v>2765</v>
      </c>
      <c r="H59" s="1106">
        <f>项目基本情况!B37</f>
        <v>0</v>
      </c>
      <c r="I59" s="944">
        <f>SUMIF(修正!A45:A56,H59,修正!H45:H56)</f>
        <v>0</v>
      </c>
      <c r="J59" s="945"/>
      <c r="K59" s="1147"/>
      <c r="L59" s="943"/>
      <c r="M59" s="943"/>
      <c r="N59" s="943"/>
      <c r="O59" s="943"/>
    </row>
    <row r="60" spans="1:17" s="692" customFormat="1" ht="15" thickBot="1">
      <c r="A60" s="693" t="s">
        <v>2776</v>
      </c>
      <c r="B60" s="262" t="e">
        <f t="shared" si="17"/>
        <v>#DIV/0!</v>
      </c>
      <c r="C60" s="200">
        <f t="shared" si="16"/>
        <v>0.2</v>
      </c>
      <c r="D60" s="1166">
        <v>0.25</v>
      </c>
      <c r="E60" s="261">
        <f>'数据-汇总表'!E15</f>
        <v>0</v>
      </c>
      <c r="F60" s="691" t="e">
        <f t="shared" si="15"/>
        <v>#DIV/0!</v>
      </c>
      <c r="G60" s="2707" t="s">
        <v>2770</v>
      </c>
      <c r="H60" s="1116" t="str">
        <f>项目基本情况!C37</f>
        <v>七级</v>
      </c>
      <c r="I60" s="944">
        <f>SUMIF(修正!A45:A56,H60,修正!H45:H56)</f>
        <v>0.2</v>
      </c>
      <c r="J60" s="945"/>
      <c r="K60" s="1146"/>
      <c r="L60" s="943"/>
      <c r="M60" s="943"/>
      <c r="N60" s="943"/>
      <c r="O60" s="943"/>
    </row>
    <row r="61" spans="1:17" s="692" customFormat="1" ht="15" thickBot="1">
      <c r="A61" s="695" t="s">
        <v>2777</v>
      </c>
      <c r="B61" s="696" t="s">
        <v>28</v>
      </c>
      <c r="C61" s="696" t="s">
        <v>29</v>
      </c>
      <c r="D61" s="696" t="s">
        <v>1026</v>
      </c>
      <c r="E61" s="696">
        <f>IF(B41="楼面地价",SUM(E51:E60),'数据-汇总表'!D3)</f>
        <v>8774.68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08" t="s">
        <v>2778</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7"/>
    </row>
    <row r="66" spans="1:17" s="117" customFormat="1" ht="30.75" customHeight="1">
      <c r="A66" s="2713" t="s">
        <v>2798</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8" customWidth="1"/>
    <col min="33" max="36" width="9.375" style="2793"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6"/>
      <c r="L1" s="2715" t="s">
        <v>2802</v>
      </c>
      <c r="M1" s="1082">
        <f>SUMPRODUCT((区片价!B5:B9=I2)*(区片价!C3:F3=E2)*(区片价!C5:F9))</f>
        <v>0</v>
      </c>
      <c r="N1" s="1085">
        <f>SUMPRODUCT((因素修正幅度!B5:B9=I2)*(因素修正幅度!C3:F3=E2)*(因素修正幅度!C5:F9))</f>
        <v>0</v>
      </c>
      <c r="O1" s="2716"/>
      <c r="P1" s="2716"/>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6"/>
      <c r="L2" s="2723" t="s">
        <v>2813</v>
      </c>
      <c r="M2" s="1083">
        <f>SUMPRODUCT((区片价!B10:B28=I2)*(区片价!C3:F3=E2)*(区片价!C10:F28))</f>
        <v>0</v>
      </c>
      <c r="N2" s="1085">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2814</v>
      </c>
      <c r="B3" s="248" t="e">
        <f>ROUND(B2*10000/D1,0)</f>
        <v>#DIV/0!</v>
      </c>
      <c r="C3" s="2718" t="s">
        <v>2815</v>
      </c>
      <c r="D3" s="2719" t="s">
        <v>2816</v>
      </c>
      <c r="E3" s="2724"/>
      <c r="F3" s="2725" t="s">
        <v>2817</v>
      </c>
      <c r="G3" s="915">
        <f>IF(F3="宗地容积率",'数据-汇总表'!I4,IF(F3="估价对象容积率",'数据-汇总表'!I6,'数据-汇总表'!I7))</f>
        <v>2.64</v>
      </c>
      <c r="H3" s="198" t="s">
        <v>2818</v>
      </c>
      <c r="I3" s="946"/>
      <c r="J3" s="2722" t="s">
        <v>2819</v>
      </c>
      <c r="K3" s="1366"/>
      <c r="L3" s="2723" t="s">
        <v>2820</v>
      </c>
      <c r="M3" s="1083">
        <f>SUMPRODUCT((区片价!B29:B48=I2)*(区片价!C3:F3=E2)*(区片价!C29:F48))</f>
        <v>0</v>
      </c>
      <c r="N3" s="1085">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593"/>
      <c r="B4" s="3594"/>
      <c r="C4" s="3594"/>
      <c r="D4" s="3595"/>
      <c r="E4" s="3595"/>
      <c r="F4" s="3595"/>
      <c r="G4" s="3595"/>
      <c r="H4" s="3595"/>
      <c r="I4" s="3595"/>
      <c r="J4" s="3596"/>
      <c r="K4" s="1366"/>
      <c r="L4" s="2723" t="s">
        <v>2821</v>
      </c>
      <c r="M4" s="1083">
        <f>SUMPRODUCT((区片价!B49:B75=I2)*(区片价!C3:F3=E2)*(区片价!C49:F75))</f>
        <v>0</v>
      </c>
      <c r="N4" s="1085">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2822</v>
      </c>
      <c r="C5" s="916" t="e">
        <f>ROUND(IF(E2="商业",IF(F16="增加",C6*C7+C16,C6*C7-C16),IF(E2="住宅",IF(F16="增加",C6*C12+C16,C6*C12-C16),IF(F16="增加",C6+C16,C6-C16))),0)</f>
        <v>#DIV/0!</v>
      </c>
      <c r="D5" s="1783" t="e">
        <f>ROUND(IF(F16="增加",C6+C16,C6-C16),0)</f>
        <v>#DIV/0!</v>
      </c>
      <c r="E5" s="1783"/>
      <c r="F5" s="2728"/>
      <c r="G5" s="2729"/>
      <c r="H5" s="2729"/>
      <c r="I5" s="2729"/>
      <c r="J5" s="2730"/>
      <c r="K5" s="2731"/>
      <c r="L5" s="2723" t="s">
        <v>2823</v>
      </c>
      <c r="M5" s="1083">
        <f>SUMPRODUCT((区片价!B76:B109=I2)*(区片价!C3:F3=E2)*(区片价!C76:F109))</f>
        <v>0</v>
      </c>
      <c r="N5" s="1085">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2824</v>
      </c>
      <c r="B6" s="2737" t="s">
        <v>2825</v>
      </c>
      <c r="C6" s="917">
        <f>SUMIF(L1:L12,G2,M1:M12)</f>
        <v>0</v>
      </c>
      <c r="D6" s="2738" t="s">
        <v>2826</v>
      </c>
      <c r="E6" s="2739"/>
      <c r="F6" s="2739"/>
      <c r="G6" s="2740"/>
      <c r="H6" s="2740"/>
      <c r="I6" s="2740"/>
      <c r="J6" s="2741"/>
      <c r="K6" s="1838"/>
      <c r="L6" s="2723" t="s">
        <v>2827</v>
      </c>
      <c r="M6" s="1083">
        <f>SUMPRODUCT((区片价!B110:B157=I2)*(区片价!C3:F3=E2)*(区片价!C110:F157))</f>
        <v>0</v>
      </c>
      <c r="N6" s="1085">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597" t="str">
        <f>IF(E2="商业",IF(C8="不临58条商业街","",2),"")</f>
        <v/>
      </c>
      <c r="B7" s="2742" t="s">
        <v>2828</v>
      </c>
      <c r="C7" s="918" t="e">
        <f>IF(C8="不临58条商业街",1,ROUND(1+(1.6*E8+1.2*E9+0.8*E10+0.4*E11)*C9,4))</f>
        <v>#DIV/0!</v>
      </c>
      <c r="D7" s="2743" t="s">
        <v>2829</v>
      </c>
      <c r="E7" s="947"/>
      <c r="F7" s="2744"/>
      <c r="G7" s="2745"/>
      <c r="H7" s="2745"/>
      <c r="I7" s="2745"/>
      <c r="J7" s="2746"/>
      <c r="K7" s="1838"/>
      <c r="L7" s="2723" t="s">
        <v>2830</v>
      </c>
      <c r="M7" s="1083">
        <f>SUMPRODUCT((区片价!B158:B205=I2)*(区片价!C3:F3=E2)*(区片价!C158:F205))</f>
        <v>0</v>
      </c>
      <c r="N7" s="1085">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2.64</v>
      </c>
      <c r="AA7" s="1602"/>
      <c r="AB7" s="1602"/>
      <c r="AC7" s="1603"/>
      <c r="AD7" s="1604"/>
      <c r="AE7" s="1604"/>
      <c r="AF7" s="1604"/>
      <c r="AG7" s="1604"/>
      <c r="AH7" s="1604"/>
      <c r="AI7" s="1604"/>
      <c r="AJ7" s="1605"/>
    </row>
    <row r="8" spans="1:36" ht="15">
      <c r="A8" s="3598"/>
      <c r="B8" s="198" t="s">
        <v>2833</v>
      </c>
      <c r="C8" s="2747"/>
      <c r="D8" s="919" t="s">
        <v>139</v>
      </c>
      <c r="E8" s="920" t="e">
        <f>ROUND(C11/E7,4)</f>
        <v>#DIV/0!</v>
      </c>
      <c r="F8" s="2748" t="s">
        <v>2834</v>
      </c>
      <c r="G8" s="2749"/>
      <c r="H8" s="2749"/>
      <c r="I8" s="2749"/>
      <c r="J8" s="2750"/>
      <c r="K8" s="1366"/>
      <c r="L8" s="2723" t="s">
        <v>2835</v>
      </c>
      <c r="M8" s="1083">
        <f>SUMPRODUCT((区片价!B206:B244=I2)*(区片价!C3:F3=E2)*(区片价!C206:F244))</f>
        <v>0</v>
      </c>
      <c r="N8" s="1085">
        <f>SUMPRODUCT((因素修正幅度!B206:B244=I2)*(因素修正幅度!C3:F3=E2)*(因素修正幅度!C206:F244))</f>
        <v>0</v>
      </c>
      <c r="O8" s="1366"/>
      <c r="P8" s="1366"/>
      <c r="Q8" s="1366"/>
      <c r="R8" s="1598">
        <v>7</v>
      </c>
      <c r="S8" s="1599"/>
      <c r="T8" s="1598" t="e">
        <f t="shared" si="0"/>
        <v>#DIV/0!</v>
      </c>
      <c r="U8" s="1599"/>
      <c r="V8" s="1598" t="e">
        <f t="shared" si="1"/>
        <v>#DIV/0!</v>
      </c>
      <c r="W8" s="3590" t="s">
        <v>2836</v>
      </c>
      <c r="X8" s="3591"/>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598"/>
      <c r="B9" s="198" t="s">
        <v>2849</v>
      </c>
      <c r="C9" s="921">
        <f>SUMIF(修正!C59:C119,C8,修正!E59:E119)</f>
        <v>0</v>
      </c>
      <c r="D9" s="200" t="s">
        <v>140</v>
      </c>
      <c r="E9" s="200" t="e">
        <f>ROUND(C11/E7,4)</f>
        <v>#DIV/0!</v>
      </c>
      <c r="F9" s="2748" t="s">
        <v>2850</v>
      </c>
      <c r="G9" s="2749"/>
      <c r="H9" s="2749"/>
      <c r="I9" s="2749"/>
      <c r="J9" s="2750"/>
      <c r="K9" s="1366"/>
      <c r="L9" s="2723" t="s">
        <v>2851</v>
      </c>
      <c r="M9" s="1083">
        <f>SUMPRODUCT((区片价!B245:B289=I2)*(区片价!C3:F3=E2)*(区片价!C245:F289))</f>
        <v>0</v>
      </c>
      <c r="N9" s="1085">
        <f>SUMPRODUCT((因素修正幅度!B245:B289=I2)*(因素修正幅度!C3:F3=E2)*(因素修正幅度!C245:F289))</f>
        <v>0</v>
      </c>
      <c r="O9" s="1366"/>
      <c r="P9" s="1366"/>
      <c r="Q9" s="1366"/>
      <c r="R9" s="1598">
        <v>8</v>
      </c>
      <c r="S9" s="1599"/>
      <c r="T9" s="1598" t="e">
        <f t="shared" si="0"/>
        <v>#DIV/0!</v>
      </c>
      <c r="U9" s="1599"/>
      <c r="V9" s="1598" t="e">
        <f t="shared" si="1"/>
        <v>#DIV/0!</v>
      </c>
      <c r="W9" s="3592"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598"/>
      <c r="B10" s="198" t="s">
        <v>2854</v>
      </c>
      <c r="C10" s="200">
        <f>SUMIF(修正!C59:C119,C8,修正!F59:F119)</f>
        <v>0</v>
      </c>
      <c r="D10" s="200" t="s">
        <v>141</v>
      </c>
      <c r="E10" s="200" t="e">
        <f>ROUND(C11/E7,4)</f>
        <v>#DIV/0!</v>
      </c>
      <c r="F10" s="2748" t="s">
        <v>2855</v>
      </c>
      <c r="G10" s="2749"/>
      <c r="H10" s="2749"/>
      <c r="I10" s="2749"/>
      <c r="J10" s="2750"/>
      <c r="K10" s="1366"/>
      <c r="L10" s="2723" t="s">
        <v>2856</v>
      </c>
      <c r="M10" s="1083">
        <f>SUMPRODUCT((区片价!B290:B316=I2)*(区片价!C3:F3=E2)*(区片价!C290:F316))</f>
        <v>0</v>
      </c>
      <c r="N10" s="1085">
        <f>SUMPRODUCT((因素修正幅度!B290:B316=I2)*(因素修正幅度!C3:F3=E2)*(因素修正幅度!C290:F316))</f>
        <v>0</v>
      </c>
      <c r="O10" s="1366"/>
      <c r="P10" s="1366"/>
      <c r="Q10" s="1366"/>
      <c r="R10" s="1598">
        <v>9</v>
      </c>
      <c r="S10" s="1599"/>
      <c r="T10" s="1598" t="e">
        <f t="shared" si="0"/>
        <v>#DIV/0!</v>
      </c>
      <c r="U10" s="1599"/>
      <c r="V10" s="1598" t="e">
        <f t="shared" si="1"/>
        <v>#DIV/0!</v>
      </c>
      <c r="W10" s="359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598"/>
      <c r="B11" s="2751" t="s">
        <v>2857</v>
      </c>
      <c r="C11" s="922">
        <f>C10/4</f>
        <v>0</v>
      </c>
      <c r="D11" s="922" t="s">
        <v>142</v>
      </c>
      <c r="E11" s="922" t="e">
        <f>ROUND(C11/E7,4)</f>
        <v>#DIV/0!</v>
      </c>
      <c r="F11" s="2752" t="s">
        <v>2858</v>
      </c>
      <c r="G11" s="2753"/>
      <c r="H11" s="2753"/>
      <c r="I11" s="2753"/>
      <c r="J11" s="2754"/>
      <c r="K11" s="1366"/>
      <c r="L11" s="2723" t="s">
        <v>2859</v>
      </c>
      <c r="M11" s="1083">
        <f>SUMPRODUCT((区片价!B317:B337=I2)*(区片价!C3:F3=E2)*(区片价!C317:F337))</f>
        <v>0</v>
      </c>
      <c r="N11" s="1085">
        <f>SUMPRODUCT((因素修正幅度!B317:B337=I2)*(因素修正幅度!C3:F3=E2)*(因素修正幅度!C317:F337))</f>
        <v>0</v>
      </c>
      <c r="O11" s="1366"/>
      <c r="P11" s="1366"/>
      <c r="Q11" s="1366"/>
      <c r="R11" s="1598">
        <v>10</v>
      </c>
      <c r="S11" s="1599"/>
      <c r="T11" s="1598" t="e">
        <f t="shared" si="0"/>
        <v>#DIV/0!</v>
      </c>
      <c r="U11" s="1599"/>
      <c r="V11" s="1598" t="e">
        <f t="shared" si="1"/>
        <v>#DIV/0!</v>
      </c>
      <c r="W11" s="3592" t="s">
        <v>2860</v>
      </c>
      <c r="X11" s="1610" t="s">
        <v>2861</v>
      </c>
      <c r="Y11" s="1611">
        <f>$G$3</f>
        <v>2.64</v>
      </c>
      <c r="Z11" s="1611">
        <f t="shared" ref="Z11:AJ11" si="3">$G$3</f>
        <v>2.64</v>
      </c>
      <c r="AA11" s="1611">
        <f t="shared" si="3"/>
        <v>2.64</v>
      </c>
      <c r="AB11" s="1611">
        <f t="shared" si="3"/>
        <v>2.64</v>
      </c>
      <c r="AC11" s="1611">
        <f t="shared" si="3"/>
        <v>2.64</v>
      </c>
      <c r="AD11" s="1611">
        <f t="shared" si="3"/>
        <v>2.64</v>
      </c>
      <c r="AE11" s="1611">
        <f t="shared" si="3"/>
        <v>2.64</v>
      </c>
      <c r="AF11" s="1611">
        <f t="shared" si="3"/>
        <v>2.64</v>
      </c>
      <c r="AG11" s="1611">
        <f t="shared" si="3"/>
        <v>2.64</v>
      </c>
      <c r="AH11" s="1611">
        <f t="shared" si="3"/>
        <v>2.64</v>
      </c>
      <c r="AI11" s="1611">
        <f t="shared" si="3"/>
        <v>2.64</v>
      </c>
      <c r="AJ11" s="1611">
        <f t="shared" si="3"/>
        <v>2.64</v>
      </c>
    </row>
    <row r="12" spans="1:36" ht="25.5" thickBot="1">
      <c r="A12" s="3597" t="s">
        <v>2862</v>
      </c>
      <c r="B12" s="2755" t="s">
        <v>2863</v>
      </c>
      <c r="C12" s="918">
        <f>ROUND(C15*D15*E15*F15*G15*H15*I15*J15,4)</f>
        <v>1</v>
      </c>
      <c r="D12" s="2756" t="s">
        <v>2864</v>
      </c>
      <c r="E12" s="2757"/>
      <c r="F12" s="2757"/>
      <c r="G12" s="2758"/>
      <c r="H12" s="2758"/>
      <c r="I12" s="2758"/>
      <c r="J12" s="2759"/>
      <c r="K12" s="1366"/>
      <c r="L12" s="2760" t="s">
        <v>2865</v>
      </c>
      <c r="M12" s="1084">
        <f>SUMPRODUCT((区片价!B338:B344=I2)*(区片价!C3:F3=E2)*(区片价!C338:F344))</f>
        <v>0</v>
      </c>
      <c r="N12" s="1085">
        <f>SUMPRODUCT((因素修正幅度!B338:B344=I2)*(因素修正幅度!C3:F3=E2)*(因素修正幅度!C338:F344))</f>
        <v>0</v>
      </c>
      <c r="O12" s="1366"/>
      <c r="P12" s="1366"/>
      <c r="Q12" s="1366"/>
      <c r="R12" s="1598">
        <v>11</v>
      </c>
      <c r="S12" s="1599"/>
      <c r="T12" s="1598" t="e">
        <f t="shared" si="0"/>
        <v>#DIV/0!</v>
      </c>
      <c r="U12" s="1599"/>
      <c r="V12" s="1598" t="e">
        <f t="shared" si="1"/>
        <v>#DIV/0!</v>
      </c>
      <c r="W12" s="3592"/>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599"/>
      <c r="B13" s="2761" t="s">
        <v>2867</v>
      </c>
      <c r="C13" s="2762" t="s">
        <v>2868</v>
      </c>
      <c r="D13" s="1804" t="s">
        <v>2869</v>
      </c>
      <c r="E13" s="1804" t="s">
        <v>2870</v>
      </c>
      <c r="F13" s="30" t="s">
        <v>2871</v>
      </c>
      <c r="G13" s="2763" t="s">
        <v>2872</v>
      </c>
      <c r="H13" s="2763" t="s">
        <v>2872</v>
      </c>
      <c r="I13" s="2763" t="s">
        <v>2872</v>
      </c>
      <c r="J13" s="2764" t="s">
        <v>2872</v>
      </c>
      <c r="K13" s="1366"/>
      <c r="L13" s="1366"/>
      <c r="M13" s="1366"/>
      <c r="N13" s="1366"/>
      <c r="O13" s="1366"/>
      <c r="P13" s="1366"/>
      <c r="Q13" s="1366"/>
      <c r="R13" s="1598">
        <v>12</v>
      </c>
      <c r="S13" s="1599"/>
      <c r="T13" s="1598" t="e">
        <f t="shared" si="0"/>
        <v>#DIV/0!</v>
      </c>
      <c r="U13" s="1599"/>
      <c r="V13" s="1598" t="e">
        <f t="shared" si="1"/>
        <v>#DIV/0!</v>
      </c>
      <c r="W13" s="3592"/>
      <c r="X13" s="1612"/>
      <c r="Y13" s="1609">
        <f>(-0.163*(Y12^2)-0.59*Y12+7617)*(10^(-4))/Y11</f>
        <v>0.28852272727272726</v>
      </c>
      <c r="Z13" s="1609">
        <f t="shared" ref="Z13:AJ13" si="5">(-0.163*(Z12^2)-0.59*Z12+7617)*(10^(-4))/Z11</f>
        <v>0.28852272727272726</v>
      </c>
      <c r="AA13" s="1609">
        <f t="shared" si="5"/>
        <v>0.28852272727272726</v>
      </c>
      <c r="AB13" s="1609">
        <f t="shared" si="5"/>
        <v>0.28852272727272726</v>
      </c>
      <c r="AC13" s="1609">
        <f t="shared" si="5"/>
        <v>0.28852272727272726</v>
      </c>
      <c r="AD13" s="1609">
        <f t="shared" si="5"/>
        <v>0.28852272727272726</v>
      </c>
      <c r="AE13" s="1609">
        <f t="shared" si="5"/>
        <v>0.28852272727272726</v>
      </c>
      <c r="AF13" s="1609">
        <f t="shared" si="5"/>
        <v>0.28852272727272726</v>
      </c>
      <c r="AG13" s="1609">
        <f t="shared" si="5"/>
        <v>0.28852272727272726</v>
      </c>
      <c r="AH13" s="1609">
        <f t="shared" si="5"/>
        <v>0.28852272727272726</v>
      </c>
      <c r="AI13" s="1609">
        <f t="shared" si="5"/>
        <v>0.28852272727272726</v>
      </c>
      <c r="AJ13" s="1609">
        <f t="shared" si="5"/>
        <v>0.28852272727272726</v>
      </c>
    </row>
    <row r="14" spans="1:36" ht="15">
      <c r="A14" s="3599"/>
      <c r="B14" s="2765"/>
      <c r="C14" s="2766"/>
      <c r="D14" s="2767"/>
      <c r="E14" s="2767"/>
      <c r="F14" s="2768"/>
      <c r="G14" s="2769" t="s">
        <v>2873</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600"/>
      <c r="B15" s="2773" t="s">
        <v>2874</v>
      </c>
      <c r="C15" s="229">
        <f>IF(C14="有",1.1,1)</f>
        <v>1</v>
      </c>
      <c r="D15" s="229">
        <f>IF(D14="有",1.1,1)</f>
        <v>1</v>
      </c>
      <c r="E15" s="229">
        <f>IF(E14="有",1.1,1)</f>
        <v>1</v>
      </c>
      <c r="F15" s="229">
        <f>IF(F14="500米范围内",1.2,IF(F14="500-1000米",1.1,1))</f>
        <v>1</v>
      </c>
      <c r="G15" s="948">
        <v>1</v>
      </c>
      <c r="H15" s="948">
        <v>1</v>
      </c>
      <c r="I15" s="948">
        <v>1</v>
      </c>
      <c r="J15" s="949">
        <v>1</v>
      </c>
      <c r="K15" s="1366"/>
      <c r="L15" s="2774" t="s">
        <v>2810</v>
      </c>
      <c r="M15" s="919" t="s">
        <v>2875</v>
      </c>
      <c r="N15" s="919" t="s">
        <v>2876</v>
      </c>
      <c r="O15" s="919" t="s">
        <v>2877</v>
      </c>
      <c r="P15" s="2775"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597" t="s">
        <v>2879</v>
      </c>
      <c r="B16" s="2742" t="s">
        <v>2880</v>
      </c>
      <c r="C16" s="1797" t="e">
        <f>ROUND(SUM(G17:J17)/C17,0)</f>
        <v>#DIV/0!</v>
      </c>
      <c r="D16" s="2776" t="s">
        <v>2881</v>
      </c>
      <c r="E16" s="2777"/>
      <c r="F16" s="2778"/>
      <c r="G16" s="2779"/>
      <c r="H16" s="2779"/>
      <c r="I16" s="2779"/>
      <c r="J16" s="2780"/>
      <c r="K16" s="1366"/>
      <c r="L16" s="2781" t="s">
        <v>2882</v>
      </c>
      <c r="M16" s="921">
        <v>0.25</v>
      </c>
      <c r="N16" s="921">
        <v>0.2</v>
      </c>
      <c r="O16" s="921">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598"/>
      <c r="B17" s="2782" t="s">
        <v>2883</v>
      </c>
      <c r="C17" s="923">
        <f>SUMPRODUCT((修正!A2:A5=E2)*(修正!B1:M1=G2)*(修正!B2:M5))</f>
        <v>0</v>
      </c>
      <c r="D17" s="2783"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6"/>
      <c r="L17" s="2784" t="s">
        <v>2886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5"/>
      <c r="AF17" s="2785"/>
      <c r="AG17" s="2717"/>
      <c r="AH17" s="2717"/>
      <c r="AI17" s="2717"/>
      <c r="AJ17" s="2717"/>
    </row>
    <row r="18" spans="1:37" s="2735" customFormat="1" ht="15.75" thickBot="1">
      <c r="A18" s="2786" t="s">
        <v>808</v>
      </c>
      <c r="B18" s="2787" t="s">
        <v>2887</v>
      </c>
      <c r="C18" s="925">
        <f>SUMIF(修正!C18:C39,E3,修正!E18:E39)</f>
        <v>0</v>
      </c>
      <c r="D18" s="2788"/>
      <c r="E18" s="2789"/>
      <c r="F18" s="2790"/>
      <c r="G18" s="2791"/>
      <c r="H18" s="2791"/>
      <c r="I18" s="2791"/>
      <c r="J18" s="2792"/>
      <c r="K18" s="1373"/>
      <c r="O18" s="1371"/>
      <c r="P18" s="1371"/>
      <c r="Q18" s="1372"/>
      <c r="R18" s="1372"/>
      <c r="S18" s="1372"/>
      <c r="T18" s="1367"/>
      <c r="U18" s="1367"/>
      <c r="V18" s="1367"/>
      <c r="W18" s="1366"/>
      <c r="X18" s="1366"/>
      <c r="Y18" s="1366"/>
      <c r="Z18" s="1373"/>
      <c r="AA18" s="1374"/>
      <c r="AB18" s="1374"/>
      <c r="AC18" s="1374"/>
      <c r="AD18" s="1374"/>
      <c r="AE18" s="1368"/>
      <c r="AF18" s="1368"/>
      <c r="AG18" s="2793"/>
      <c r="AH18" s="2793"/>
      <c r="AI18" s="2793"/>
    </row>
    <row r="19" spans="1:37" s="2735" customFormat="1" ht="27.75" thickBot="1">
      <c r="A19" s="2786" t="s">
        <v>809</v>
      </c>
      <c r="B19" s="2787" t="s">
        <v>2888</v>
      </c>
      <c r="C19" s="926" t="e">
        <f>ROUND(IF(H19="按公示增长率计算",SUMPRODUCT((地价!A3:A24=YEAR(G19)&amp;"-"&amp;ROUNDUP(MONTH(G19)/3,0))*(地价!X2:AB2=E2)*(地价!X3:AB24)),IF(H19="地价指数",M20/M19,(1+I19)^O19)),4)</f>
        <v>#DIV/0!</v>
      </c>
      <c r="D19" s="2794" t="s">
        <v>2889</v>
      </c>
      <c r="E19" s="927">
        <v>41640</v>
      </c>
      <c r="F19" s="2794" t="s">
        <v>2890</v>
      </c>
      <c r="G19" s="928">
        <f>'数据-取费表'!B2</f>
        <v>43465</v>
      </c>
      <c r="H19" s="2795" t="s">
        <v>2891</v>
      </c>
      <c r="I19" s="929" t="str">
        <f>IF(H19="季度增幅（自定义）",SUMIF(N21:N24,E2,O21:O24),"")</f>
        <v/>
      </c>
      <c r="J19" s="2792"/>
      <c r="K19" s="1373"/>
      <c r="L19" s="2796" t="s">
        <v>2892</v>
      </c>
      <c r="M19" s="1730">
        <f>ROUND(SUMIF(地价!B2:F2,E2,地价!B24:F24),0)</f>
        <v>0</v>
      </c>
      <c r="N19" s="2797" t="s">
        <v>2893</v>
      </c>
      <c r="O19" s="930">
        <f>ROUNDDOWN(DATEDIF(E19,G19,"M")/3,0)</f>
        <v>19</v>
      </c>
      <c r="P19" s="1370"/>
      <c r="Q19" s="1372"/>
      <c r="R19" s="1372"/>
      <c r="S19" s="1372"/>
      <c r="T19" s="1367"/>
      <c r="U19" s="1367"/>
      <c r="V19" s="1367"/>
      <c r="W19" s="1366"/>
      <c r="X19" s="1366"/>
      <c r="Y19" s="1366"/>
      <c r="Z19" s="1373"/>
      <c r="AA19" s="1374"/>
      <c r="AB19" s="1374"/>
      <c r="AC19" s="1374"/>
      <c r="AD19" s="1374"/>
      <c r="AE19" s="1374"/>
      <c r="AF19" s="2798"/>
      <c r="AG19" s="2799"/>
      <c r="AH19" s="2793"/>
      <c r="AI19" s="2800"/>
      <c r="AJ19" s="2800"/>
      <c r="AK19" s="2800"/>
    </row>
    <row r="20" spans="1:37" s="2735" customFormat="1" ht="27.75" thickBot="1">
      <c r="A20" s="2801" t="s">
        <v>810</v>
      </c>
      <c r="B20" s="2802" t="s">
        <v>2894</v>
      </c>
      <c r="C20" s="931" t="e">
        <f>ROUND(POWER(1+G20,J20-I20)*(POWER(1+G20,I20)-1)/(POWER(1+G20,J20)-1),4)</f>
        <v>#DIV/0!</v>
      </c>
      <c r="D20" s="2803" t="s">
        <v>2895</v>
      </c>
      <c r="E20" s="1764">
        <f ca="1">存贷款利率!D4/100</f>
        <v>4.3499999999999997E-2</v>
      </c>
      <c r="F20" s="2803" t="s">
        <v>2886</v>
      </c>
      <c r="G20" s="936">
        <f>SUMIF(M15:P15,E2,M17:P17)</f>
        <v>0</v>
      </c>
      <c r="H20" s="2803" t="s">
        <v>2896</v>
      </c>
      <c r="I20" s="937" t="e">
        <f>SUMIF('数据-取费表'!C6:C15,E2,'数据-取费表'!F6:F15)/COUNTIF('数据-取费表'!C6:C15,E2)</f>
        <v>#DIV/0!</v>
      </c>
      <c r="J20" s="938">
        <f>IF(E2="住宅",70,IF(E2="商业",40,50))</f>
        <v>50</v>
      </c>
      <c r="K20" s="1373"/>
      <c r="L20" s="2804" t="s">
        <v>2897</v>
      </c>
      <c r="M20" s="1731">
        <f>ROUND(SUMPRODUCT((地价!A4:A24=YEAR(G19)&amp;"-"&amp;ROUNDUP(MONTH(G19)/3,0))*(地价!B2:F2=E2)*(地价!B4:F24)),0)</f>
        <v>0</v>
      </c>
      <c r="N20" s="2805" t="s">
        <v>2898</v>
      </c>
      <c r="O20" s="2806" t="s">
        <v>2899</v>
      </c>
      <c r="P20" s="2807" t="s">
        <v>2900</v>
      </c>
      <c r="R20" s="1372"/>
      <c r="S20" s="1372"/>
      <c r="T20" s="1367"/>
      <c r="U20" s="1367"/>
      <c r="V20" s="1367"/>
      <c r="W20" s="1366"/>
      <c r="X20" s="1366"/>
      <c r="Y20" s="1366"/>
      <c r="Z20" s="1373"/>
      <c r="AA20" s="1374"/>
      <c r="AB20" s="1374"/>
      <c r="AC20" s="1374"/>
      <c r="AD20" s="1374"/>
      <c r="AE20" s="1374"/>
      <c r="AF20" s="1374"/>
    </row>
    <row r="21" spans="1:37" s="2735" customFormat="1" ht="15">
      <c r="A21" s="2808" t="s">
        <v>811</v>
      </c>
      <c r="B21" s="2809" t="s">
        <v>2901</v>
      </c>
      <c r="C21" s="939">
        <f>IF(B21="容积率修正",IF(G3&lt;=10,D22,J22),C23)</f>
        <v>0</v>
      </c>
      <c r="D21" s="2810"/>
      <c r="E21" s="2810"/>
      <c r="F21" s="2810"/>
      <c r="G21" s="2810"/>
      <c r="H21" s="2810"/>
      <c r="I21" s="2810"/>
      <c r="J21" s="2811"/>
      <c r="K21" s="1373"/>
      <c r="N21" s="2812" t="s">
        <v>2902</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13" t="s">
        <v>2904</v>
      </c>
      <c r="C22" s="1806" t="s">
        <v>2905</v>
      </c>
      <c r="D22" s="1806">
        <f>IF(E22=G22,F22,IF(G3&lt;=10,ROUND(F22+(H22-F22)*(G3-E22)/(G22-E22),4),"——"))</f>
        <v>0</v>
      </c>
      <c r="E22" s="915">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0" t="str">
        <f>IF(G3&gt;10,D113,"——")</f>
        <v>——</v>
      </c>
      <c r="K22" s="1373"/>
      <c r="N22" s="2812" t="s">
        <v>2906</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14" t="s">
        <v>2908</v>
      </c>
      <c r="C23" s="1015">
        <f>ROUND(IF(G3&gt;1,IF(I3&lt;7,SUMPRODUCT((B93:B98=I3)*(C92:N92=G2)*(C93:N98)),SUMIF(C92:N92,G2,C100:N100)),IF(I3&lt;7,SUMPRODUCT((B102:B107=I3)*(C92:N92=G2)*(C102:N107)),SUMIF(C92:N92,G2,C109:N109))),4)</f>
        <v>0</v>
      </c>
      <c r="D23" s="2770"/>
      <c r="E23" s="2770"/>
      <c r="F23" s="2815"/>
      <c r="G23" s="2816"/>
      <c r="H23" s="2817"/>
      <c r="I23" s="2818"/>
      <c r="J23" s="2819"/>
      <c r="K23" s="1366"/>
      <c r="N23" s="2812" t="s">
        <v>2909</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3"/>
    </row>
    <row r="24" spans="1:37" s="2735" customFormat="1" ht="15.75" thickBot="1">
      <c r="A24" s="2801" t="s">
        <v>812</v>
      </c>
      <c r="B24" s="2787" t="s">
        <v>2910</v>
      </c>
      <c r="C24" s="926">
        <f>SUMIF(A45:A88,E2,B45:B88)</f>
        <v>0</v>
      </c>
      <c r="D24" s="2790"/>
      <c r="E24" s="2820"/>
      <c r="F24" s="2820"/>
      <c r="G24" s="2820"/>
      <c r="H24" s="2820"/>
      <c r="I24" s="2820"/>
      <c r="J24" s="2821"/>
      <c r="K24" s="1373"/>
      <c r="N24" s="2822" t="s">
        <v>2911</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1" t="s">
        <v>813</v>
      </c>
      <c r="B25" s="2823" t="s">
        <v>2912</v>
      </c>
      <c r="C25" s="932"/>
      <c r="D25" s="2745"/>
      <c r="E25" s="2745"/>
      <c r="F25" s="2824"/>
      <c r="G25" s="2745"/>
      <c r="H25" s="2745"/>
      <c r="I25" s="2745"/>
      <c r="J25" s="2746"/>
      <c r="K25" s="1366"/>
      <c r="N25" s="2825" t="s">
        <v>2913</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6"/>
      <c r="B26" s="2813" t="s">
        <v>2914</v>
      </c>
      <c r="C26" s="206" t="e">
        <f>E29+SUM(E33:E39)</f>
        <v>#DIV/0!</v>
      </c>
      <c r="D26" s="2827"/>
      <c r="E26" s="2770"/>
      <c r="F26" s="2828"/>
      <c r="G26" s="2770"/>
      <c r="H26" s="2770"/>
      <c r="I26" s="2770"/>
      <c r="J26" s="2829"/>
      <c r="K26" s="1366"/>
      <c r="R26" s="1372"/>
      <c r="S26" s="1372"/>
      <c r="T26" s="1367"/>
      <c r="U26" s="1367"/>
      <c r="V26" s="1367"/>
      <c r="W26" s="1366"/>
      <c r="X26" s="1366"/>
      <c r="Y26" s="1366"/>
      <c r="Z26" s="1373"/>
      <c r="AA26" s="1374"/>
      <c r="AB26" s="1374"/>
      <c r="AC26" s="1374"/>
      <c r="AD26" s="1374"/>
    </row>
    <row r="27" spans="1:37" ht="15.75" thickBot="1">
      <c r="A27" s="2826"/>
      <c r="B27" s="2830" t="s">
        <v>2915</v>
      </c>
      <c r="C27" s="933" t="e">
        <f>E30+SUM(I33:I39)</f>
        <v>#DIV/0!</v>
      </c>
      <c r="D27" s="2831"/>
      <c r="E27" s="2832"/>
      <c r="F27" s="2833"/>
      <c r="G27" s="2832"/>
      <c r="H27" s="2832"/>
      <c r="I27" s="2832"/>
      <c r="J27" s="283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5"/>
      <c r="B28" s="2836" t="s">
        <v>2916</v>
      </c>
      <c r="C28" s="2837" t="s">
        <v>2917</v>
      </c>
      <c r="D28" s="2837" t="s">
        <v>2918</v>
      </c>
      <c r="E28" s="2838" t="s">
        <v>2919</v>
      </c>
      <c r="F28" s="2839"/>
      <c r="G28" s="2758"/>
      <c r="H28" s="2758"/>
      <c r="I28" s="2758"/>
      <c r="J28" s="275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0"/>
      <c r="B29" s="2841" t="s">
        <v>2920</v>
      </c>
      <c r="C29" s="206" t="e">
        <f>ROUND(C5*C18*C19*C20*C21*C24,0)</f>
        <v>#DIV/0!</v>
      </c>
      <c r="D29" s="2842"/>
      <c r="E29" s="944" t="e">
        <f>ROUND(C29*D29/10000,0)</f>
        <v>#DIV/0!</v>
      </c>
      <c r="F29" s="2843" t="s">
        <v>2921</v>
      </c>
      <c r="G29" s="2844"/>
      <c r="H29" s="2844"/>
      <c r="I29" s="2844"/>
      <c r="J29" s="2845"/>
      <c r="K29" s="1366"/>
      <c r="L29" s="1366"/>
      <c r="M29" s="1366"/>
      <c r="N29" s="1366"/>
      <c r="O29" s="1371"/>
      <c r="P29" s="1371"/>
      <c r="Q29" s="1372"/>
      <c r="R29" s="1372"/>
      <c r="S29" s="1372"/>
      <c r="T29" s="1367"/>
      <c r="U29" s="1367"/>
      <c r="V29" s="1367"/>
      <c r="W29" s="1366"/>
      <c r="X29" s="1366"/>
      <c r="Y29" s="1366"/>
      <c r="Z29" s="1373"/>
      <c r="AA29" s="1374"/>
      <c r="AB29" s="1374"/>
      <c r="AC29" s="1374"/>
      <c r="AD29" s="1374"/>
      <c r="AE29" s="2785"/>
      <c r="AF29" s="2785"/>
      <c r="AG29" s="2717"/>
      <c r="AH29" s="2717"/>
      <c r="AI29" s="2717"/>
      <c r="AJ29" s="2717"/>
    </row>
    <row r="30" spans="1:37" ht="25.5" thickBot="1">
      <c r="A30" s="2846"/>
      <c r="B30" s="2847" t="s">
        <v>2922</v>
      </c>
      <c r="C30" s="229" t="e">
        <f>ROUND(IF(E2="工业",C29*M39,C29*M38),0)</f>
        <v>#DIV/0!</v>
      </c>
      <c r="D30" s="2848"/>
      <c r="E30" s="944" t="e">
        <f>ROUND(C30*D30/10000,0)</f>
        <v>#DIV/0!</v>
      </c>
      <c r="F30" s="2849" t="s">
        <v>2923</v>
      </c>
      <c r="G30" s="2850"/>
      <c r="H30" s="2850"/>
      <c r="I30" s="2850"/>
      <c r="J30" s="2851"/>
      <c r="K30" s="1366"/>
      <c r="L30" s="1366"/>
      <c r="M30" s="1366"/>
      <c r="N30" s="1366"/>
      <c r="O30" s="1371"/>
      <c r="P30" s="1371"/>
      <c r="Q30" s="1372"/>
      <c r="R30" s="1372"/>
      <c r="S30" s="1372"/>
      <c r="T30" s="1367"/>
      <c r="U30" s="1367"/>
      <c r="V30" s="1367"/>
      <c r="W30" s="1366"/>
      <c r="X30" s="1366"/>
      <c r="Y30" s="1366"/>
      <c r="Z30" s="1373"/>
      <c r="AA30" s="1374"/>
      <c r="AB30" s="1374"/>
      <c r="AC30" s="1374"/>
      <c r="AD30" s="1374"/>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5"/>
      <c r="AF31" s="2785"/>
      <c r="AG31" s="2717"/>
      <c r="AH31" s="2717"/>
      <c r="AI31" s="2717"/>
      <c r="AJ31" s="2717"/>
    </row>
    <row r="32" spans="1:37" ht="24">
      <c r="A32" s="2840"/>
      <c r="B32" s="2856"/>
      <c r="C32" s="501" t="s">
        <v>2917</v>
      </c>
      <c r="D32" s="498" t="s">
        <v>2918</v>
      </c>
      <c r="E32" s="498" t="s">
        <v>2919</v>
      </c>
      <c r="F32" s="388" t="s">
        <v>2927</v>
      </c>
      <c r="G32" s="2857" t="s">
        <v>2917</v>
      </c>
      <c r="H32" s="2857" t="s">
        <v>2918</v>
      </c>
      <c r="I32" s="2857"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5"/>
      <c r="AF32" s="2785"/>
      <c r="AG32" s="2717"/>
      <c r="AH32" s="2717"/>
      <c r="AI32" s="2717"/>
      <c r="AJ32" s="2717"/>
    </row>
    <row r="33" spans="1:37" ht="36" customHeight="1">
      <c r="A33" s="3607" t="s">
        <v>2928</v>
      </c>
      <c r="B33" s="2858" t="s">
        <v>2929</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608"/>
      <c r="B34" s="2762" t="s">
        <v>2930</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608"/>
      <c r="B35" s="2762" t="s">
        <v>2931</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66"/>
      <c r="L35" s="1366"/>
      <c r="M35" s="1366"/>
      <c r="N35" s="1366"/>
      <c r="O35" s="1366"/>
      <c r="P35" s="1366"/>
      <c r="Q35" s="1366"/>
      <c r="R35" s="1366"/>
      <c r="S35" s="1366"/>
      <c r="T35" s="1366"/>
      <c r="U35" s="1366"/>
      <c r="V35" s="1366"/>
      <c r="W35" s="1366"/>
      <c r="X35" s="1366"/>
      <c r="Y35" s="1366"/>
      <c r="Z35" s="1367"/>
    </row>
    <row r="36" spans="1:37" ht="13.5" thickBot="1">
      <c r="A36" s="3609"/>
      <c r="B36" s="2762" t="s">
        <v>2932</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66"/>
      <c r="L36" s="2716"/>
      <c r="M36" s="2716"/>
      <c r="N36" s="1366"/>
      <c r="O36" s="1366"/>
      <c r="P36" s="1366"/>
      <c r="Q36" s="1366"/>
      <c r="R36" s="1366"/>
      <c r="S36" s="1366"/>
      <c r="T36" s="1366"/>
      <c r="U36" s="1366"/>
      <c r="V36" s="1366"/>
      <c r="W36" s="1366"/>
      <c r="X36" s="1366"/>
      <c r="Y36" s="1366"/>
      <c r="Z36" s="1367"/>
    </row>
    <row r="37" spans="1:37">
      <c r="A37" s="2860"/>
      <c r="B37" s="2762" t="s">
        <v>2933</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66"/>
      <c r="L37" s="2861" t="s">
        <v>2934</v>
      </c>
      <c r="M37" s="2862"/>
      <c r="N37" s="1366"/>
      <c r="O37" s="1366"/>
      <c r="P37" s="1366"/>
      <c r="Q37" s="1366"/>
      <c r="R37" s="1366"/>
      <c r="S37" s="1366"/>
      <c r="T37" s="1366"/>
      <c r="U37" s="1366"/>
      <c r="V37" s="1366"/>
      <c r="W37" s="1366"/>
      <c r="X37" s="1366"/>
      <c r="Y37" s="1366"/>
      <c r="Z37" s="1367"/>
    </row>
    <row r="38" spans="1:37">
      <c r="A38" s="2860"/>
      <c r="B38" s="2762" t="s">
        <v>2935</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66"/>
      <c r="L38" s="1883" t="s">
        <v>2936</v>
      </c>
      <c r="M38" s="2863">
        <v>0.25</v>
      </c>
      <c r="N38" s="1366"/>
      <c r="O38" s="1366"/>
      <c r="P38" s="1366"/>
      <c r="Q38" s="1366"/>
      <c r="R38" s="1366"/>
      <c r="S38" s="1366"/>
      <c r="T38" s="1366"/>
      <c r="U38" s="1366"/>
      <c r="V38" s="1366"/>
      <c r="W38" s="1366"/>
      <c r="X38" s="1366"/>
      <c r="Y38" s="1366"/>
      <c r="Z38" s="1367"/>
    </row>
    <row r="39" spans="1:37" ht="13.5" thickBot="1">
      <c r="A39" s="2846"/>
      <c r="B39" s="2864" t="s">
        <v>2937</v>
      </c>
      <c r="C39" s="229" t="e">
        <f>ROUND(D5*C19*C41*C24*F39,0)</f>
        <v>#DIV/0!</v>
      </c>
      <c r="D39" s="2848"/>
      <c r="E39" s="229" t="e">
        <f t="shared" si="7"/>
        <v>#DIV/0!</v>
      </c>
      <c r="F39" s="934">
        <f>SUMIF(修正!A45:A56,G2,修正!H45:H56)</f>
        <v>0</v>
      </c>
      <c r="G39" s="229" t="e">
        <f>ROUND(IF(E2="工业",C39*$M$39,C39*$M$38),0)</f>
        <v>#DIV/0!</v>
      </c>
      <c r="H39" s="229">
        <f t="shared" si="8"/>
        <v>0</v>
      </c>
      <c r="I39" s="229" t="e">
        <f t="shared" si="9"/>
        <v>#DIV/0!</v>
      </c>
      <c r="J39" s="2865"/>
      <c r="K39" s="1366"/>
      <c r="L39" s="2866" t="s">
        <v>2878</v>
      </c>
      <c r="M39" s="286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40" t="s">
        <v>3046</v>
      </c>
      <c r="C41" s="388" t="e">
        <f>ROUND(POWER(1+E41,H41-G41)*(POWER(1+E41,G41)-1)/(POWER(1+E41,H41)-1),4)</f>
        <v>#DIV/0!</v>
      </c>
      <c r="D41" s="200" t="s">
        <v>2886</v>
      </c>
      <c r="E41" s="2939">
        <f>G20</f>
        <v>0</v>
      </c>
      <c r="F41" s="200" t="s">
        <v>2896</v>
      </c>
      <c r="G41" s="218"/>
      <c r="H41" s="200">
        <v>50</v>
      </c>
      <c r="Z41" s="1367"/>
      <c r="AA41" s="1367"/>
      <c r="AB41" s="1367"/>
      <c r="AC41" s="1367"/>
      <c r="AD41" s="1367"/>
      <c r="AE41" s="1367"/>
      <c r="AF41" s="1367"/>
      <c r="AG41" s="1367"/>
      <c r="AH41" s="1367"/>
      <c r="AI41" s="1367"/>
      <c r="AJ41" s="1367"/>
    </row>
    <row r="42" spans="1:37" s="1366" customFormat="1">
      <c r="A42" s="1367"/>
      <c r="B42" s="2868"/>
      <c r="Z42" s="1367"/>
      <c r="AA42" s="1367"/>
      <c r="AB42" s="1367"/>
      <c r="AC42" s="1367"/>
      <c r="AD42" s="1367"/>
      <c r="AE42" s="1367"/>
      <c r="AF42" s="1367"/>
      <c r="AG42" s="1367"/>
      <c r="AH42" s="1367"/>
      <c r="AI42" s="1367"/>
      <c r="AJ42" s="1367"/>
    </row>
    <row r="43" spans="1:37" s="1366" customFormat="1">
      <c r="A43" s="1367"/>
      <c r="B43" s="2868"/>
      <c r="Z43" s="1367"/>
      <c r="AA43" s="1367"/>
      <c r="AB43" s="1367"/>
      <c r="AC43" s="1367"/>
      <c r="AD43" s="1367"/>
      <c r="AE43" s="1367"/>
      <c r="AF43" s="1367"/>
      <c r="AG43" s="1367"/>
      <c r="AH43" s="1367"/>
      <c r="AI43" s="1367"/>
      <c r="AJ43" s="1367"/>
    </row>
    <row r="44" spans="1:37" s="1366" customFormat="1">
      <c r="A44" s="1367"/>
      <c r="B44" s="2868"/>
      <c r="Z44" s="1367"/>
      <c r="AA44" s="1367"/>
      <c r="AB44" s="1367"/>
      <c r="AC44" s="1367"/>
      <c r="AD44" s="1367"/>
      <c r="AE44" s="1367"/>
      <c r="AF44" s="1367"/>
      <c r="AG44" s="1367"/>
      <c r="AH44" s="1367"/>
      <c r="AI44" s="1367"/>
      <c r="AJ44" s="1367"/>
    </row>
    <row r="45" spans="1:37" s="1366" customFormat="1" ht="15.75" thickBot="1">
      <c r="A45" s="2869" t="s">
        <v>2938</v>
      </c>
      <c r="B45" s="2870"/>
      <c r="C45" s="7"/>
      <c r="D45" s="7"/>
      <c r="E45" s="7"/>
      <c r="F45" s="6"/>
      <c r="G45" s="6"/>
      <c r="H45" s="6"/>
      <c r="I45" s="7"/>
      <c r="J45" s="7"/>
      <c r="K45" s="7"/>
      <c r="L45" s="7"/>
      <c r="M45" s="7"/>
      <c r="N45" s="2785"/>
      <c r="Z45" s="1367"/>
      <c r="AA45" s="1367"/>
      <c r="AB45" s="1367"/>
      <c r="AC45" s="1367"/>
      <c r="AD45" s="1367"/>
      <c r="AE45" s="1367"/>
      <c r="AF45" s="1367"/>
      <c r="AG45" s="1367"/>
      <c r="AH45" s="1367"/>
      <c r="AI45" s="1367"/>
      <c r="AJ45" s="1367"/>
    </row>
    <row r="46" spans="1:37" s="1366" customFormat="1" ht="15">
      <c r="A46" s="2871" t="s">
        <v>2939</v>
      </c>
      <c r="B46" s="2872">
        <f>1+E48</f>
        <v>1</v>
      </c>
      <c r="C46" s="2873"/>
      <c r="D46" s="813"/>
      <c r="E46" s="814"/>
      <c r="F46" s="2874"/>
      <c r="G46" s="6"/>
      <c r="H46" s="7"/>
      <c r="I46" s="7"/>
      <c r="J46" s="7"/>
      <c r="K46" s="7"/>
      <c r="L46" s="7"/>
      <c r="M46" s="7"/>
      <c r="N46" s="2785"/>
      <c r="Z46" s="1367"/>
      <c r="AA46" s="1367"/>
      <c r="AB46" s="1367"/>
      <c r="AC46" s="1367"/>
      <c r="AD46" s="1367"/>
      <c r="AE46" s="1367"/>
      <c r="AF46" s="1367"/>
      <c r="AG46" s="1367"/>
      <c r="AH46" s="1367"/>
      <c r="AI46" s="1367"/>
      <c r="AJ46" s="1367"/>
    </row>
    <row r="47" spans="1:37" s="1366" customFormat="1" ht="24.75">
      <c r="A47" s="2875" t="s">
        <v>2940</v>
      </c>
      <c r="B47" s="1805" t="s">
        <v>2941</v>
      </c>
      <c r="C47" s="1805" t="s">
        <v>2942</v>
      </c>
      <c r="D47" s="1805" t="s">
        <v>2943</v>
      </c>
      <c r="E47" s="818" t="s">
        <v>2944</v>
      </c>
      <c r="F47" s="2876" t="s">
        <v>2945</v>
      </c>
      <c r="G47" s="1805" t="s">
        <v>754</v>
      </c>
      <c r="H47" s="2877" t="s">
        <v>2946</v>
      </c>
      <c r="I47" s="1805" t="s">
        <v>2947</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5" t="s">
        <v>2948</v>
      </c>
      <c r="B48" s="2878" t="str">
        <f>估价对象房地状况!C4</f>
        <v>位于昌平区平西府地区，周边商业氛围一般，人流量一般，商业繁华度一般。</v>
      </c>
      <c r="C48" s="2767"/>
      <c r="D48" s="1282">
        <f t="shared" ref="D48:D56" si="10">SUMIF($J$47:$N$47,C48,J48:N48)</f>
        <v>0</v>
      </c>
      <c r="E48" s="820">
        <f>ROUND(SUM(D48:D56),4)</f>
        <v>0</v>
      </c>
      <c r="F48" s="2498" t="str">
        <f>IF(E2="商业",SUMIF(L1:L12,G2,N1:N12),"——")</f>
        <v>——</v>
      </c>
      <c r="G48" s="1280"/>
      <c r="H48" s="1284" t="str">
        <f t="shared" ref="H48:H56" si="11">IFERROR(ROUNDDOWN($F$48*I48/2,4),"——")</f>
        <v>——</v>
      </c>
      <c r="I48" s="819">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5" t="s">
        <v>2949</v>
      </c>
      <c r="B49" s="2879" t="str">
        <f>估价对象房地状况!C18</f>
        <v>估价对象周边路网较为密集、公共交通通达情况较好，有417、607、871路等公共交通，停车便捷程度较好，综合评价交通便捷度较好。</v>
      </c>
      <c r="C49" s="2767"/>
      <c r="D49" s="1282">
        <f t="shared" si="10"/>
        <v>0</v>
      </c>
      <c r="E49" s="821"/>
      <c r="F49" s="2498"/>
      <c r="G49" s="1280"/>
      <c r="H49" s="1284" t="str">
        <f t="shared" si="11"/>
        <v>——</v>
      </c>
      <c r="I49" s="819">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5" t="s">
        <v>2950</v>
      </c>
      <c r="B50" s="2879">
        <f>估价对象房地状况!C19</f>
        <v>0</v>
      </c>
      <c r="C50" s="2767"/>
      <c r="D50" s="1282">
        <f t="shared" si="10"/>
        <v>0</v>
      </c>
      <c r="E50" s="821"/>
      <c r="F50" s="2498"/>
      <c r="G50" s="1280"/>
      <c r="H50" s="1284" t="str">
        <f t="shared" si="11"/>
        <v>——</v>
      </c>
      <c r="I50" s="819">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5" t="s">
        <v>2951</v>
      </c>
      <c r="B51" s="2880" t="s">
        <v>2952</v>
      </c>
      <c r="C51" s="2767"/>
      <c r="D51" s="1282">
        <f t="shared" si="10"/>
        <v>0</v>
      </c>
      <c r="E51" s="821"/>
      <c r="F51" s="2498"/>
      <c r="G51" s="1280"/>
      <c r="H51" s="1284" t="str">
        <f t="shared" si="11"/>
        <v>——</v>
      </c>
      <c r="I51" s="819">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5" t="s">
        <v>2953</v>
      </c>
      <c r="B52" s="2879" t="str">
        <f>估价对象房地状况!C24</f>
        <v>城市次干道——北清路</v>
      </c>
      <c r="C52" s="2767"/>
      <c r="D52" s="1282">
        <f t="shared" si="10"/>
        <v>0</v>
      </c>
      <c r="E52" s="821"/>
      <c r="F52" s="2498"/>
      <c r="G52" s="1280"/>
      <c r="H52" s="1284" t="str">
        <f t="shared" si="11"/>
        <v>——</v>
      </c>
      <c r="I52" s="819">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5" t="s">
        <v>2954</v>
      </c>
      <c r="B53" s="2881" t="s">
        <v>2955</v>
      </c>
      <c r="C53" s="2767"/>
      <c r="D53" s="1282">
        <f t="shared" si="10"/>
        <v>0</v>
      </c>
      <c r="E53" s="821"/>
      <c r="F53" s="2498"/>
      <c r="G53" s="1280"/>
      <c r="H53" s="1284" t="str">
        <f t="shared" si="11"/>
        <v>——</v>
      </c>
      <c r="I53" s="819">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27.5">
      <c r="A54" s="2882" t="s">
        <v>2956</v>
      </c>
      <c r="B5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54" s="2767"/>
      <c r="D54" s="1282">
        <f t="shared" si="10"/>
        <v>0</v>
      </c>
      <c r="E54" s="821"/>
      <c r="F54" s="2498"/>
      <c r="G54" s="1280"/>
      <c r="H54" s="1284" t="str">
        <f t="shared" si="11"/>
        <v>——</v>
      </c>
      <c r="I54" s="819">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2" t="s">
        <v>2957</v>
      </c>
      <c r="B55" s="2879" t="str">
        <f>估价对象房地状况!C22</f>
        <v>估价对象所在区域基础设施水平达到“七通”。</v>
      </c>
      <c r="C55" s="2767"/>
      <c r="D55" s="1282">
        <f t="shared" si="10"/>
        <v>0</v>
      </c>
      <c r="E55" s="821"/>
      <c r="F55" s="2498"/>
      <c r="G55" s="1280"/>
      <c r="H55" s="1284" t="str">
        <f t="shared" si="11"/>
        <v>——</v>
      </c>
      <c r="I55" s="819">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3" t="s">
        <v>2958</v>
      </c>
      <c r="B56" s="2884" t="str">
        <f>估价对象房地状况!C20</f>
        <v>区域自然环境：秀水湖公园；人文环境：北京邮电大学（洪福校区）；综合评价环境状况较好。</v>
      </c>
      <c r="C56" s="2767"/>
      <c r="D56" s="1282">
        <f t="shared" si="10"/>
        <v>0</v>
      </c>
      <c r="E56" s="824"/>
      <c r="F56" s="2498"/>
      <c r="G56" s="1280"/>
      <c r="H56" s="1284" t="str">
        <f t="shared" si="11"/>
        <v>——</v>
      </c>
      <c r="I56" s="823">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1" t="s">
        <v>2959</v>
      </c>
      <c r="B57" s="2872">
        <f>1+E59</f>
        <v>1</v>
      </c>
      <c r="C57" s="813"/>
      <c r="D57" s="813"/>
      <c r="E57" s="814"/>
      <c r="F57" s="287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5" t="s">
        <v>2940</v>
      </c>
      <c r="B58" s="1805"/>
      <c r="C58" s="1805" t="s">
        <v>2942</v>
      </c>
      <c r="D58" s="1805" t="s">
        <v>2943</v>
      </c>
      <c r="E58" s="818" t="s">
        <v>2944</v>
      </c>
      <c r="F58" s="2876" t="s">
        <v>2960</v>
      </c>
      <c r="G58" s="1805" t="s">
        <v>754</v>
      </c>
      <c r="H58" s="2877" t="s">
        <v>2946</v>
      </c>
      <c r="I58" s="1805" t="s">
        <v>2947</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51">
      <c r="A59" s="2875" t="s">
        <v>2961</v>
      </c>
      <c r="B59" s="2878" t="str">
        <f>估价对象房地状况!C17</f>
        <v>估价对象位于昌平区北七家镇，周边办公楼项目较多，入驻率高，办公集聚程度较好。</v>
      </c>
      <c r="C59" s="2767"/>
      <c r="D59" s="1282">
        <f t="shared" ref="D59:D67" si="15">SUMIF($J$58:$N$58,C59,J59:N59)</f>
        <v>0</v>
      </c>
      <c r="E59" s="820">
        <f>ROUND(SUM(D59:D67),4)</f>
        <v>0</v>
      </c>
      <c r="F59" s="2498" t="str">
        <f>IF(E2="办公",SUMIF(L1:L12,G2,N1:N12),"——")</f>
        <v>——</v>
      </c>
      <c r="G59" s="1280"/>
      <c r="H59" s="1284" t="str">
        <f t="shared" ref="H59:H67" si="16">IFERROR(ROUNDDOWN($F$59*I59/2,4),"——")</f>
        <v>——</v>
      </c>
      <c r="I59" s="819">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5" t="s">
        <v>2949</v>
      </c>
      <c r="B60" s="2879" t="str">
        <f>估价对象房地状况!C18</f>
        <v>估价对象周边路网较为密集、公共交通通达情况较好，有417、607、871路等公共交通，停车便捷程度较好，综合评价交通便捷度较好。</v>
      </c>
      <c r="C60" s="2767"/>
      <c r="D60" s="1282">
        <f t="shared" si="15"/>
        <v>0</v>
      </c>
      <c r="E60" s="821"/>
      <c r="F60" s="2498"/>
      <c r="G60" s="1280"/>
      <c r="H60" s="1284" t="str">
        <f t="shared" si="16"/>
        <v>——</v>
      </c>
      <c r="I60" s="819">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5" t="s">
        <v>2950</v>
      </c>
      <c r="B61" s="2879">
        <f>估价对象房地状况!C19</f>
        <v>0</v>
      </c>
      <c r="C61" s="2767"/>
      <c r="D61" s="1282">
        <f t="shared" si="15"/>
        <v>0</v>
      </c>
      <c r="E61" s="821"/>
      <c r="F61" s="2498"/>
      <c r="G61" s="1280"/>
      <c r="H61" s="1284" t="str">
        <f t="shared" si="16"/>
        <v>——</v>
      </c>
      <c r="I61" s="819">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5" t="s">
        <v>2951</v>
      </c>
      <c r="B62" s="2880" t="s">
        <v>2952</v>
      </c>
      <c r="C62" s="2767"/>
      <c r="D62" s="1282">
        <f t="shared" si="15"/>
        <v>0</v>
      </c>
      <c r="E62" s="821"/>
      <c r="F62" s="2498"/>
      <c r="G62" s="1280"/>
      <c r="H62" s="1284" t="str">
        <f t="shared" si="16"/>
        <v>——</v>
      </c>
      <c r="I62" s="819">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5" t="s">
        <v>2953</v>
      </c>
      <c r="B63" s="2879" t="str">
        <f>估价对象房地状况!C24</f>
        <v>城市次干道——北清路</v>
      </c>
      <c r="C63" s="2767"/>
      <c r="D63" s="1282">
        <f t="shared" si="15"/>
        <v>0</v>
      </c>
      <c r="E63" s="821"/>
      <c r="F63" s="2498"/>
      <c r="G63" s="1280"/>
      <c r="H63" s="1284" t="str">
        <f t="shared" si="16"/>
        <v>——</v>
      </c>
      <c r="I63" s="819">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5" t="s">
        <v>2954</v>
      </c>
      <c r="B64" s="2881" t="s">
        <v>2955</v>
      </c>
      <c r="C64" s="2767"/>
      <c r="D64" s="1282">
        <f t="shared" si="15"/>
        <v>0</v>
      </c>
      <c r="E64" s="821"/>
      <c r="F64" s="2498"/>
      <c r="G64" s="1280"/>
      <c r="H64" s="1284" t="str">
        <f t="shared" si="16"/>
        <v>——</v>
      </c>
      <c r="I64" s="819">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27.5">
      <c r="A65" s="2875" t="s">
        <v>2956</v>
      </c>
      <c r="B65"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65" s="2767"/>
      <c r="D65" s="1282">
        <f t="shared" si="15"/>
        <v>0</v>
      </c>
      <c r="E65" s="821"/>
      <c r="F65" s="2498"/>
      <c r="G65" s="1280"/>
      <c r="H65" s="1284" t="str">
        <f t="shared" si="16"/>
        <v>——</v>
      </c>
      <c r="I65" s="819">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5" t="s">
        <v>2957</v>
      </c>
      <c r="B66" s="1721" t="str">
        <f>估价对象房地状况!C22</f>
        <v>估价对象所在区域基础设施水平达到“七通”。</v>
      </c>
      <c r="C66" s="2767"/>
      <c r="D66" s="1282">
        <f t="shared" si="15"/>
        <v>0</v>
      </c>
      <c r="E66" s="821"/>
      <c r="F66" s="2498"/>
      <c r="G66" s="1280"/>
      <c r="H66" s="1284" t="str">
        <f t="shared" si="16"/>
        <v>——</v>
      </c>
      <c r="I66" s="819">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3" t="s">
        <v>2958</v>
      </c>
      <c r="B67" s="2885" t="str">
        <f>估价对象房地状况!C20</f>
        <v>区域自然环境：秀水湖公园；人文环境：北京邮电大学（洪福校区）；综合评价环境状况较好。</v>
      </c>
      <c r="C67" s="2767"/>
      <c r="D67" s="1282">
        <f t="shared" si="15"/>
        <v>0</v>
      </c>
      <c r="E67" s="824"/>
      <c r="F67" s="2498"/>
      <c r="G67" s="1280"/>
      <c r="H67" s="1284" t="str">
        <f t="shared" si="16"/>
        <v>——</v>
      </c>
      <c r="I67" s="823">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1" t="s">
        <v>2962</v>
      </c>
      <c r="B68" s="2872">
        <f>1+E70</f>
        <v>1</v>
      </c>
      <c r="C68" s="813"/>
      <c r="D68" s="813"/>
      <c r="E68" s="814"/>
      <c r="F68" s="287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5" t="s">
        <v>2940</v>
      </c>
      <c r="B69" s="1805"/>
      <c r="C69" s="1805" t="s">
        <v>2942</v>
      </c>
      <c r="D69" s="1805" t="s">
        <v>2943</v>
      </c>
      <c r="E69" s="818" t="s">
        <v>2944</v>
      </c>
      <c r="F69" s="2876" t="s">
        <v>2960</v>
      </c>
      <c r="G69" s="1805" t="s">
        <v>754</v>
      </c>
      <c r="H69" s="2877" t="s">
        <v>2946</v>
      </c>
      <c r="I69" s="1805" t="s">
        <v>2947</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5" t="s">
        <v>2963</v>
      </c>
      <c r="B70" s="2878">
        <f>估价对象房地状况!C15</f>
        <v>0</v>
      </c>
      <c r="C70" s="2767"/>
      <c r="D70" s="1282">
        <f t="shared" ref="D70:D78" si="20">SUMIF($J$69:$N$69,C70,J70:N70)</f>
        <v>0</v>
      </c>
      <c r="E70" s="820">
        <f>ROUND(SUM(D70:D78),4)</f>
        <v>0</v>
      </c>
      <c r="F70" s="2498" t="str">
        <f>IF(E2="住宅",SUMIF(L1:L12,G2,N1:N12),"——")</f>
        <v>——</v>
      </c>
      <c r="G70" s="1280"/>
      <c r="H70" s="1284" t="str">
        <f t="shared" ref="H70:H78" si="21">IFERROR(ROUNDDOWN($F$70*I70/2,4),"——")</f>
        <v>——</v>
      </c>
      <c r="I70" s="819">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5" t="s">
        <v>2949</v>
      </c>
      <c r="B71" s="2879" t="str">
        <f>估价对象房地状况!C18</f>
        <v>估价对象周边路网较为密集、公共交通通达情况较好，有417、607、871路等公共交通，停车便捷程度较好，综合评价交通便捷度较好。</v>
      </c>
      <c r="C71" s="2767"/>
      <c r="D71" s="1282">
        <f t="shared" si="20"/>
        <v>0</v>
      </c>
      <c r="E71" s="825"/>
      <c r="F71" s="2498"/>
      <c r="G71" s="1280"/>
      <c r="H71" s="1284" t="str">
        <f t="shared" si="21"/>
        <v>——</v>
      </c>
      <c r="I71" s="819">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5" t="s">
        <v>2950</v>
      </c>
      <c r="B72" s="2879">
        <f>估价对象房地状况!C19</f>
        <v>0</v>
      </c>
      <c r="C72" s="2767"/>
      <c r="D72" s="1282">
        <f t="shared" si="20"/>
        <v>0</v>
      </c>
      <c r="E72" s="825"/>
      <c r="F72" s="2498"/>
      <c r="G72" s="1280"/>
      <c r="H72" s="1284" t="str">
        <f t="shared" si="21"/>
        <v>——</v>
      </c>
      <c r="I72" s="819">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5" t="s">
        <v>2964</v>
      </c>
      <c r="B73" s="2879" t="str">
        <f>估价对象房地状况!C24</f>
        <v>城市次干道——北清路</v>
      </c>
      <c r="C73" s="2767"/>
      <c r="D73" s="1282">
        <f t="shared" si="20"/>
        <v>0</v>
      </c>
      <c r="E73" s="825"/>
      <c r="F73" s="2498"/>
      <c r="G73" s="1280"/>
      <c r="H73" s="1284" t="str">
        <f t="shared" si="21"/>
        <v>——</v>
      </c>
      <c r="I73" s="819">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27.5">
      <c r="A74" s="2875" t="s">
        <v>2956</v>
      </c>
      <c r="B7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74" s="2767"/>
      <c r="D74" s="1282">
        <f t="shared" si="20"/>
        <v>0</v>
      </c>
      <c r="E74" s="825"/>
      <c r="F74" s="2498"/>
      <c r="G74" s="1280"/>
      <c r="H74" s="1284" t="str">
        <f t="shared" si="21"/>
        <v>——</v>
      </c>
      <c r="I74" s="819">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5" t="s">
        <v>2957</v>
      </c>
      <c r="B75" s="1721" t="str">
        <f>估价对象房地状况!C22</f>
        <v>估价对象所在区域基础设施水平达到“七通”。</v>
      </c>
      <c r="C75" s="2767"/>
      <c r="D75" s="1282">
        <f t="shared" si="20"/>
        <v>0</v>
      </c>
      <c r="E75" s="825"/>
      <c r="F75" s="2498"/>
      <c r="G75" s="1280"/>
      <c r="H75" s="1284" t="str">
        <f t="shared" si="21"/>
        <v>——</v>
      </c>
      <c r="I75" s="819">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75" t="s">
        <v>2954</v>
      </c>
      <c r="B76" s="2881" t="s">
        <v>2955</v>
      </c>
      <c r="C76" s="2767"/>
      <c r="D76" s="1282">
        <f t="shared" si="20"/>
        <v>0</v>
      </c>
      <c r="E76" s="825"/>
      <c r="F76" s="2498"/>
      <c r="G76" s="1280"/>
      <c r="H76" s="1284" t="str">
        <f t="shared" si="21"/>
        <v>——</v>
      </c>
      <c r="I76" s="819">
        <v>0.05</v>
      </c>
      <c r="J76" s="1281">
        <f t="shared" si="22"/>
        <v>0</v>
      </c>
      <c r="K76" s="1281">
        <f t="shared" si="23"/>
        <v>0</v>
      </c>
      <c r="L76" s="1281">
        <v>0</v>
      </c>
      <c r="M76" s="1281">
        <f t="shared" si="24"/>
        <v>0</v>
      </c>
      <c r="N76" s="1281">
        <f t="shared" si="24"/>
        <v>0</v>
      </c>
      <c r="AA76" s="2886"/>
      <c r="AB76" s="1367"/>
      <c r="AC76" s="1367"/>
      <c r="AD76" s="1367"/>
      <c r="AE76" s="1367"/>
      <c r="AF76" s="1367"/>
      <c r="AG76" s="1367"/>
      <c r="AH76" s="2886"/>
      <c r="AI76" s="2886"/>
      <c r="AJ76" s="2886"/>
      <c r="AK76" s="2886"/>
    </row>
    <row r="77" spans="1:37" ht="51">
      <c r="A77" s="2875" t="s">
        <v>2958</v>
      </c>
      <c r="B77" s="2878" t="str">
        <f>估价对象房地状况!C20</f>
        <v>区域自然环境：秀水湖公园；人文环境：北京邮电大学（洪福校区）；综合评价环境状况较好。</v>
      </c>
      <c r="C77" s="2767"/>
      <c r="D77" s="1282">
        <f t="shared" si="20"/>
        <v>0</v>
      </c>
      <c r="E77" s="825"/>
      <c r="F77" s="2498"/>
      <c r="G77" s="1280"/>
      <c r="H77" s="1284" t="str">
        <f t="shared" si="21"/>
        <v>——</v>
      </c>
      <c r="I77" s="819">
        <v>0.15</v>
      </c>
      <c r="J77" s="1281">
        <f t="shared" si="22"/>
        <v>0</v>
      </c>
      <c r="K77" s="1281">
        <f t="shared" si="23"/>
        <v>0</v>
      </c>
      <c r="L77" s="1281">
        <v>0</v>
      </c>
      <c r="M77" s="1281">
        <f t="shared" si="24"/>
        <v>0</v>
      </c>
      <c r="N77" s="1281">
        <f t="shared" si="24"/>
        <v>0</v>
      </c>
      <c r="Z77" s="2717"/>
      <c r="AA77" s="2793"/>
      <c r="AG77" s="1368"/>
      <c r="AK77" s="2793"/>
    </row>
    <row r="78" spans="1:37" ht="24.75" thickBot="1">
      <c r="A78" s="2883" t="s">
        <v>2965</v>
      </c>
      <c r="B78" s="2887"/>
      <c r="C78" s="2767"/>
      <c r="D78" s="1282">
        <f t="shared" si="20"/>
        <v>0</v>
      </c>
      <c r="E78" s="826"/>
      <c r="F78" s="2498"/>
      <c r="G78" s="1280"/>
      <c r="H78" s="1284" t="str">
        <f t="shared" si="21"/>
        <v>——</v>
      </c>
      <c r="I78" s="823">
        <v>0.04</v>
      </c>
      <c r="J78" s="1281">
        <f t="shared" si="22"/>
        <v>0</v>
      </c>
      <c r="K78" s="1281">
        <f t="shared" si="23"/>
        <v>0</v>
      </c>
      <c r="L78" s="1281">
        <v>0</v>
      </c>
      <c r="M78" s="1281">
        <f t="shared" si="24"/>
        <v>0</v>
      </c>
      <c r="N78" s="1281">
        <f t="shared" si="24"/>
        <v>0</v>
      </c>
      <c r="Z78" s="2717"/>
      <c r="AA78" s="2793"/>
      <c r="AG78" s="1368"/>
      <c r="AK78" s="2793"/>
    </row>
    <row r="79" spans="1:37" ht="15">
      <c r="A79" s="2871" t="s">
        <v>2966</v>
      </c>
      <c r="B79" s="2872">
        <f>1+E81</f>
        <v>1</v>
      </c>
      <c r="C79" s="813"/>
      <c r="D79" s="813"/>
      <c r="E79" s="814"/>
      <c r="F79" s="2874"/>
      <c r="G79" s="6"/>
      <c r="H79" s="6"/>
      <c r="I79" s="6"/>
      <c r="J79" s="7"/>
      <c r="K79" s="7"/>
      <c r="L79" s="7"/>
      <c r="M79" s="7"/>
      <c r="N79" s="7"/>
      <c r="Z79" s="2717"/>
      <c r="AA79" s="2793"/>
      <c r="AG79" s="1368"/>
      <c r="AK79" s="2793"/>
    </row>
    <row r="80" spans="1:37" ht="24.75">
      <c r="A80" s="2875" t="s">
        <v>2940</v>
      </c>
      <c r="B80" s="1805"/>
      <c r="C80" s="1805" t="s">
        <v>2942</v>
      </c>
      <c r="D80" s="1805" t="s">
        <v>2943</v>
      </c>
      <c r="E80" s="818" t="s">
        <v>2944</v>
      </c>
      <c r="F80" s="2876" t="s">
        <v>2960</v>
      </c>
      <c r="G80" s="1805" t="s">
        <v>754</v>
      </c>
      <c r="H80" s="2877" t="s">
        <v>2946</v>
      </c>
      <c r="I80" s="1805" t="s">
        <v>2947</v>
      </c>
      <c r="J80" s="603" t="s">
        <v>2593</v>
      </c>
      <c r="K80" s="603" t="s">
        <v>2594</v>
      </c>
      <c r="L80" s="603" t="s">
        <v>2595</v>
      </c>
      <c r="M80" s="603" t="s">
        <v>2596</v>
      </c>
      <c r="N80" s="603" t="s">
        <v>2597</v>
      </c>
      <c r="Z80" s="2717"/>
      <c r="AA80" s="2793"/>
      <c r="AG80" s="1368"/>
      <c r="AK80" s="2793"/>
    </row>
    <row r="81" spans="1:37" ht="38.25">
      <c r="A81" s="2875" t="s">
        <v>2967</v>
      </c>
      <c r="B81" s="2879" t="str">
        <f>估价对象房地状况!G15</f>
        <v>估价对象位于XX开发区，园区建设成熟度XX，产业集聚程度XX</v>
      </c>
      <c r="C81" s="2767"/>
      <c r="D81" s="1282">
        <f t="shared" ref="D81:D88" si="25">SUMIF($J$80:$N$80,C81,J81:N81)</f>
        <v>0</v>
      </c>
      <c r="E81" s="820">
        <f>ROUND(SUM(D81:D88),4)</f>
        <v>0</v>
      </c>
      <c r="F81" s="2498" t="str">
        <f>IF(E2="工业",SUMIF(L1:L12,G2,N1:N12),"——")</f>
        <v>——</v>
      </c>
      <c r="G81" s="1280"/>
      <c r="H81" s="1284" t="str">
        <f t="shared" ref="H81:H88" si="26">IFERROR(ROUNDDOWN($F$81*I81/2,4),"——")</f>
        <v>——</v>
      </c>
      <c r="I81" s="819">
        <v>0.26</v>
      </c>
      <c r="J81" s="1281">
        <f t="shared" ref="J81:J88" si="27">K81+$G81</f>
        <v>0</v>
      </c>
      <c r="K81" s="1281">
        <f t="shared" ref="K81:K88" si="28">$L81+$G81</f>
        <v>0</v>
      </c>
      <c r="L81" s="1281">
        <v>0</v>
      </c>
      <c r="M81" s="1281">
        <f t="shared" ref="M81:N88" si="29">L81-$G81</f>
        <v>0</v>
      </c>
      <c r="N81" s="1281">
        <f t="shared" si="29"/>
        <v>0</v>
      </c>
      <c r="Z81" s="2717"/>
      <c r="AA81" s="2793"/>
      <c r="AG81" s="1368"/>
      <c r="AK81" s="2793"/>
    </row>
    <row r="82" spans="1:37" ht="51">
      <c r="A82" s="2875" t="s">
        <v>2949</v>
      </c>
      <c r="B82" s="2879" t="str">
        <f>估价对象房地状况!G16</f>
        <v>估价对象周边道路状况、公共交通通达情况、停车便捷程度，综合评价交通便捷度较好</v>
      </c>
      <c r="C82" s="2767"/>
      <c r="D82" s="1282">
        <f t="shared" si="25"/>
        <v>0</v>
      </c>
      <c r="E82" s="825"/>
      <c r="F82" s="2498"/>
      <c r="G82" s="1280"/>
      <c r="H82" s="1284" t="str">
        <f t="shared" si="26"/>
        <v>——</v>
      </c>
      <c r="I82" s="819">
        <v>0.33</v>
      </c>
      <c r="J82" s="1281">
        <f t="shared" si="27"/>
        <v>0</v>
      </c>
      <c r="K82" s="1281">
        <f t="shared" si="28"/>
        <v>0</v>
      </c>
      <c r="L82" s="1281">
        <v>0</v>
      </c>
      <c r="M82" s="1281">
        <f t="shared" si="29"/>
        <v>0</v>
      </c>
      <c r="N82" s="1281">
        <f t="shared" si="29"/>
        <v>0</v>
      </c>
      <c r="Z82" s="2717"/>
      <c r="AA82" s="2793"/>
      <c r="AG82" s="1368"/>
      <c r="AK82" s="2793"/>
    </row>
    <row r="83" spans="1:37" ht="24">
      <c r="A83" s="2875" t="s">
        <v>2950</v>
      </c>
      <c r="B83" s="2879">
        <f>估价对象房地状况!G17</f>
        <v>0</v>
      </c>
      <c r="C83" s="2767"/>
      <c r="D83" s="1282">
        <f t="shared" si="25"/>
        <v>0</v>
      </c>
      <c r="E83" s="825"/>
      <c r="F83" s="2498"/>
      <c r="G83" s="1280"/>
      <c r="H83" s="1284" t="str">
        <f t="shared" si="26"/>
        <v>——</v>
      </c>
      <c r="I83" s="819">
        <v>0.05</v>
      </c>
      <c r="J83" s="1281">
        <f t="shared" si="27"/>
        <v>0</v>
      </c>
      <c r="K83" s="1281">
        <f t="shared" si="28"/>
        <v>0</v>
      </c>
      <c r="L83" s="1281">
        <v>0</v>
      </c>
      <c r="M83" s="1281">
        <f t="shared" si="29"/>
        <v>0</v>
      </c>
      <c r="N83" s="1281">
        <f t="shared" si="29"/>
        <v>0</v>
      </c>
      <c r="Z83" s="2717"/>
      <c r="AA83" s="2793"/>
      <c r="AG83" s="1368"/>
      <c r="AK83" s="2793"/>
    </row>
    <row r="84" spans="1:37" ht="14.25">
      <c r="A84" s="2875" t="s">
        <v>2964</v>
      </c>
      <c r="B84" s="2879">
        <f>估价对象房地状况!G22</f>
        <v>0</v>
      </c>
      <c r="C84" s="2767"/>
      <c r="D84" s="1282">
        <f t="shared" si="25"/>
        <v>0</v>
      </c>
      <c r="E84" s="825"/>
      <c r="F84" s="2498"/>
      <c r="G84" s="1280"/>
      <c r="H84" s="1284" t="str">
        <f t="shared" si="26"/>
        <v>——</v>
      </c>
      <c r="I84" s="819">
        <v>0.04</v>
      </c>
      <c r="J84" s="1281">
        <f t="shared" si="27"/>
        <v>0</v>
      </c>
      <c r="K84" s="1281">
        <f t="shared" si="28"/>
        <v>0</v>
      </c>
      <c r="L84" s="1281">
        <v>0</v>
      </c>
      <c r="M84" s="1281">
        <f t="shared" si="29"/>
        <v>0</v>
      </c>
      <c r="N84" s="1281">
        <f t="shared" si="29"/>
        <v>0</v>
      </c>
      <c r="Z84" s="2717"/>
      <c r="AA84" s="2793"/>
      <c r="AG84" s="1368"/>
      <c r="AK84" s="2793"/>
    </row>
    <row r="85" spans="1:37" ht="25.5">
      <c r="A85" s="2875" t="s">
        <v>2956</v>
      </c>
      <c r="B85" s="1721" t="str">
        <f>估价对象房地状况!G19</f>
        <v>估价对象所在区域公共配套设施齐备情况</v>
      </c>
      <c r="C85" s="2767"/>
      <c r="D85" s="1282">
        <f t="shared" si="25"/>
        <v>0</v>
      </c>
      <c r="E85" s="825"/>
      <c r="F85" s="2498"/>
      <c r="G85" s="1280"/>
      <c r="H85" s="1284" t="str">
        <f t="shared" si="26"/>
        <v>——</v>
      </c>
      <c r="I85" s="819">
        <v>0.06</v>
      </c>
      <c r="J85" s="1281">
        <f t="shared" si="27"/>
        <v>0</v>
      </c>
      <c r="K85" s="1281">
        <f t="shared" si="28"/>
        <v>0</v>
      </c>
      <c r="L85" s="1281">
        <v>0</v>
      </c>
      <c r="M85" s="1281">
        <f t="shared" si="29"/>
        <v>0</v>
      </c>
      <c r="N85" s="1281">
        <f t="shared" si="29"/>
        <v>0</v>
      </c>
      <c r="Z85" s="2717"/>
      <c r="AA85" s="2793"/>
      <c r="AG85" s="1368"/>
      <c r="AK85" s="2793"/>
    </row>
    <row r="86" spans="1:37" ht="25.5">
      <c r="A86" s="2875" t="s">
        <v>2957</v>
      </c>
      <c r="B86" s="1721" t="str">
        <f>估价对象房地状况!G20</f>
        <v>估价对象所在区域基础设施水平</v>
      </c>
      <c r="C86" s="2767"/>
      <c r="D86" s="1282">
        <f t="shared" si="25"/>
        <v>0</v>
      </c>
      <c r="E86" s="825"/>
      <c r="F86" s="2498"/>
      <c r="G86" s="1280"/>
      <c r="H86" s="1284" t="str">
        <f t="shared" si="26"/>
        <v>——</v>
      </c>
      <c r="I86" s="819">
        <v>0.15</v>
      </c>
      <c r="J86" s="1281">
        <f t="shared" si="27"/>
        <v>0</v>
      </c>
      <c r="K86" s="1281">
        <f t="shared" si="28"/>
        <v>0</v>
      </c>
      <c r="L86" s="1281">
        <v>0</v>
      </c>
      <c r="M86" s="1281">
        <f t="shared" si="29"/>
        <v>0</v>
      </c>
      <c r="N86" s="1281">
        <f t="shared" si="29"/>
        <v>0</v>
      </c>
      <c r="Z86" s="2717"/>
      <c r="AA86" s="2793"/>
      <c r="AG86" s="1368"/>
      <c r="AK86" s="2793"/>
    </row>
    <row r="87" spans="1:37" ht="24">
      <c r="A87" s="2875" t="s">
        <v>2954</v>
      </c>
      <c r="B87" s="2881" t="s">
        <v>2968</v>
      </c>
      <c r="C87" s="2767"/>
      <c r="D87" s="1282">
        <f t="shared" si="25"/>
        <v>0</v>
      </c>
      <c r="E87" s="825"/>
      <c r="F87" s="2498"/>
      <c r="G87" s="1280"/>
      <c r="H87" s="1284" t="str">
        <f t="shared" si="26"/>
        <v>——</v>
      </c>
      <c r="I87" s="819">
        <v>0.05</v>
      </c>
      <c r="J87" s="1281">
        <f t="shared" si="27"/>
        <v>0</v>
      </c>
      <c r="K87" s="1281">
        <f t="shared" si="28"/>
        <v>0</v>
      </c>
      <c r="L87" s="1281">
        <v>0</v>
      </c>
      <c r="M87" s="1281">
        <f t="shared" si="29"/>
        <v>0</v>
      </c>
      <c r="N87" s="1281">
        <f t="shared" si="29"/>
        <v>0</v>
      </c>
      <c r="Z87" s="2717"/>
      <c r="AA87" s="2793"/>
      <c r="AG87" s="1368"/>
      <c r="AK87" s="2793"/>
    </row>
    <row r="88" spans="1:37" ht="39" thickBot="1">
      <c r="A88" s="2883" t="s">
        <v>2969</v>
      </c>
      <c r="B88" s="2888" t="str">
        <f>估价对象房地状况!G18</f>
        <v>该园区内是否有污染型企业，绿化情况，卫生条件，整体环境状况判断</v>
      </c>
      <c r="C88" s="2767"/>
      <c r="D88" s="1282">
        <f t="shared" si="25"/>
        <v>0</v>
      </c>
      <c r="E88" s="826"/>
      <c r="F88" s="2498"/>
      <c r="G88" s="1280"/>
      <c r="H88" s="1284" t="str">
        <f t="shared" si="26"/>
        <v>——</v>
      </c>
      <c r="I88" s="823">
        <v>0.06</v>
      </c>
      <c r="J88" s="1281">
        <f t="shared" si="27"/>
        <v>0</v>
      </c>
      <c r="K88" s="1281">
        <f t="shared" si="28"/>
        <v>0</v>
      </c>
      <c r="L88" s="1281">
        <v>0</v>
      </c>
      <c r="M88" s="1281">
        <f t="shared" si="29"/>
        <v>0</v>
      </c>
      <c r="N88" s="1281">
        <f t="shared" si="29"/>
        <v>0</v>
      </c>
      <c r="Z88" s="2717"/>
      <c r="AA88" s="2793"/>
      <c r="AG88" s="1368"/>
      <c r="AK88" s="2793"/>
    </row>
    <row r="90" spans="1:37">
      <c r="A90" s="3601" t="s">
        <v>2970</v>
      </c>
      <c r="B90" s="3601"/>
      <c r="C90" s="3601"/>
      <c r="D90" s="3601"/>
      <c r="E90" s="3601"/>
      <c r="F90" s="3601"/>
      <c r="G90" s="3601"/>
      <c r="H90" s="3601"/>
      <c r="I90" s="3601"/>
      <c r="J90" s="3601"/>
      <c r="K90" s="2889"/>
      <c r="L90" s="2889"/>
      <c r="M90" s="2889"/>
      <c r="N90" s="2889"/>
    </row>
    <row r="91" spans="1:37">
      <c r="A91" s="3603" t="s">
        <v>2971</v>
      </c>
      <c r="B91" s="3603" t="s">
        <v>2972</v>
      </c>
      <c r="C91" s="2843" t="s">
        <v>2973</v>
      </c>
      <c r="D91" s="2844"/>
      <c r="E91" s="2844"/>
      <c r="F91" s="2844"/>
      <c r="G91" s="2844"/>
      <c r="H91" s="2844"/>
      <c r="I91" s="2844"/>
      <c r="J91" s="2890"/>
      <c r="K91" s="2891"/>
      <c r="L91" s="2891"/>
      <c r="M91" s="2891"/>
      <c r="N91" s="2891"/>
    </row>
    <row r="92" spans="1:37">
      <c r="A92" s="3603"/>
      <c r="B92" s="3603"/>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604"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0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0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0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0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0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05"/>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0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04" t="s">
        <v>2975</v>
      </c>
      <c r="B101" s="2896" t="s">
        <v>2976</v>
      </c>
      <c r="C101" s="2897">
        <f>$G$3</f>
        <v>2.64</v>
      </c>
      <c r="D101" s="2897">
        <f t="shared" ref="D101:N101" si="31">$G$3</f>
        <v>2.64</v>
      </c>
      <c r="E101" s="2897">
        <f t="shared" si="31"/>
        <v>2.64</v>
      </c>
      <c r="F101" s="2897">
        <f t="shared" si="31"/>
        <v>2.64</v>
      </c>
      <c r="G101" s="2897">
        <f t="shared" si="31"/>
        <v>2.64</v>
      </c>
      <c r="H101" s="2897">
        <f t="shared" si="31"/>
        <v>2.64</v>
      </c>
      <c r="I101" s="2897">
        <f t="shared" si="31"/>
        <v>2.64</v>
      </c>
      <c r="J101" s="2897">
        <f t="shared" si="31"/>
        <v>2.64</v>
      </c>
      <c r="K101" s="2897">
        <f t="shared" si="31"/>
        <v>2.64</v>
      </c>
      <c r="L101" s="2897">
        <f t="shared" si="31"/>
        <v>2.64</v>
      </c>
      <c r="M101" s="2897">
        <f t="shared" si="31"/>
        <v>2.64</v>
      </c>
      <c r="N101" s="2897">
        <f t="shared" si="31"/>
        <v>2.64</v>
      </c>
    </row>
    <row r="102" spans="1:14">
      <c r="A102" s="3605"/>
      <c r="B102" s="2892">
        <v>1</v>
      </c>
      <c r="C102" s="2893">
        <f>1.9362/C101</f>
        <v>0.7334090909090909</v>
      </c>
      <c r="D102" s="2893">
        <f>1.9362/D101</f>
        <v>0.7334090909090909</v>
      </c>
      <c r="E102" s="2893">
        <f>1.8629/E101</f>
        <v>0.70564393939393932</v>
      </c>
      <c r="F102" s="2893">
        <f>1.8629/F101</f>
        <v>0.70564393939393932</v>
      </c>
      <c r="G102" s="2893">
        <f>1.8629/G101</f>
        <v>0.70564393939393932</v>
      </c>
      <c r="H102" s="2893">
        <f>1.8629/H101</f>
        <v>0.70564393939393932</v>
      </c>
      <c r="I102" s="2893">
        <f>1.8629/I101</f>
        <v>0.70564393939393932</v>
      </c>
      <c r="J102" s="2893">
        <f>1.942/J101</f>
        <v>0.7356060606060606</v>
      </c>
      <c r="K102" s="2893">
        <f>1.942/K101</f>
        <v>0.7356060606060606</v>
      </c>
      <c r="L102" s="2893">
        <f>1.942/L101</f>
        <v>0.7356060606060606</v>
      </c>
      <c r="M102" s="2893">
        <f>1.942/M101</f>
        <v>0.7356060606060606</v>
      </c>
      <c r="N102" s="2893">
        <f>1.942/N101</f>
        <v>0.7356060606060606</v>
      </c>
    </row>
    <row r="103" spans="1:14">
      <c r="A103" s="3605"/>
      <c r="B103" s="2892">
        <v>2</v>
      </c>
      <c r="C103" s="2893">
        <f>1.4198/C101</f>
        <v>0.53780303030303023</v>
      </c>
      <c r="D103" s="2893">
        <f>1.4198/D101</f>
        <v>0.53780303030303023</v>
      </c>
      <c r="E103" s="2893">
        <f>1.3372/E101</f>
        <v>0.50651515151515147</v>
      </c>
      <c r="F103" s="2893">
        <f>1.3372/F101</f>
        <v>0.50651515151515147</v>
      </c>
      <c r="G103" s="2893">
        <f>1.3372/G101</f>
        <v>0.50651515151515147</v>
      </c>
      <c r="H103" s="2893">
        <f>1.3372/H101</f>
        <v>0.50651515151515147</v>
      </c>
      <c r="I103" s="2893">
        <f>1.3372/I101</f>
        <v>0.50651515151515147</v>
      </c>
      <c r="J103" s="2893">
        <f>1.2799/J101</f>
        <v>0.48481060606060605</v>
      </c>
      <c r="K103" s="2893">
        <f>1.2799/K101</f>
        <v>0.48481060606060605</v>
      </c>
      <c r="L103" s="2893">
        <f>1.2799/L101</f>
        <v>0.48481060606060605</v>
      </c>
      <c r="M103" s="2893">
        <f>1.2799/M101</f>
        <v>0.48481060606060605</v>
      </c>
      <c r="N103" s="2893">
        <f>1.2799/N101</f>
        <v>0.48481060606060605</v>
      </c>
    </row>
    <row r="104" spans="1:14">
      <c r="A104" s="3605"/>
      <c r="B104" s="2892">
        <v>3</v>
      </c>
      <c r="C104" s="2893">
        <f>1.1594/C101</f>
        <v>0.43916666666666665</v>
      </c>
      <c r="D104" s="2893">
        <f>1.1594/D101</f>
        <v>0.43916666666666665</v>
      </c>
      <c r="E104" s="2893">
        <f>1.0788/E101</f>
        <v>0.40863636363636363</v>
      </c>
      <c r="F104" s="2893">
        <f>1.0788/F101</f>
        <v>0.40863636363636363</v>
      </c>
      <c r="G104" s="2893">
        <f>1.0788/G101</f>
        <v>0.40863636363636363</v>
      </c>
      <c r="H104" s="2893">
        <f>1.0788/H101</f>
        <v>0.40863636363636363</v>
      </c>
      <c r="I104" s="2893">
        <f>1.0788/I101</f>
        <v>0.40863636363636363</v>
      </c>
      <c r="J104" s="2893">
        <f>1.0072/J101</f>
        <v>0.38151515151515153</v>
      </c>
      <c r="K104" s="2893">
        <f>1.0072/K101</f>
        <v>0.38151515151515153</v>
      </c>
      <c r="L104" s="2893">
        <f>1.0072/L101</f>
        <v>0.38151515151515153</v>
      </c>
      <c r="M104" s="2893">
        <f>1.0072/M101</f>
        <v>0.38151515151515153</v>
      </c>
      <c r="N104" s="2893">
        <f>1.0072/N101</f>
        <v>0.38151515151515153</v>
      </c>
    </row>
    <row r="105" spans="1:14">
      <c r="A105" s="3605"/>
      <c r="B105" s="2892">
        <v>4</v>
      </c>
      <c r="C105" s="2893">
        <f>0.9622/C101</f>
        <v>0.364469696969697</v>
      </c>
      <c r="D105" s="2893">
        <f>0.9622/D101</f>
        <v>0.364469696969697</v>
      </c>
      <c r="E105" s="2893">
        <f>0.8656/E101</f>
        <v>0.32787878787878788</v>
      </c>
      <c r="F105" s="2893">
        <f>0.8656/F101</f>
        <v>0.32787878787878788</v>
      </c>
      <c r="G105" s="2893">
        <f>0.8656/G101</f>
        <v>0.32787878787878788</v>
      </c>
      <c r="H105" s="2893">
        <f>0.8656/H101</f>
        <v>0.32787878787878788</v>
      </c>
      <c r="I105" s="2893">
        <f>0.8656/I101</f>
        <v>0.32787878787878788</v>
      </c>
      <c r="J105" s="2893">
        <f>0.7525/J101</f>
        <v>0.28503787878787873</v>
      </c>
      <c r="K105" s="2893">
        <f>0.7525/K101</f>
        <v>0.28503787878787873</v>
      </c>
      <c r="L105" s="2893">
        <f>0.7525/L101</f>
        <v>0.28503787878787873</v>
      </c>
      <c r="M105" s="2893">
        <f>0.7525/M101</f>
        <v>0.28503787878787873</v>
      </c>
      <c r="N105" s="2893">
        <f>0.7525/N101</f>
        <v>0.28503787878787873</v>
      </c>
    </row>
    <row r="106" spans="1:14">
      <c r="A106" s="3605"/>
      <c r="B106" s="2892">
        <v>5</v>
      </c>
      <c r="C106" s="2893">
        <f>0.8417/C101</f>
        <v>0.31882575757575754</v>
      </c>
      <c r="D106" s="2893">
        <f>0.8417/D101</f>
        <v>0.31882575757575754</v>
      </c>
      <c r="E106" s="2893">
        <f>0.7371/E101</f>
        <v>0.27920454545454543</v>
      </c>
      <c r="F106" s="2893">
        <f>0.7371/F101</f>
        <v>0.27920454545454543</v>
      </c>
      <c r="G106" s="2893">
        <f>0.7371/G101</f>
        <v>0.27920454545454543</v>
      </c>
      <c r="H106" s="2893">
        <f>0.7371/H101</f>
        <v>0.27920454545454543</v>
      </c>
      <c r="I106" s="2893">
        <f>0.7371/I101</f>
        <v>0.27920454545454543</v>
      </c>
      <c r="J106" s="2893">
        <f>0.5659/J101</f>
        <v>0.21435606060606058</v>
      </c>
      <c r="K106" s="2893">
        <f>0.5659/K101</f>
        <v>0.21435606060606058</v>
      </c>
      <c r="L106" s="2893">
        <f>0.5659/L101</f>
        <v>0.21435606060606058</v>
      </c>
      <c r="M106" s="2893">
        <f>0.5659/M101</f>
        <v>0.21435606060606058</v>
      </c>
      <c r="N106" s="2893">
        <f>0.5659/N101</f>
        <v>0.21435606060606058</v>
      </c>
    </row>
    <row r="107" spans="1:14">
      <c r="A107" s="3605"/>
      <c r="B107" s="2892">
        <v>6</v>
      </c>
      <c r="C107" s="2893">
        <f>0.7608/C101</f>
        <v>0.28818181818181821</v>
      </c>
      <c r="D107" s="2893">
        <f>0.7608/D101</f>
        <v>0.28818181818181821</v>
      </c>
      <c r="E107" s="2893">
        <f>0.6482/E101</f>
        <v>0.24553030303030302</v>
      </c>
      <c r="F107" s="2893">
        <f>0.6482/F101</f>
        <v>0.24553030303030302</v>
      </c>
      <c r="G107" s="2893">
        <f>0.6482/G101</f>
        <v>0.24553030303030302</v>
      </c>
      <c r="H107" s="2893">
        <f>0.6482/H101</f>
        <v>0.24553030303030302</v>
      </c>
      <c r="I107" s="2893">
        <f>0.6482/I101</f>
        <v>0.24553030303030302</v>
      </c>
      <c r="J107" s="2893">
        <f>0.4525/J101</f>
        <v>0.17140151515151514</v>
      </c>
      <c r="K107" s="2893">
        <f>0.4525/K101</f>
        <v>0.17140151515151514</v>
      </c>
      <c r="L107" s="2893">
        <f>0.4525/L101</f>
        <v>0.17140151515151514</v>
      </c>
      <c r="M107" s="2893">
        <f>0.4525/M101</f>
        <v>0.17140151515151514</v>
      </c>
      <c r="N107" s="2893">
        <f>0.4525/N101</f>
        <v>0.17140151515151514</v>
      </c>
    </row>
    <row r="108" spans="1:14">
      <c r="A108" s="3605"/>
      <c r="B108" s="3459"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06"/>
      <c r="B109" s="3460"/>
      <c r="C109" s="2895">
        <f>(-0.163*(C108^2)-0.59*C108+7617)*(10^(-4))/C101</f>
        <v>0.28852272727272726</v>
      </c>
      <c r="D109" s="2895">
        <f>(-0.163*(D108^2)-0.59*D108+7617)*(10^(-4))/D101</f>
        <v>0.28852272727272726</v>
      </c>
      <c r="E109" s="2895">
        <f>(-0.161*(E108^2)-7.509*E108+6533)*(10^(-4))/E101</f>
        <v>0.24746212121212119</v>
      </c>
      <c r="F109" s="2895">
        <f>(-0.161*(F108^2)-7.509*F108+6533)*(10^(-4))/F101</f>
        <v>0.24746212121212119</v>
      </c>
      <c r="G109" s="2895">
        <f>(-0.161*(G108^2)-7.509*G108+6533)*(10^(-4))/G101</f>
        <v>0.24746212121212119</v>
      </c>
      <c r="H109" s="2895">
        <f>(-0.161*(H108^2)-7.509*H108+6533)*(10^(-4))/H101</f>
        <v>0.24746212121212119</v>
      </c>
      <c r="I109" s="2895">
        <f>(-0.161*(I108^2)-7.509*I108+6533)*(10^(-4))/I101</f>
        <v>0.24746212121212119</v>
      </c>
      <c r="J109" s="2895">
        <f>(-0.214*(J108^2)-21.991*J108+4665)*(10^(-4))/J101</f>
        <v>0.17670454545454545</v>
      </c>
      <c r="K109" s="2895">
        <f>(-0.214*(K108^2)-21.991*K108+4665)*(10^(-4))/K101</f>
        <v>0.17670454545454545</v>
      </c>
      <c r="L109" s="2895">
        <f>(-0.214*(L108^2)-21.991*L108+4665)*(10^(-4))/L101</f>
        <v>0.17670454545454545</v>
      </c>
      <c r="M109" s="2895">
        <f>(-0.214*(M108^2)-21.991*M108+4665)*(10^(-4))/M101</f>
        <v>0.17670454545454545</v>
      </c>
      <c r="N109" s="2895">
        <f>(-0.214*(N108^2)-21.991*N108+4665)*(10^(-4))/N101</f>
        <v>0.17670454545454545</v>
      </c>
    </row>
    <row r="110" spans="1:14">
      <c r="A110" s="3602" t="s">
        <v>2978</v>
      </c>
      <c r="B110" s="3602"/>
      <c r="C110" s="3602"/>
      <c r="D110" s="3602"/>
      <c r="E110" s="3602"/>
      <c r="F110" s="3602"/>
      <c r="G110" s="3602"/>
      <c r="H110" s="3602"/>
      <c r="I110" s="3602"/>
      <c r="J110" s="3602"/>
      <c r="K110" s="2898"/>
      <c r="L110" s="2898"/>
      <c r="M110" s="2898"/>
      <c r="N110" s="2898"/>
    </row>
    <row r="112" spans="1:14" ht="13.5" thickBot="1"/>
    <row r="113" spans="1:13" ht="25.5" thickBot="1">
      <c r="A113" s="902" t="s">
        <v>2979</v>
      </c>
      <c r="B113" s="1283">
        <f>G3</f>
        <v>2.64</v>
      </c>
      <c r="C113" s="903" t="s">
        <v>2980</v>
      </c>
      <c r="D113" s="904">
        <f>SUMPRODUCT((A115:A118=F113)*(B114:M114=H113)*B115:M118)</f>
        <v>0</v>
      </c>
      <c r="E113" s="2721" t="s">
        <v>2810</v>
      </c>
      <c r="F113" s="2900">
        <f>E2</f>
        <v>0</v>
      </c>
      <c r="G113" s="2721" t="s">
        <v>2811</v>
      </c>
      <c r="H113" s="2900">
        <f>G2</f>
        <v>0</v>
      </c>
      <c r="I113" s="2721"/>
      <c r="J113" s="2901"/>
      <c r="K113" s="2901"/>
      <c r="L113" s="2901"/>
      <c r="M113" s="2901"/>
    </row>
    <row r="114" spans="1:13">
      <c r="A114" s="907"/>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8" t="s">
        <v>2875</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2876</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2877</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4" t="s">
        <v>2878</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10" t="s">
        <v>183</v>
      </c>
      <c r="B18" s="881" t="s">
        <v>560</v>
      </c>
      <c r="C18" s="882" t="s">
        <v>561</v>
      </c>
      <c r="D18" s="883"/>
      <c r="E18" s="881">
        <v>1</v>
      </c>
      <c r="F18" s="884" t="s">
        <v>562</v>
      </c>
      <c r="G18" s="885"/>
      <c r="H18" s="877"/>
      <c r="I18" s="877"/>
    </row>
    <row r="19" spans="1:9" s="886" customFormat="1" ht="19.5" customHeight="1">
      <c r="A19" s="3610"/>
      <c r="B19" s="3610" t="s">
        <v>563</v>
      </c>
      <c r="C19" s="882" t="s">
        <v>564</v>
      </c>
      <c r="D19" s="883"/>
      <c r="E19" s="881">
        <v>0.9</v>
      </c>
      <c r="F19" s="884" t="s">
        <v>565</v>
      </c>
      <c r="G19" s="885"/>
      <c r="H19" s="877"/>
      <c r="I19" s="877"/>
    </row>
    <row r="20" spans="1:9" s="886" customFormat="1" ht="19.5" customHeight="1">
      <c r="A20" s="3610"/>
      <c r="B20" s="3610"/>
      <c r="C20" s="882" t="s">
        <v>566</v>
      </c>
      <c r="D20" s="883"/>
      <c r="E20" s="881">
        <v>1.1000000000000001</v>
      </c>
      <c r="F20" s="884" t="s">
        <v>567</v>
      </c>
      <c r="G20" s="885"/>
      <c r="H20" s="877"/>
      <c r="I20" s="877"/>
    </row>
    <row r="21" spans="1:9" s="886" customFormat="1" ht="19.5" customHeight="1">
      <c r="A21" s="3610"/>
      <c r="B21" s="3610"/>
      <c r="C21" s="882" t="s">
        <v>568</v>
      </c>
      <c r="D21" s="883"/>
      <c r="E21" s="881">
        <v>0.8</v>
      </c>
      <c r="F21" s="884" t="s">
        <v>569</v>
      </c>
      <c r="G21" s="885"/>
      <c r="H21" s="877"/>
      <c r="I21" s="877"/>
    </row>
    <row r="22" spans="1:9" s="886" customFormat="1" ht="19.5" customHeight="1">
      <c r="A22" s="3610"/>
      <c r="B22" s="3610"/>
      <c r="C22" s="882" t="s">
        <v>570</v>
      </c>
      <c r="D22" s="883"/>
      <c r="E22" s="881">
        <v>0.5</v>
      </c>
      <c r="F22" s="884"/>
      <c r="G22" s="885"/>
      <c r="H22" s="877"/>
      <c r="I22" s="877"/>
    </row>
    <row r="23" spans="1:9" s="886" customFormat="1" ht="19.5" customHeight="1">
      <c r="A23" s="3610" t="s">
        <v>184</v>
      </c>
      <c r="B23" s="881" t="s">
        <v>560</v>
      </c>
      <c r="C23" s="882" t="s">
        <v>571</v>
      </c>
      <c r="D23" s="883"/>
      <c r="E23" s="881">
        <v>1</v>
      </c>
      <c r="F23" s="884" t="s">
        <v>572</v>
      </c>
      <c r="G23" s="885"/>
      <c r="H23" s="877"/>
      <c r="I23" s="877"/>
    </row>
    <row r="24" spans="1:9" s="886" customFormat="1" ht="19.5" customHeight="1">
      <c r="A24" s="3610"/>
      <c r="B24" s="3610" t="s">
        <v>563</v>
      </c>
      <c r="C24" s="882" t="s">
        <v>573</v>
      </c>
      <c r="D24" s="883"/>
      <c r="E24" s="881">
        <v>0.5</v>
      </c>
      <c r="F24" s="884"/>
      <c r="G24" s="885"/>
      <c r="H24" s="877"/>
      <c r="I24" s="877"/>
    </row>
    <row r="25" spans="1:9" s="886" customFormat="1" ht="19.5" customHeight="1">
      <c r="A25" s="3610"/>
      <c r="B25" s="3610"/>
      <c r="C25" s="882" t="s">
        <v>574</v>
      </c>
      <c r="D25" s="883"/>
      <c r="E25" s="881">
        <v>1.1000000000000001</v>
      </c>
      <c r="F25" s="884"/>
      <c r="G25" s="885"/>
      <c r="H25" s="877"/>
      <c r="I25" s="877"/>
    </row>
    <row r="26" spans="1:9" s="886" customFormat="1" ht="19.5" customHeight="1">
      <c r="A26" s="3610"/>
      <c r="B26" s="3610"/>
      <c r="C26" s="882" t="s">
        <v>575</v>
      </c>
      <c r="D26" s="883"/>
      <c r="E26" s="881">
        <v>1.1000000000000001</v>
      </c>
      <c r="F26" s="884"/>
      <c r="G26" s="885"/>
      <c r="H26" s="877"/>
      <c r="I26" s="877"/>
    </row>
    <row r="27" spans="1:9" s="886" customFormat="1" ht="19.5" customHeight="1">
      <c r="A27" s="3610"/>
      <c r="B27" s="3610"/>
      <c r="C27" s="882" t="s">
        <v>576</v>
      </c>
      <c r="D27" s="883"/>
      <c r="E27" s="881">
        <v>0.9</v>
      </c>
      <c r="F27" s="884" t="s">
        <v>577</v>
      </c>
      <c r="G27" s="885"/>
      <c r="H27" s="877"/>
      <c r="I27" s="877"/>
    </row>
    <row r="28" spans="1:9" s="886" customFormat="1" ht="19.5" customHeight="1">
      <c r="A28" s="3610"/>
      <c r="B28" s="3610"/>
      <c r="C28" s="882" t="s">
        <v>578</v>
      </c>
      <c r="D28" s="883"/>
      <c r="E28" s="881">
        <v>0.9</v>
      </c>
      <c r="F28" s="884" t="s">
        <v>579</v>
      </c>
      <c r="G28" s="885"/>
      <c r="H28" s="877"/>
      <c r="I28" s="877"/>
    </row>
    <row r="29" spans="1:9" s="886" customFormat="1" ht="19.5" customHeight="1">
      <c r="A29" s="3610"/>
      <c r="B29" s="3610"/>
      <c r="C29" s="882" t="s">
        <v>580</v>
      </c>
      <c r="D29" s="883"/>
      <c r="E29" s="881">
        <v>0.9</v>
      </c>
      <c r="F29" s="884" t="s">
        <v>581</v>
      </c>
      <c r="G29" s="885"/>
      <c r="H29" s="877"/>
      <c r="I29" s="877"/>
    </row>
    <row r="30" spans="1:9" s="886" customFormat="1" ht="19.5" customHeight="1">
      <c r="A30" s="3610"/>
      <c r="B30" s="3610"/>
      <c r="C30" s="882" t="s">
        <v>582</v>
      </c>
      <c r="D30" s="883"/>
      <c r="E30" s="881">
        <v>0.9</v>
      </c>
      <c r="F30" s="884" t="s">
        <v>583</v>
      </c>
      <c r="G30" s="885"/>
      <c r="H30" s="877"/>
      <c r="I30" s="877"/>
    </row>
    <row r="31" spans="1:9" s="886" customFormat="1" ht="19.5" customHeight="1">
      <c r="A31" s="3610"/>
      <c r="B31" s="3610"/>
      <c r="C31" s="882" t="s">
        <v>584</v>
      </c>
      <c r="D31" s="883"/>
      <c r="E31" s="881">
        <v>0.8</v>
      </c>
      <c r="F31" s="884" t="s">
        <v>585</v>
      </c>
      <c r="G31" s="885"/>
      <c r="H31" s="877"/>
      <c r="I31" s="877"/>
    </row>
    <row r="32" spans="1:9" s="886" customFormat="1" ht="19.5" customHeight="1">
      <c r="A32" s="3610"/>
      <c r="B32" s="3610"/>
      <c r="C32" s="882" t="s">
        <v>586</v>
      </c>
      <c r="D32" s="883"/>
      <c r="E32" s="881">
        <v>0.8</v>
      </c>
      <c r="F32" s="884" t="s">
        <v>587</v>
      </c>
      <c r="G32" s="885"/>
      <c r="H32" s="877"/>
      <c r="I32" s="877"/>
    </row>
    <row r="33" spans="1:9" s="886" customFormat="1" ht="19.5" customHeight="1">
      <c r="A33" s="3610" t="s">
        <v>185</v>
      </c>
      <c r="B33" s="881" t="s">
        <v>560</v>
      </c>
      <c r="C33" s="882" t="s">
        <v>588</v>
      </c>
      <c r="D33" s="883"/>
      <c r="E33" s="881">
        <v>1</v>
      </c>
      <c r="F33" s="884" t="s">
        <v>589</v>
      </c>
      <c r="G33" s="885"/>
      <c r="H33" s="877"/>
      <c r="I33" s="877"/>
    </row>
    <row r="34" spans="1:9" s="886" customFormat="1" ht="19.5" customHeight="1">
      <c r="A34" s="3610"/>
      <c r="B34" s="881" t="s">
        <v>563</v>
      </c>
      <c r="C34" s="882" t="s">
        <v>590</v>
      </c>
      <c r="D34" s="883"/>
      <c r="E34" s="881">
        <v>1.5</v>
      </c>
      <c r="F34" s="884" t="s">
        <v>591</v>
      </c>
      <c r="G34" s="885"/>
      <c r="H34" s="877"/>
      <c r="I34" s="877"/>
    </row>
    <row r="35" spans="1:9" s="886" customFormat="1" ht="19.5" customHeight="1">
      <c r="A35" s="3610" t="s">
        <v>186</v>
      </c>
      <c r="B35" s="881" t="s">
        <v>560</v>
      </c>
      <c r="C35" s="882" t="s">
        <v>592</v>
      </c>
      <c r="D35" s="883"/>
      <c r="E35" s="881">
        <v>1</v>
      </c>
      <c r="F35" s="884" t="s">
        <v>593</v>
      </c>
      <c r="G35" s="885"/>
      <c r="H35" s="877"/>
      <c r="I35" s="877"/>
    </row>
    <row r="36" spans="1:9" s="886" customFormat="1" ht="19.5" customHeight="1">
      <c r="A36" s="3610"/>
      <c r="B36" s="3610" t="s">
        <v>563</v>
      </c>
      <c r="C36" s="882" t="s">
        <v>594</v>
      </c>
      <c r="D36" s="883"/>
      <c r="E36" s="881">
        <v>1</v>
      </c>
      <c r="F36" s="884" t="s">
        <v>595</v>
      </c>
      <c r="G36" s="885"/>
      <c r="H36" s="877"/>
      <c r="I36" s="877"/>
    </row>
    <row r="37" spans="1:9" s="886" customFormat="1" ht="19.5" customHeight="1">
      <c r="A37" s="3610"/>
      <c r="B37" s="3610"/>
      <c r="C37" s="882" t="s">
        <v>596</v>
      </c>
      <c r="D37" s="883"/>
      <c r="E37" s="881">
        <v>1.5</v>
      </c>
      <c r="F37" s="884" t="s">
        <v>597</v>
      </c>
      <c r="G37" s="885"/>
      <c r="H37" s="877"/>
      <c r="I37" s="877"/>
    </row>
    <row r="38" spans="1:9" s="886" customFormat="1" ht="19.5" customHeight="1">
      <c r="A38" s="3610"/>
      <c r="B38" s="3610"/>
      <c r="C38" s="882" t="s">
        <v>598</v>
      </c>
      <c r="D38" s="883"/>
      <c r="E38" s="881">
        <v>1</v>
      </c>
      <c r="F38" s="884" t="s">
        <v>599</v>
      </c>
      <c r="G38" s="885"/>
      <c r="H38" s="877"/>
      <c r="I38" s="877"/>
    </row>
    <row r="39" spans="1:9" s="886" customFormat="1" ht="19.5" customHeight="1">
      <c r="A39" s="3610"/>
      <c r="B39" s="361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10" t="s">
        <v>614</v>
      </c>
      <c r="C61" s="817" t="s">
        <v>615</v>
      </c>
      <c r="D61" s="817" t="s">
        <v>616</v>
      </c>
      <c r="E61" s="894">
        <v>0.5</v>
      </c>
      <c r="F61" s="881">
        <v>80</v>
      </c>
    </row>
    <row r="62" spans="1:8" s="877" customFormat="1" ht="24">
      <c r="A62" s="881">
        <v>2</v>
      </c>
      <c r="B62" s="3610"/>
      <c r="C62" s="817" t="s">
        <v>617</v>
      </c>
      <c r="D62" s="817" t="s">
        <v>618</v>
      </c>
      <c r="E62" s="894">
        <v>0.5</v>
      </c>
      <c r="F62" s="881">
        <v>80</v>
      </c>
    </row>
    <row r="63" spans="1:8" s="877" customFormat="1" ht="36">
      <c r="A63" s="881">
        <v>3</v>
      </c>
      <c r="B63" s="3610"/>
      <c r="C63" s="817" t="s">
        <v>619</v>
      </c>
      <c r="D63" s="817" t="s">
        <v>620</v>
      </c>
      <c r="E63" s="894">
        <v>0.5</v>
      </c>
      <c r="F63" s="881">
        <v>80</v>
      </c>
    </row>
    <row r="64" spans="1:8" s="877" customFormat="1" ht="36">
      <c r="A64" s="881">
        <v>4</v>
      </c>
      <c r="B64" s="3610"/>
      <c r="C64" s="817" t="s">
        <v>621</v>
      </c>
      <c r="D64" s="817" t="s">
        <v>622</v>
      </c>
      <c r="E64" s="894">
        <v>0.4</v>
      </c>
      <c r="F64" s="881">
        <v>60</v>
      </c>
    </row>
    <row r="65" spans="1:6" s="877" customFormat="1" ht="36">
      <c r="A65" s="881">
        <v>5</v>
      </c>
      <c r="B65" s="3610"/>
      <c r="C65" s="817" t="s">
        <v>623</v>
      </c>
      <c r="D65" s="817" t="s">
        <v>624</v>
      </c>
      <c r="E65" s="894">
        <v>0.2</v>
      </c>
      <c r="F65" s="881">
        <v>30</v>
      </c>
    </row>
    <row r="66" spans="1:6" s="877" customFormat="1" ht="36">
      <c r="A66" s="881">
        <v>6</v>
      </c>
      <c r="B66" s="3610"/>
      <c r="C66" s="817" t="s">
        <v>625</v>
      </c>
      <c r="D66" s="817" t="s">
        <v>626</v>
      </c>
      <c r="E66" s="894">
        <v>0.3</v>
      </c>
      <c r="F66" s="881">
        <v>50</v>
      </c>
    </row>
    <row r="67" spans="1:6" s="877" customFormat="1" ht="36">
      <c r="A67" s="881">
        <v>7</v>
      </c>
      <c r="B67" s="3610"/>
      <c r="C67" s="817" t="s">
        <v>627</v>
      </c>
      <c r="D67" s="817" t="s">
        <v>628</v>
      </c>
      <c r="E67" s="894">
        <v>0.2</v>
      </c>
      <c r="F67" s="881">
        <v>30</v>
      </c>
    </row>
    <row r="68" spans="1:6" s="877" customFormat="1" ht="36">
      <c r="A68" s="881">
        <v>8</v>
      </c>
      <c r="B68" s="3610"/>
      <c r="C68" s="817" t="s">
        <v>629</v>
      </c>
      <c r="D68" s="817" t="s">
        <v>630</v>
      </c>
      <c r="E68" s="894">
        <v>0.2</v>
      </c>
      <c r="F68" s="881">
        <v>30</v>
      </c>
    </row>
    <row r="69" spans="1:6" s="877" customFormat="1" ht="36">
      <c r="A69" s="881">
        <v>9</v>
      </c>
      <c r="B69" s="3610"/>
      <c r="C69" s="817" t="s">
        <v>631</v>
      </c>
      <c r="D69" s="817" t="s">
        <v>632</v>
      </c>
      <c r="E69" s="894">
        <v>0.2</v>
      </c>
      <c r="F69" s="881">
        <v>30</v>
      </c>
    </row>
    <row r="70" spans="1:6" s="877" customFormat="1" ht="48">
      <c r="A70" s="881">
        <v>10</v>
      </c>
      <c r="B70" s="3610"/>
      <c r="C70" s="817" t="s">
        <v>633</v>
      </c>
      <c r="D70" s="817" t="s">
        <v>634</v>
      </c>
      <c r="E70" s="894">
        <v>0.2</v>
      </c>
      <c r="F70" s="881">
        <v>30</v>
      </c>
    </row>
    <row r="71" spans="1:6" s="877" customFormat="1" ht="48">
      <c r="A71" s="881">
        <v>11</v>
      </c>
      <c r="B71" s="3610"/>
      <c r="C71" s="817" t="s">
        <v>635</v>
      </c>
      <c r="D71" s="817" t="s">
        <v>636</v>
      </c>
      <c r="E71" s="894">
        <v>0.2</v>
      </c>
      <c r="F71" s="881">
        <v>30</v>
      </c>
    </row>
    <row r="72" spans="1:6" s="877" customFormat="1" ht="36">
      <c r="A72" s="881">
        <v>12</v>
      </c>
      <c r="B72" s="3610"/>
      <c r="C72" s="817" t="s">
        <v>637</v>
      </c>
      <c r="D72" s="817" t="s">
        <v>638</v>
      </c>
      <c r="E72" s="894">
        <v>0.5</v>
      </c>
      <c r="F72" s="881">
        <v>80</v>
      </c>
    </row>
    <row r="73" spans="1:6" s="877" customFormat="1" ht="24">
      <c r="A73" s="881">
        <v>13</v>
      </c>
      <c r="B73" s="3610"/>
      <c r="C73" s="817" t="s">
        <v>639</v>
      </c>
      <c r="D73" s="817" t="s">
        <v>640</v>
      </c>
      <c r="E73" s="894">
        <v>0.4</v>
      </c>
      <c r="F73" s="881">
        <v>60</v>
      </c>
    </row>
    <row r="74" spans="1:6" s="877" customFormat="1" ht="24">
      <c r="A74" s="881">
        <v>14</v>
      </c>
      <c r="B74" s="3610"/>
      <c r="C74" s="817" t="s">
        <v>641</v>
      </c>
      <c r="D74" s="817" t="s">
        <v>642</v>
      </c>
      <c r="E74" s="894">
        <v>0.2</v>
      </c>
      <c r="F74" s="881">
        <v>30</v>
      </c>
    </row>
    <row r="75" spans="1:6" s="877" customFormat="1" ht="24">
      <c r="A75" s="881">
        <v>15</v>
      </c>
      <c r="B75" s="3610"/>
      <c r="C75" s="817" t="s">
        <v>643</v>
      </c>
      <c r="D75" s="817" t="s">
        <v>644</v>
      </c>
      <c r="E75" s="894">
        <v>0.2</v>
      </c>
      <c r="F75" s="881">
        <v>30</v>
      </c>
    </row>
    <row r="76" spans="1:6" s="877" customFormat="1" ht="24">
      <c r="A76" s="881">
        <v>16</v>
      </c>
      <c r="B76" s="3610" t="s">
        <v>645</v>
      </c>
      <c r="C76" s="817" t="s">
        <v>646</v>
      </c>
      <c r="D76" s="817" t="s">
        <v>647</v>
      </c>
      <c r="E76" s="894">
        <v>0.5</v>
      </c>
      <c r="F76" s="881">
        <v>80</v>
      </c>
    </row>
    <row r="77" spans="1:6" s="877" customFormat="1" ht="24">
      <c r="A77" s="881">
        <v>17</v>
      </c>
      <c r="B77" s="3610"/>
      <c r="C77" s="817" t="s">
        <v>648</v>
      </c>
      <c r="D77" s="817" t="s">
        <v>649</v>
      </c>
      <c r="E77" s="894">
        <v>0.5</v>
      </c>
      <c r="F77" s="881">
        <v>80</v>
      </c>
    </row>
    <row r="78" spans="1:6" s="877" customFormat="1" ht="24">
      <c r="A78" s="881">
        <v>18</v>
      </c>
      <c r="B78" s="3610"/>
      <c r="C78" s="817" t="s">
        <v>650</v>
      </c>
      <c r="D78" s="817" t="s">
        <v>651</v>
      </c>
      <c r="E78" s="894">
        <v>0.2</v>
      </c>
      <c r="F78" s="881">
        <v>30</v>
      </c>
    </row>
    <row r="79" spans="1:6" s="877" customFormat="1" ht="24">
      <c r="A79" s="881">
        <v>19</v>
      </c>
      <c r="B79" s="3610"/>
      <c r="C79" s="817" t="s">
        <v>652</v>
      </c>
      <c r="D79" s="817" t="s">
        <v>653</v>
      </c>
      <c r="E79" s="894">
        <v>0.5</v>
      </c>
      <c r="F79" s="881">
        <v>80</v>
      </c>
    </row>
    <row r="80" spans="1:6" s="877" customFormat="1" ht="36">
      <c r="A80" s="881">
        <v>20</v>
      </c>
      <c r="B80" s="3610"/>
      <c r="C80" s="817" t="s">
        <v>654</v>
      </c>
      <c r="D80" s="817" t="s">
        <v>655</v>
      </c>
      <c r="E80" s="894">
        <v>0.2</v>
      </c>
      <c r="F80" s="881">
        <v>30</v>
      </c>
    </row>
    <row r="81" spans="1:6" s="877" customFormat="1" ht="36">
      <c r="A81" s="881">
        <v>21</v>
      </c>
      <c r="B81" s="3610"/>
      <c r="C81" s="817" t="s">
        <v>656</v>
      </c>
      <c r="D81" s="817" t="s">
        <v>657</v>
      </c>
      <c r="E81" s="894">
        <v>0.2</v>
      </c>
      <c r="F81" s="881">
        <v>30</v>
      </c>
    </row>
    <row r="82" spans="1:6" s="877" customFormat="1" ht="48">
      <c r="A82" s="881">
        <v>22</v>
      </c>
      <c r="B82" s="3610"/>
      <c r="C82" s="817" t="s">
        <v>658</v>
      </c>
      <c r="D82" s="817" t="s">
        <v>659</v>
      </c>
      <c r="E82" s="894">
        <v>0.2</v>
      </c>
      <c r="F82" s="881">
        <v>30</v>
      </c>
    </row>
    <row r="83" spans="1:6" s="877" customFormat="1" ht="48">
      <c r="A83" s="881">
        <v>23</v>
      </c>
      <c r="B83" s="3610"/>
      <c r="C83" s="817" t="s">
        <v>660</v>
      </c>
      <c r="D83" s="817" t="s">
        <v>661</v>
      </c>
      <c r="E83" s="894">
        <v>0.2</v>
      </c>
      <c r="F83" s="881">
        <v>30</v>
      </c>
    </row>
    <row r="84" spans="1:6" s="877" customFormat="1" ht="36">
      <c r="A84" s="881">
        <v>24</v>
      </c>
      <c r="B84" s="3610"/>
      <c r="C84" s="817" t="s">
        <v>662</v>
      </c>
      <c r="D84" s="817" t="s">
        <v>663</v>
      </c>
      <c r="E84" s="894">
        <v>0.2</v>
      </c>
      <c r="F84" s="881">
        <v>30</v>
      </c>
    </row>
    <row r="85" spans="1:6" s="877" customFormat="1" ht="36">
      <c r="A85" s="881">
        <v>25</v>
      </c>
      <c r="B85" s="3610"/>
      <c r="C85" s="817" t="s">
        <v>664</v>
      </c>
      <c r="D85" s="817" t="s">
        <v>665</v>
      </c>
      <c r="E85" s="894">
        <v>0.5</v>
      </c>
      <c r="F85" s="881">
        <v>80</v>
      </c>
    </row>
    <row r="86" spans="1:6" s="877" customFormat="1" ht="36">
      <c r="A86" s="881">
        <v>26</v>
      </c>
      <c r="B86" s="3610"/>
      <c r="C86" s="817" t="s">
        <v>666</v>
      </c>
      <c r="D86" s="817" t="s">
        <v>667</v>
      </c>
      <c r="E86" s="894">
        <v>0.2</v>
      </c>
      <c r="F86" s="881">
        <v>30</v>
      </c>
    </row>
    <row r="87" spans="1:6" s="877" customFormat="1" ht="36">
      <c r="A87" s="881">
        <v>27</v>
      </c>
      <c r="B87" s="3610"/>
      <c r="C87" s="817" t="s">
        <v>668</v>
      </c>
      <c r="D87" s="817" t="s">
        <v>669</v>
      </c>
      <c r="E87" s="894">
        <v>0.2</v>
      </c>
      <c r="F87" s="881">
        <v>30</v>
      </c>
    </row>
    <row r="88" spans="1:6" s="877" customFormat="1" ht="36">
      <c r="A88" s="881">
        <v>28</v>
      </c>
      <c r="B88" s="3610"/>
      <c r="C88" s="817" t="s">
        <v>670</v>
      </c>
      <c r="D88" s="817" t="s">
        <v>671</v>
      </c>
      <c r="E88" s="894">
        <v>0.2</v>
      </c>
      <c r="F88" s="881">
        <v>30</v>
      </c>
    </row>
    <row r="89" spans="1:6" s="877" customFormat="1" ht="24">
      <c r="A89" s="881">
        <v>29</v>
      </c>
      <c r="B89" s="3610"/>
      <c r="C89" s="817" t="s">
        <v>672</v>
      </c>
      <c r="D89" s="817" t="s">
        <v>673</v>
      </c>
      <c r="E89" s="894">
        <v>0.2</v>
      </c>
      <c r="F89" s="881">
        <v>30</v>
      </c>
    </row>
    <row r="90" spans="1:6" s="877" customFormat="1" ht="24">
      <c r="A90" s="881">
        <v>30</v>
      </c>
      <c r="B90" s="3610"/>
      <c r="C90" s="817" t="s">
        <v>674</v>
      </c>
      <c r="D90" s="817" t="s">
        <v>675</v>
      </c>
      <c r="E90" s="894">
        <v>0.2</v>
      </c>
      <c r="F90" s="881">
        <v>30</v>
      </c>
    </row>
    <row r="91" spans="1:6" s="877" customFormat="1" ht="36">
      <c r="A91" s="881">
        <v>31</v>
      </c>
      <c r="B91" s="3610"/>
      <c r="C91" s="817" t="s">
        <v>676</v>
      </c>
      <c r="D91" s="817" t="s">
        <v>677</v>
      </c>
      <c r="E91" s="894">
        <v>0.2</v>
      </c>
      <c r="F91" s="881">
        <v>30</v>
      </c>
    </row>
    <row r="92" spans="1:6" s="877" customFormat="1" ht="24">
      <c r="A92" s="881">
        <v>32</v>
      </c>
      <c r="B92" s="3610" t="s">
        <v>678</v>
      </c>
      <c r="C92" s="881" t="s">
        <v>679</v>
      </c>
      <c r="D92" s="817" t="s">
        <v>680</v>
      </c>
      <c r="E92" s="894">
        <v>0.2</v>
      </c>
      <c r="F92" s="881">
        <v>30</v>
      </c>
    </row>
    <row r="93" spans="1:6" s="877" customFormat="1" ht="36">
      <c r="A93" s="881">
        <v>33</v>
      </c>
      <c r="B93" s="3610"/>
      <c r="C93" s="881" t="s">
        <v>681</v>
      </c>
      <c r="D93" s="817" t="s">
        <v>682</v>
      </c>
      <c r="E93" s="894">
        <v>0.2</v>
      </c>
      <c r="F93" s="881">
        <v>30</v>
      </c>
    </row>
    <row r="94" spans="1:6" s="877" customFormat="1" ht="48">
      <c r="A94" s="881">
        <v>34</v>
      </c>
      <c r="B94" s="3610"/>
      <c r="C94" s="881" t="s">
        <v>683</v>
      </c>
      <c r="D94" s="817" t="s">
        <v>684</v>
      </c>
      <c r="E94" s="894">
        <v>0.2</v>
      </c>
      <c r="F94" s="881">
        <v>30</v>
      </c>
    </row>
    <row r="95" spans="1:6" s="877" customFormat="1" ht="36">
      <c r="A95" s="881">
        <v>35</v>
      </c>
      <c r="B95" s="3610"/>
      <c r="C95" s="881" t="s">
        <v>685</v>
      </c>
      <c r="D95" s="817" t="s">
        <v>686</v>
      </c>
      <c r="E95" s="894">
        <v>0.2</v>
      </c>
      <c r="F95" s="881">
        <v>30</v>
      </c>
    </row>
    <row r="96" spans="1:6" s="877" customFormat="1" ht="48">
      <c r="A96" s="881">
        <v>36</v>
      </c>
      <c r="B96" s="3610"/>
      <c r="C96" s="817" t="s">
        <v>687</v>
      </c>
      <c r="D96" s="817" t="s">
        <v>688</v>
      </c>
      <c r="E96" s="894">
        <v>0.2</v>
      </c>
      <c r="F96" s="881">
        <v>30</v>
      </c>
    </row>
    <row r="97" spans="1:6" s="877" customFormat="1" ht="36">
      <c r="A97" s="881">
        <v>37</v>
      </c>
      <c r="B97" s="3610"/>
      <c r="C97" s="881" t="s">
        <v>689</v>
      </c>
      <c r="D97" s="817" t="s">
        <v>690</v>
      </c>
      <c r="E97" s="894">
        <v>0.2</v>
      </c>
      <c r="F97" s="881">
        <v>30</v>
      </c>
    </row>
    <row r="98" spans="1:6" s="877" customFormat="1" ht="36">
      <c r="A98" s="881">
        <v>38</v>
      </c>
      <c r="B98" s="3610"/>
      <c r="C98" s="881" t="s">
        <v>691</v>
      </c>
      <c r="D98" s="817" t="s">
        <v>692</v>
      </c>
      <c r="E98" s="894">
        <v>0.2</v>
      </c>
      <c r="F98" s="881">
        <v>30</v>
      </c>
    </row>
    <row r="99" spans="1:6" s="877" customFormat="1" ht="36">
      <c r="A99" s="881">
        <v>39</v>
      </c>
      <c r="B99" s="3610" t="s">
        <v>693</v>
      </c>
      <c r="C99" s="881" t="s">
        <v>694</v>
      </c>
      <c r="D99" s="817" t="s">
        <v>695</v>
      </c>
      <c r="E99" s="894">
        <v>0.3</v>
      </c>
      <c r="F99" s="881">
        <v>50</v>
      </c>
    </row>
    <row r="100" spans="1:6" s="877" customFormat="1" ht="24">
      <c r="A100" s="881">
        <v>40</v>
      </c>
      <c r="B100" s="3610"/>
      <c r="C100" s="881" t="s">
        <v>696</v>
      </c>
      <c r="D100" s="817" t="s">
        <v>697</v>
      </c>
      <c r="E100" s="894">
        <v>0.2</v>
      </c>
      <c r="F100" s="881">
        <v>30</v>
      </c>
    </row>
    <row r="101" spans="1:6" s="877" customFormat="1" ht="36">
      <c r="A101" s="881">
        <v>41</v>
      </c>
      <c r="B101" s="361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10" t="s">
        <v>708</v>
      </c>
      <c r="C105" s="881" t="s">
        <v>709</v>
      </c>
      <c r="D105" s="817" t="s">
        <v>710</v>
      </c>
      <c r="E105" s="894">
        <v>0.2</v>
      </c>
      <c r="F105" s="881">
        <v>30</v>
      </c>
    </row>
    <row r="106" spans="1:6" s="877" customFormat="1" ht="36">
      <c r="A106" s="881">
        <v>46</v>
      </c>
      <c r="B106" s="3610"/>
      <c r="C106" s="881" t="s">
        <v>711</v>
      </c>
      <c r="D106" s="817" t="s">
        <v>712</v>
      </c>
      <c r="E106" s="894">
        <v>0.2</v>
      </c>
      <c r="F106" s="881">
        <v>30</v>
      </c>
    </row>
    <row r="107" spans="1:6" s="877" customFormat="1" ht="36">
      <c r="A107" s="881">
        <v>47</v>
      </c>
      <c r="B107" s="3610" t="s">
        <v>713</v>
      </c>
      <c r="C107" s="881" t="s">
        <v>714</v>
      </c>
      <c r="D107" s="817" t="s">
        <v>715</v>
      </c>
      <c r="E107" s="894">
        <v>0.3</v>
      </c>
      <c r="F107" s="881">
        <v>50</v>
      </c>
    </row>
    <row r="108" spans="1:6" s="877" customFormat="1" ht="36">
      <c r="A108" s="881">
        <v>48</v>
      </c>
      <c r="B108" s="361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10" t="s">
        <v>724</v>
      </c>
      <c r="C111" s="881" t="s">
        <v>725</v>
      </c>
      <c r="D111" s="817" t="s">
        <v>726</v>
      </c>
      <c r="E111" s="894">
        <v>0.2</v>
      </c>
      <c r="F111" s="881">
        <v>30</v>
      </c>
    </row>
    <row r="112" spans="1:6" s="877" customFormat="1" ht="24">
      <c r="A112" s="881">
        <v>52</v>
      </c>
      <c r="B112" s="3610"/>
      <c r="C112" s="881" t="s">
        <v>727</v>
      </c>
      <c r="D112" s="817" t="s">
        <v>728</v>
      </c>
      <c r="E112" s="894">
        <v>0.2</v>
      </c>
      <c r="F112" s="881">
        <v>30</v>
      </c>
    </row>
    <row r="113" spans="1:6" s="877" customFormat="1" ht="24">
      <c r="A113" s="881">
        <v>53</v>
      </c>
      <c r="B113" s="361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10" t="s">
        <v>737</v>
      </c>
      <c r="C116" s="881" t="s">
        <v>738</v>
      </c>
      <c r="D116" s="817" t="s">
        <v>739</v>
      </c>
      <c r="E116" s="894">
        <v>0.2</v>
      </c>
      <c r="F116" s="881">
        <v>30</v>
      </c>
    </row>
    <row r="117" spans="1:6" ht="36">
      <c r="A117" s="881">
        <v>57</v>
      </c>
      <c r="B117" s="361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907" t="s">
        <v>2993</v>
      </c>
      <c r="B2" s="2908" t="e">
        <f ca="1">SUMIF(B6:B13,"&lt;&gt;#ref!",B6:B13)</f>
        <v>#DIV/0!</v>
      </c>
      <c r="C2" s="2907" t="s">
        <v>2994</v>
      </c>
      <c r="D2" s="2907" t="s">
        <v>2995</v>
      </c>
      <c r="E2" s="2908">
        <f ca="1">SUMIF(E6:E13,"&lt;&gt;#ref!",E6:E13)</f>
        <v>0</v>
      </c>
    </row>
    <row r="3" spans="1:5" ht="15.75">
      <c r="A3" s="2907" t="s">
        <v>2996</v>
      </c>
      <c r="B3" s="2908" t="e">
        <f ca="1">ROUND(B2*10000/E2,0)</f>
        <v>#DIV/0!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t="e">
        <f ca="1">SUMIF(INDIRECT("'"&amp;A6&amp;"'"&amp;"!A:A"),"总价",INDIRECT("'"&amp;A6&amp;"'"&amp;"!B:B"))</f>
        <v>#DIV/0!</v>
      </c>
      <c r="C6" s="2907" t="s">
        <v>2994</v>
      </c>
      <c r="D6" s="2909"/>
      <c r="E6" s="2572">
        <f ca="1">SUMIF(INDIRECT("'"&amp;A6&amp;"'"&amp;"!C:C"),"建筑面积",INDIRECT("'"&amp;A6&amp;"'"&amp;"!D:D"))</f>
        <v>0</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616" t="s">
        <v>1146</v>
      </c>
      <c r="C1" s="3616"/>
      <c r="D1" s="3616"/>
      <c r="E1" s="3616"/>
      <c r="F1" s="3616"/>
      <c r="G1" s="3615" t="s">
        <v>1147</v>
      </c>
      <c r="H1" s="3615"/>
      <c r="I1" s="3615"/>
      <c r="J1" s="3615"/>
      <c r="K1" s="3615"/>
      <c r="L1" s="3615"/>
      <c r="N1" s="3615" t="s">
        <v>1148</v>
      </c>
      <c r="O1" s="3615"/>
      <c r="P1" s="3615"/>
      <c r="Q1" s="3615"/>
      <c r="R1" s="1442"/>
      <c r="S1" s="3615" t="s">
        <v>1149</v>
      </c>
      <c r="T1" s="3615"/>
      <c r="U1" s="3615"/>
      <c r="V1" s="3615"/>
      <c r="X1" s="3614" t="s">
        <v>1150</v>
      </c>
      <c r="Y1" s="3615"/>
      <c r="Z1" s="3615"/>
      <c r="AA1" s="3615"/>
      <c r="AB1" s="3615"/>
      <c r="AD1" s="3614" t="s">
        <v>1151</v>
      </c>
      <c r="AE1" s="3615"/>
      <c r="AF1" s="3615"/>
      <c r="AG1" s="3615"/>
      <c r="AH1" s="3615"/>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6" customFormat="1" ht="14.25">
      <c r="A3" s="2935" t="s">
        <v>3033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49" customFormat="1" ht="14.25">
      <c r="B4" s="1450"/>
      <c r="C4" s="1450"/>
      <c r="D4" s="1451"/>
      <c r="E4" s="1451"/>
      <c r="F4" s="1450"/>
      <c r="G4" s="1452"/>
      <c r="H4" s="1453"/>
      <c r="I4" s="2920"/>
      <c r="J4" s="2920"/>
      <c r="K4" s="2920"/>
      <c r="L4" s="292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3040</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8">
        <v>2018</v>
      </c>
      <c r="H5" s="1726">
        <v>4</v>
      </c>
      <c r="I5" s="2921">
        <v>0</v>
      </c>
      <c r="J5" s="2921">
        <v>0</v>
      </c>
      <c r="K5" s="2921">
        <v>0</v>
      </c>
      <c r="L5" s="2921">
        <v>0</v>
      </c>
      <c r="N5" s="1463">
        <f>I5/100</f>
        <v>0</v>
      </c>
      <c r="O5" s="1463">
        <f t="shared" ref="O5" si="7">J5/100</f>
        <v>0</v>
      </c>
      <c r="P5" s="1463">
        <f t="shared" ref="P5" si="8">K5/100</f>
        <v>0</v>
      </c>
      <c r="Q5" s="1463">
        <f t="shared" ref="Q5" si="9">L5/100</f>
        <v>0</v>
      </c>
      <c r="R5" s="1728"/>
      <c r="S5" s="1729"/>
      <c r="T5" s="1728"/>
      <c r="U5" s="1728"/>
      <c r="V5" s="1728"/>
      <c r="W5" s="2925" t="s">
        <v>3034</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3041</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6"/>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3039</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6"/>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3032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6"/>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3029</v>
      </c>
      <c r="B9" s="1465">
        <v>439</v>
      </c>
      <c r="C9" s="1465">
        <v>327</v>
      </c>
      <c r="D9" s="1465">
        <f>C9</f>
        <v>327</v>
      </c>
      <c r="E9" s="1465">
        <v>627</v>
      </c>
      <c r="F9" s="1466">
        <v>283</v>
      </c>
      <c r="G9" s="2923">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3030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9"/>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8"/>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9"/>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61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612"/>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612"/>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613"/>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611">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612"/>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612"/>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613"/>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611">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612"/>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612"/>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613"/>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61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61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61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62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611">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612"/>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612"/>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613"/>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611">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612">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612">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613">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611">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612">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612">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613">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611">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612">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612">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613">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611">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612">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612">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613">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611">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612">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612">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613">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611">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612">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612">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613">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611">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612">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612">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613">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611">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612">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612">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613">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611">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612">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612">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613">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611">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612">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612">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613">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31488</v>
      </c>
      <c r="C2" s="2" t="s">
        <v>133</v>
      </c>
      <c r="D2" s="243"/>
      <c r="E2" s="243"/>
      <c r="F2" s="243"/>
      <c r="G2" s="243"/>
    </row>
    <row r="3" spans="1:7" s="244" customFormat="1" ht="18" customHeight="1" thickBot="1">
      <c r="A3" s="247" t="s">
        <v>85</v>
      </c>
      <c r="B3" s="248">
        <f ca="1">ROUND(B2*10000/'数据-汇总表'!E3,0)</f>
        <v>9239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648</v>
      </c>
      <c r="D10" s="1034">
        <f>'数据-汇总表'!E6</f>
        <v>34081.78</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682</v>
      </c>
      <c r="D19" s="1038">
        <f>'数据-汇总表'!E3</f>
        <v>34081.78</v>
      </c>
      <c r="E19" s="255">
        <f>'数据-取费表'!B31</f>
        <v>200</v>
      </c>
      <c r="F19" s="275"/>
      <c r="G19" s="1" t="s">
        <v>1071</v>
      </c>
    </row>
    <row r="20" spans="1:7" s="258" customFormat="1" ht="13.5" customHeight="1">
      <c r="A20" s="950" t="s">
        <v>1054</v>
      </c>
      <c r="B20" s="254" t="s">
        <v>104</v>
      </c>
      <c r="C20" s="276">
        <f>ROUND((C5+C19)*F20,0)</f>
        <v>426</v>
      </c>
      <c r="D20" s="276"/>
      <c r="E20" s="276"/>
      <c r="F20" s="277">
        <f>'数据-取费表'!B37</f>
        <v>0.02</v>
      </c>
      <c r="G20" s="1285"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53" t="s">
        <v>794</v>
      </c>
      <c r="B23" s="259" t="s">
        <v>1058</v>
      </c>
      <c r="C23" s="1351">
        <f ca="1">ROUND(IF('数据-取费表'!B22&lt;=1,C5*F22*'数据-取费表'!B23,C5*(POWER((1+F22),'数据-取费表'!B23)-1)),0)</f>
        <v>2004</v>
      </c>
      <c r="D23" s="282"/>
      <c r="E23" s="282"/>
      <c r="F23" s="283"/>
      <c r="G23" s="284" t="s">
        <v>108</v>
      </c>
    </row>
    <row r="24" spans="1:7" s="258" customFormat="1" ht="13.5" customHeight="1">
      <c r="A24" s="953" t="s">
        <v>792</v>
      </c>
      <c r="B24" s="259" t="s">
        <v>1053</v>
      </c>
      <c r="C24" s="1351">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1055</v>
      </c>
      <c r="C25" s="1351">
        <f ca="1">ROUND(IF('数据-取费表'!B22&lt;=1,C20*F22*'数据-取费表'!B23/2,C20*(POWER((1+F22),'数据-取费表'!B23/2)-1)),0)</f>
        <v>20</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4344</v>
      </c>
      <c r="D27" s="279">
        <f>C29</f>
        <v>4.0000000000000001E-3</v>
      </c>
      <c r="E27" s="280" t="s">
        <v>126</v>
      </c>
      <c r="F27" s="290">
        <f>'数据-取费表'!Q16</f>
        <v>0.2</v>
      </c>
      <c r="G27" s="291" t="s">
        <v>1066</v>
      </c>
    </row>
    <row r="28" spans="1:7" s="258" customFormat="1" ht="13.5" customHeight="1">
      <c r="A28" s="953" t="s">
        <v>794</v>
      </c>
      <c r="B28" s="292" t="s">
        <v>1059</v>
      </c>
      <c r="C28" s="293">
        <f>ROUND((C5+C19+C20)*F27*'数据-取费表'!B21/'数据-取费表'!B20,0)</f>
        <v>4344</v>
      </c>
      <c r="D28" s="279"/>
      <c r="E28" s="280"/>
      <c r="F28" s="290"/>
      <c r="G28" s="291"/>
    </row>
    <row r="29" spans="1:7" s="258" customFormat="1" ht="13.5" customHeight="1">
      <c r="A29" s="953" t="s">
        <v>792</v>
      </c>
      <c r="B29" s="292" t="s">
        <v>1060</v>
      </c>
      <c r="C29" s="282">
        <f>ROUND(C21*F27*'数据-取费表'!B21/'数据-取费表'!B20,4)</f>
        <v>4.0000000000000001E-3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46</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682</v>
      </c>
      <c r="D37" s="261">
        <f>'数据-汇总表'!E3</f>
        <v>34081.78</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15</v>
      </c>
      <c r="D39" s="276"/>
      <c r="E39" s="276"/>
      <c r="F39" s="277"/>
      <c r="G39" s="1285"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36</v>
      </c>
      <c r="D41" s="279">
        <f ca="1">C44</f>
        <v>1E-3</v>
      </c>
      <c r="E41" s="280" t="s">
        <v>129</v>
      </c>
      <c r="F41" s="281"/>
      <c r="G41" s="1285" t="str">
        <f>IF('数据-取费表'!B22&lt;=1,"单利计息","复利计息")</f>
        <v>复利计息</v>
      </c>
    </row>
    <row r="42" spans="1:7" ht="13.5" customHeight="1">
      <c r="A42" s="953" t="s">
        <v>794</v>
      </c>
      <c r="B42" s="259" t="s">
        <v>1058</v>
      </c>
      <c r="C42" s="282">
        <f ca="1">ROUND(IF('数据-取费表'!B22&lt;=1,C33*F22*'数据-取费表'!B21/2,C33*(POWER((1+F22),'数据-取费表'!B21/2)-1)),0)</f>
        <v>35</v>
      </c>
      <c r="D42" s="282"/>
      <c r="E42" s="282"/>
      <c r="F42" s="283"/>
      <c r="G42" s="3486" t="s">
        <v>121</v>
      </c>
    </row>
    <row r="43" spans="1:7" ht="13.5" customHeight="1">
      <c r="A43" s="953" t="s">
        <v>792</v>
      </c>
      <c r="B43" s="259" t="s">
        <v>1061</v>
      </c>
      <c r="C43" s="282">
        <f ca="1">ROUND(IF('数据-取费表'!B22&lt;=1,C39*F22*'数据-取费表'!B21/2,C39*(POWER((1+F22),'数据-取费表'!B21/2)-1)),0)</f>
        <v>1</v>
      </c>
      <c r="D43" s="282"/>
      <c r="E43" s="282"/>
      <c r="F43" s="283"/>
      <c r="G43" s="3487"/>
    </row>
    <row r="44" spans="1:7" ht="13.5" customHeight="1">
      <c r="A44" s="953" t="s">
        <v>793</v>
      </c>
      <c r="B44" s="259" t="s">
        <v>1063</v>
      </c>
      <c r="C44" s="282">
        <f ca="1">ROUND(IF('数据-取费表'!B22&lt;=1,C40*F22*'数据-取费表'!B21/2,C40*(POWER((1+F22),'数据-取费表'!B21/2)-1)),4)</f>
        <v>1E-3</v>
      </c>
      <c r="D44" s="282"/>
      <c r="E44" s="282"/>
      <c r="F44" s="283"/>
      <c r="G44" s="3488"/>
    </row>
    <row r="45" spans="1:7" s="258" customFormat="1" ht="13.5" customHeight="1">
      <c r="A45" s="950" t="s">
        <v>786</v>
      </c>
      <c r="B45" s="288" t="s">
        <v>112</v>
      </c>
      <c r="C45" s="289">
        <f>C46</f>
        <v>149</v>
      </c>
      <c r="D45" s="279">
        <f>C47</f>
        <v>4.0000000000000001E-3</v>
      </c>
      <c r="E45" s="280" t="s">
        <v>129</v>
      </c>
      <c r="F45" s="290"/>
      <c r="G45" s="291" t="s">
        <v>1069</v>
      </c>
    </row>
    <row r="46" spans="1:7" s="258" customFormat="1" ht="13.5" customHeight="1">
      <c r="A46" s="953" t="s">
        <v>794</v>
      </c>
      <c r="B46" s="292" t="s">
        <v>1062</v>
      </c>
      <c r="C46" s="293">
        <f>ROUND((C33+C39)*F27,0)</f>
        <v>149</v>
      </c>
      <c r="D46" s="307"/>
      <c r="E46" s="280"/>
      <c r="F46" s="290"/>
      <c r="G46" s="291"/>
    </row>
    <row r="47" spans="1:7" s="258" customFormat="1" ht="13.5" customHeight="1">
      <c r="A47" s="953" t="s">
        <v>792</v>
      </c>
      <c r="B47" s="292" t="s">
        <v>1064</v>
      </c>
      <c r="C47" s="282">
        <f>ROUND(C40*F27,4)</f>
        <v>4.0000000000000001E-3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1008</v>
      </c>
      <c r="D49" s="276"/>
      <c r="E49" s="276"/>
      <c r="F49" s="308"/>
      <c r="G49" s="278" t="s">
        <v>1070</v>
      </c>
    </row>
    <row r="50" spans="1:7" s="302" customFormat="1" ht="24">
      <c r="A50" s="950" t="s">
        <v>789</v>
      </c>
      <c r="B50" s="254" t="s">
        <v>124</v>
      </c>
      <c r="C50" s="276"/>
      <c r="D50" s="276"/>
      <c r="E50" s="276"/>
      <c r="F50" s="308">
        <f>IF('数据-取费表'!B24=0,'数据-取费表'!N16,1)</f>
        <v>0.96699999999999997</v>
      </c>
      <c r="G50" s="291" t="s">
        <v>125</v>
      </c>
    </row>
    <row r="51" spans="1:7" ht="16.5" customHeight="1">
      <c r="A51" s="950" t="s">
        <v>790</v>
      </c>
      <c r="B51" s="254" t="s">
        <v>132</v>
      </c>
      <c r="C51" s="276">
        <f ca="1">ROUND(C49*F50,0)</f>
        <v>975</v>
      </c>
      <c r="D51" s="276"/>
      <c r="E51" s="276"/>
      <c r="F51" s="308"/>
      <c r="G51" s="278" t="s">
        <v>64</v>
      </c>
    </row>
    <row r="52" spans="1:7" s="252" customFormat="1" ht="16.5" thickBot="1">
      <c r="A52" s="309" t="s">
        <v>65</v>
      </c>
      <c r="B52" s="310"/>
      <c r="C52" s="311">
        <f ca="1">C31+C51</f>
        <v>31488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8">
      <c r="A3" s="3306" t="str">
        <f>IF(项目基本情况!B9="房地产市场价值","估价结果一览表（市场价值不需“结果表-1”）","估价结果一览表")</f>
        <v>估价结果一览表</v>
      </c>
      <c r="B3" s="3306"/>
      <c r="C3" s="3306"/>
      <c r="D3" s="3306"/>
      <c r="E3" s="3306"/>
    </row>
    <row r="4" spans="1:5" ht="19.5" thickBot="1">
      <c r="A4" s="1957"/>
      <c r="B4" s="3304" t="s">
        <v>1626</v>
      </c>
      <c r="C4" s="3304"/>
      <c r="D4" s="3304"/>
      <c r="E4" s="1957"/>
    </row>
    <row r="5" spans="1:5" ht="16.5" thickTop="1">
      <c r="A5" s="1955"/>
      <c r="B5" s="3302" t="s">
        <v>1618</v>
      </c>
      <c r="C5" s="1958" t="s">
        <v>1619</v>
      </c>
      <c r="D5" s="1042">
        <f ca="1">结果表!H101</f>
        <v>441</v>
      </c>
      <c r="E5" s="1955"/>
    </row>
    <row r="6" spans="1:5" ht="15.75">
      <c r="A6" s="1955"/>
      <c r="B6" s="3302"/>
      <c r="C6" s="1958" t="s">
        <v>1620</v>
      </c>
      <c r="D6" s="1042" t="str">
        <f ca="1">NUMBERSTRING(INT(D5*10000),2)&amp;"元整"</f>
        <v>肆佰肆拾壹万元整</v>
      </c>
      <c r="E6" s="1955"/>
    </row>
    <row r="7" spans="1:5" ht="15.75">
      <c r="A7" s="1955"/>
      <c r="B7" s="3307"/>
      <c r="C7" s="1959" t="s">
        <v>1621</v>
      </c>
      <c r="D7" s="1043">
        <f ca="1">结果表!H102</f>
        <v>129</v>
      </c>
      <c r="E7" s="1955"/>
    </row>
    <row r="8" spans="1:5" ht="15.75">
      <c r="A8" s="1955"/>
      <c r="B8" s="3308" t="str">
        <f>结果表!E103</f>
        <v>2.估价师知悉的法定优先受偿款</v>
      </c>
      <c r="C8" s="1960" t="s">
        <v>1622</v>
      </c>
      <c r="D8" s="1043">
        <f>结果表!H103</f>
        <v>0</v>
      </c>
      <c r="E8" s="1955"/>
    </row>
    <row r="9" spans="1:5" ht="15.75">
      <c r="A9" s="1955"/>
      <c r="B9" s="3310"/>
      <c r="C9" s="1958" t="s">
        <v>1620</v>
      </c>
      <c r="D9" s="1042" t="str">
        <f>NUMBERSTRING(INT(D8*10000),2)&amp;"元整"</f>
        <v>零元整</v>
      </c>
      <c r="E9" s="1955"/>
    </row>
    <row r="10" spans="1:5" ht="15">
      <c r="A10" s="1955"/>
      <c r="B10" s="1961" t="s">
        <v>1625</v>
      </c>
      <c r="C10" s="1962" t="s">
        <v>1623</v>
      </c>
      <c r="D10" s="1044">
        <f>结果表!H104</f>
        <v>0</v>
      </c>
      <c r="E10" s="1955"/>
    </row>
    <row r="11" spans="1:5" ht="15">
      <c r="A11" s="1955"/>
      <c r="B11" s="1961" t="s">
        <v>1627</v>
      </c>
      <c r="C11" s="1962" t="s">
        <v>1628</v>
      </c>
      <c r="D11" s="1044">
        <f>结果表!H105</f>
        <v>0</v>
      </c>
      <c r="E11" s="1955"/>
    </row>
    <row r="12" spans="1:5" ht="15">
      <c r="A12" s="1955"/>
      <c r="B12" s="1961" t="s">
        <v>1629</v>
      </c>
      <c r="C12" s="1962" t="s">
        <v>1628</v>
      </c>
      <c r="D12" s="1044">
        <f>结果表!H106</f>
        <v>0</v>
      </c>
      <c r="E12" s="1955"/>
    </row>
    <row r="13" spans="1:5" ht="15.75">
      <c r="A13" s="1955"/>
      <c r="B13" s="3301" t="str">
        <f>结果表!E107</f>
        <v>3.房地产抵押价值</v>
      </c>
      <c r="C13" s="1963" t="s">
        <v>1619</v>
      </c>
      <c r="D13" s="1045">
        <f ca="1">结果表!H107</f>
        <v>441</v>
      </c>
      <c r="E13" s="1955"/>
    </row>
    <row r="14" spans="1:5" ht="15.75">
      <c r="A14" s="1955"/>
      <c r="B14" s="3302"/>
      <c r="C14" s="1958" t="s">
        <v>1620</v>
      </c>
      <c r="D14" s="1042" t="str">
        <f ca="1">NUMBERSTRING(INT(D13*10000),2)&amp;"元整"</f>
        <v>肆佰肆拾壹万元整</v>
      </c>
      <c r="E14" s="1955"/>
    </row>
    <row r="15" spans="1:5" ht="15">
      <c r="A15" s="1955"/>
      <c r="B15" s="3307"/>
      <c r="C15" s="1959" t="s">
        <v>1630</v>
      </c>
      <c r="D15" s="1054">
        <f ca="1">结果表!H108</f>
        <v>129</v>
      </c>
      <c r="E15" s="1955"/>
    </row>
    <row r="16" spans="1:5" ht="15">
      <c r="A16" s="1955"/>
      <c r="B16" s="3308" t="str">
        <f>结果表!E109</f>
        <v>——</v>
      </c>
      <c r="C16" s="1963" t="s">
        <v>1631</v>
      </c>
      <c r="D16" s="1964" t="str">
        <f>结果表!H109</f>
        <v>——</v>
      </c>
      <c r="E16" s="1955"/>
    </row>
    <row r="17" spans="1:5" ht="15.75">
      <c r="A17" s="1955"/>
      <c r="B17" s="3309"/>
      <c r="C17" s="1958" t="s">
        <v>1632</v>
      </c>
      <c r="D17" s="1042" t="e">
        <f>NUMBERSTRING(INT(D16*10000),2)&amp;"元整"</f>
        <v>#VALUE!</v>
      </c>
      <c r="E17" s="1955"/>
    </row>
    <row r="18" spans="1:5" ht="15">
      <c r="A18" s="1955"/>
      <c r="B18" s="3310"/>
      <c r="C18" s="1959" t="s">
        <v>1621</v>
      </c>
      <c r="D18" s="1054" t="str">
        <f>结果表!H110</f>
        <v>——</v>
      </c>
      <c r="E18" s="1955"/>
    </row>
    <row r="19" spans="1:5" ht="15.75">
      <c r="A19" s="1955"/>
      <c r="B19" s="3301" t="str">
        <f>结果表!E111</f>
        <v>——</v>
      </c>
      <c r="C19" s="1963" t="s">
        <v>1619</v>
      </c>
      <c r="D19" s="1043" t="str">
        <f>结果表!H111</f>
        <v>——</v>
      </c>
      <c r="E19" s="1955"/>
    </row>
    <row r="20" spans="1:5" ht="15.75">
      <c r="A20" s="1955"/>
      <c r="B20" s="3302"/>
      <c r="C20" s="1958" t="s">
        <v>1632</v>
      </c>
      <c r="D20" s="1042" t="e">
        <f>NUMBERSTRING(INT(D19*10000),2)&amp;"元整"</f>
        <v>#VALUE!</v>
      </c>
      <c r="E20" s="1955"/>
    </row>
    <row r="21" spans="1:5" ht="15.75" thickBot="1">
      <c r="A21" s="1955"/>
      <c r="B21" s="3303"/>
      <c r="C21" s="1965" t="s">
        <v>1630</v>
      </c>
      <c r="D21" s="1055"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21" t="s">
        <v>156</v>
      </c>
      <c r="B1" s="3621"/>
      <c r="C1" s="3621"/>
      <c r="D1" s="3621"/>
      <c r="E1" s="3621"/>
      <c r="F1" s="36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22" t="s">
        <v>169</v>
      </c>
      <c r="B2" s="3622"/>
      <c r="C2" s="3622"/>
      <c r="D2" s="3622"/>
      <c r="E2" s="3622"/>
      <c r="F2" s="36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21" t="s">
        <v>868</v>
      </c>
      <c r="B1" s="3621"/>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43465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1" zoomScale="90" zoomScaleNormal="90" workbookViewId="0">
      <selection activeCell="G5" sqref="G5:H5"/>
    </sheetView>
  </sheetViews>
  <sheetFormatPr defaultRowHeight="14.25"/>
  <cols>
    <col min="1" max="1" width="10.5" style="2972" customWidth="1"/>
    <col min="2" max="2" width="15.75" style="2972" customWidth="1"/>
    <col min="3" max="3" width="15.6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0" width="12.25" style="2972" customWidth="1"/>
    <col min="11" max="11" width="12.25" style="2975" customWidth="1"/>
    <col min="12" max="12" width="12.25" style="2974" customWidth="1"/>
    <col min="13" max="15" width="12.25" style="2972" customWidth="1"/>
    <col min="16" max="16" width="4.75" style="2973"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3288" customFormat="1" ht="28.5" customHeight="1" thickBot="1">
      <c r="A1" s="3299" t="s">
        <v>3323</v>
      </c>
      <c r="B1" s="3298" t="s">
        <v>3322</v>
      </c>
      <c r="C1" s="3290" t="s">
        <v>3321</v>
      </c>
      <c r="D1" s="3297" t="s">
        <v>3320</v>
      </c>
      <c r="E1" s="3294"/>
      <c r="F1" s="3296" t="s">
        <v>3220</v>
      </c>
      <c r="G1" s="3295" t="s">
        <v>3319</v>
      </c>
      <c r="H1" s="3294"/>
      <c r="I1" s="3294"/>
      <c r="J1" s="3294"/>
      <c r="K1" s="3293"/>
      <c r="L1" s="3292"/>
      <c r="M1" s="3291"/>
      <c r="N1" s="3291"/>
      <c r="O1" s="3291"/>
      <c r="P1" s="3290"/>
      <c r="Q1" s="3290"/>
      <c r="R1" s="3290"/>
      <c r="S1" s="3290"/>
      <c r="T1" s="3290"/>
      <c r="U1" s="3290"/>
      <c r="V1" s="3290"/>
      <c r="W1" s="3290"/>
      <c r="X1" s="3290"/>
      <c r="Y1" s="3290"/>
      <c r="Z1" s="3290"/>
      <c r="AA1" s="3290"/>
      <c r="AB1" s="3290"/>
      <c r="AC1" s="3289"/>
    </row>
    <row r="2" spans="1:29" s="3274" customFormat="1" ht="28.5" customHeight="1" thickTop="1">
      <c r="A2" s="1613" t="s">
        <v>2808</v>
      </c>
      <c r="B2" s="3287" t="e">
        <f>IF(C2="——",ROUND(C50*D3/10000,0),ROUND(C50*D3/10000,0)-D2)</f>
        <v>#VALUE!</v>
      </c>
      <c r="C2" s="2583" t="s">
        <v>70</v>
      </c>
      <c r="D2" s="3286" t="e">
        <f ca="1">SUMIF(INDIRECT("'"&amp;F2&amp;"'"&amp;"!A:A"),"承租人权益价值",INDIRECT("'"&amp;F2&amp;"'"&amp;"!c:c"))</f>
        <v>#REF!</v>
      </c>
      <c r="E2" s="2584" t="s">
        <v>2809</v>
      </c>
      <c r="F2" s="2585"/>
      <c r="G2" s="3280"/>
      <c r="H2" s="3280"/>
      <c r="I2" s="3280"/>
      <c r="J2" s="3280"/>
      <c r="K2" s="3280"/>
      <c r="L2" s="3278"/>
      <c r="M2" s="3277"/>
      <c r="N2" s="3277"/>
      <c r="O2" s="3277"/>
      <c r="P2" s="3276"/>
      <c r="Q2" s="3276"/>
      <c r="R2" s="3276"/>
      <c r="S2" s="3276"/>
      <c r="T2" s="3276"/>
      <c r="U2" s="3276"/>
      <c r="V2" s="3276"/>
      <c r="W2" s="3276"/>
      <c r="X2" s="3276"/>
      <c r="Y2" s="3276"/>
      <c r="Z2" s="3276"/>
      <c r="AA2" s="3276"/>
      <c r="AB2" s="3276"/>
      <c r="AC2" s="3275"/>
    </row>
    <row r="3" spans="1:29" s="3274" customFormat="1" ht="28.5" customHeight="1" thickBot="1">
      <c r="A3" s="247" t="s">
        <v>2814</v>
      </c>
      <c r="B3" s="3285">
        <f>IF(C2="——",C50,ROUND(B2*10000/D3,0))</f>
        <v>3.9</v>
      </c>
      <c r="C3" s="3284" t="s">
        <v>3318</v>
      </c>
      <c r="D3" s="3283" t="e">
        <f>IF(D1="",'[1]数据-汇总表'!E3,SUMIF('[1]数据-汇总表'!$C19:$C33,D1,'[1]数据-汇总表'!$E19:$E33))</f>
        <v>#VALUE!</v>
      </c>
      <c r="E3" s="3282"/>
      <c r="F3" s="3281"/>
      <c r="G3" s="3280"/>
      <c r="H3" s="3280"/>
      <c r="I3" s="3280"/>
      <c r="J3" s="3280"/>
      <c r="K3" s="3279"/>
      <c r="L3" s="3278"/>
      <c r="M3" s="3277"/>
      <c r="N3" s="3277"/>
      <c r="O3" s="3277"/>
      <c r="P3" s="3276"/>
      <c r="Q3" s="3276"/>
      <c r="R3" s="3276"/>
      <c r="S3" s="3276"/>
      <c r="T3" s="3276"/>
      <c r="U3" s="3276"/>
      <c r="V3" s="3276"/>
      <c r="W3" s="3276"/>
      <c r="X3" s="3276"/>
      <c r="Y3" s="3276"/>
      <c r="Z3" s="3276"/>
      <c r="AA3" s="3276"/>
      <c r="AB3" s="3276"/>
      <c r="AC3" s="3275"/>
    </row>
    <row r="4" spans="1:29" ht="15">
      <c r="A4" s="3273" t="s">
        <v>2531</v>
      </c>
      <c r="B4" s="3272"/>
      <c r="C4" s="3643" t="s">
        <v>2532</v>
      </c>
      <c r="D4" s="3644"/>
      <c r="E4" s="3645" t="s">
        <v>2533</v>
      </c>
      <c r="F4" s="3646"/>
      <c r="G4" s="3643" t="s">
        <v>2534</v>
      </c>
      <c r="H4" s="3644"/>
      <c r="I4" s="3643" t="s">
        <v>2535</v>
      </c>
      <c r="J4" s="3644"/>
      <c r="K4" s="3267" t="s">
        <v>2536</v>
      </c>
      <c r="L4" s="3266"/>
      <c r="M4" s="3127"/>
      <c r="N4" s="3127"/>
      <c r="O4" s="3127"/>
      <c r="P4" s="3647" t="s">
        <v>2537</v>
      </c>
      <c r="Q4" s="3648"/>
      <c r="R4" s="3653" t="s">
        <v>2533</v>
      </c>
      <c r="S4" s="3654"/>
      <c r="T4" s="3653" t="s">
        <v>2534</v>
      </c>
      <c r="U4" s="3654"/>
      <c r="V4" s="3659" t="s">
        <v>2535</v>
      </c>
      <c r="W4" s="3659"/>
      <c r="X4" s="3271"/>
      <c r="Y4" s="3653" t="s">
        <v>2537</v>
      </c>
      <c r="Z4" s="3654"/>
      <c r="AA4" s="3666" t="s">
        <v>2533</v>
      </c>
      <c r="AB4" s="3666" t="s">
        <v>2534</v>
      </c>
      <c r="AC4" s="3640" t="s">
        <v>2535</v>
      </c>
    </row>
    <row r="5" spans="1:29" ht="15">
      <c r="A5" s="3224"/>
      <c r="B5" s="3270"/>
      <c r="C5" s="3671" t="s">
        <v>3315</v>
      </c>
      <c r="D5" s="3672"/>
      <c r="E5" s="3669" t="s">
        <v>3317</v>
      </c>
      <c r="F5" s="3670"/>
      <c r="G5" s="3671" t="s">
        <v>3316</v>
      </c>
      <c r="H5" s="3672"/>
      <c r="I5" s="3671" t="s">
        <v>3315</v>
      </c>
      <c r="J5" s="3672"/>
      <c r="K5" s="3267"/>
      <c r="L5" s="3266"/>
      <c r="M5" s="3127"/>
      <c r="N5" s="3127"/>
      <c r="O5" s="3127"/>
      <c r="P5" s="3649"/>
      <c r="Q5" s="3650"/>
      <c r="R5" s="3655"/>
      <c r="S5" s="3656"/>
      <c r="T5" s="3655"/>
      <c r="U5" s="3656"/>
      <c r="V5" s="3660"/>
      <c r="W5" s="3660"/>
      <c r="X5" s="3157"/>
      <c r="Y5" s="3655"/>
      <c r="Z5" s="3656"/>
      <c r="AA5" s="3667"/>
      <c r="AB5" s="3667"/>
      <c r="AC5" s="3641"/>
    </row>
    <row r="6" spans="1:29" ht="15.75" thickBot="1">
      <c r="A6" s="3269"/>
      <c r="B6" s="3268"/>
      <c r="C6" s="3673" t="s">
        <v>3314</v>
      </c>
      <c r="D6" s="3674"/>
      <c r="E6" s="3675" t="s">
        <v>2542</v>
      </c>
      <c r="F6" s="3676"/>
      <c r="G6" s="3677" t="s">
        <v>2542</v>
      </c>
      <c r="H6" s="3674"/>
      <c r="I6" s="3677" t="s">
        <v>2542</v>
      </c>
      <c r="J6" s="3674"/>
      <c r="K6" s="3267" t="s">
        <v>3313</v>
      </c>
      <c r="L6" s="3266"/>
      <c r="M6" s="3127"/>
      <c r="N6" s="3127"/>
      <c r="O6" s="3127"/>
      <c r="P6" s="3651"/>
      <c r="Q6" s="3652"/>
      <c r="R6" s="3655"/>
      <c r="S6" s="3656"/>
      <c r="T6" s="3657"/>
      <c r="U6" s="3658"/>
      <c r="V6" s="3660"/>
      <c r="W6" s="3660"/>
      <c r="X6" s="3157"/>
      <c r="Y6" s="3657"/>
      <c r="Z6" s="3658"/>
      <c r="AA6" s="3668"/>
      <c r="AB6" s="3668"/>
      <c r="AC6" s="3642"/>
    </row>
    <row r="7" spans="1:29" s="3051" customFormat="1" ht="15.75" thickBot="1">
      <c r="A7" s="3263" t="s">
        <v>3312</v>
      </c>
      <c r="B7" s="3262"/>
      <c r="C7" s="3265">
        <f>'[1]数据-取费表'!B2</f>
        <v>43100</v>
      </c>
      <c r="D7" s="3259">
        <v>100</v>
      </c>
      <c r="E7" s="3264">
        <v>43070</v>
      </c>
      <c r="F7" s="3261">
        <f>SUMIF(59:59,YEAR(E7)&amp;"-"&amp;MONTH(E7),60:60)</f>
        <v>100</v>
      </c>
      <c r="G7" s="3264">
        <v>43084</v>
      </c>
      <c r="H7" s="3259">
        <f>SUMIF(59:59,YEAR(G7)&amp;"-"&amp;MONTH(G7),60:60)</f>
        <v>100</v>
      </c>
      <c r="I7" s="3264">
        <v>43095</v>
      </c>
      <c r="J7" s="3259">
        <f>SUMIF(59:59,YEAR(I7)&amp;"-"&amp;MONTH(I7),60:60)</f>
        <v>100</v>
      </c>
      <c r="K7" s="3253"/>
      <c r="L7" s="3182"/>
      <c r="M7" s="3181"/>
      <c r="N7" s="3181"/>
      <c r="O7" s="3181"/>
      <c r="P7" s="3661" t="s">
        <v>3311</v>
      </c>
      <c r="Q7" s="3664"/>
      <c r="R7" s="3179" t="s">
        <v>3282</v>
      </c>
      <c r="S7" s="3178">
        <f t="shared" ref="S7:S15" si="0">F7</f>
        <v>100</v>
      </c>
      <c r="T7" s="3179" t="s">
        <v>3282</v>
      </c>
      <c r="U7" s="3178">
        <f t="shared" ref="U7:U15" si="1">H7</f>
        <v>100</v>
      </c>
      <c r="V7" s="3179" t="s">
        <v>3282</v>
      </c>
      <c r="W7" s="3178">
        <f t="shared" ref="W7:W15" si="2">J7</f>
        <v>100</v>
      </c>
      <c r="X7" s="3177"/>
      <c r="Y7" s="3663" t="s">
        <v>3311</v>
      </c>
      <c r="Z7" s="3662"/>
      <c r="AA7" s="3175">
        <f t="shared" ref="AA7:AA15" si="3">D7/F7</f>
        <v>1</v>
      </c>
      <c r="AB7" s="3175">
        <f t="shared" ref="AB7:AB15" si="4">D7/H7</f>
        <v>1</v>
      </c>
      <c r="AC7" s="3174">
        <f t="shared" ref="AC7:AC15" si="5">D7/J7</f>
        <v>1</v>
      </c>
    </row>
    <row r="8" spans="1:29" s="3051" customFormat="1" ht="15.75" thickBot="1">
      <c r="A8" s="3263" t="s">
        <v>3310</v>
      </c>
      <c r="B8" s="3262"/>
      <c r="C8" s="3260" t="s">
        <v>3309</v>
      </c>
      <c r="D8" s="3259">
        <v>100</v>
      </c>
      <c r="E8" s="3260" t="s">
        <v>3309</v>
      </c>
      <c r="F8" s="3261">
        <f>SUMIF(62:62,E8,63:63)-SUMIF(62:62,C8,63:63)+100</f>
        <v>100</v>
      </c>
      <c r="G8" s="3260" t="s">
        <v>3309</v>
      </c>
      <c r="H8" s="3259">
        <f>SUMIF(62:62,G8,63:63)-SUMIF(62:62,C8,63:63)+100</f>
        <v>100</v>
      </c>
      <c r="I8" s="3260" t="s">
        <v>3309</v>
      </c>
      <c r="J8" s="3259">
        <f>SUMIF(62:62,I8,63:63)-SUMIF(62:62,C8,63:63)+100</f>
        <v>100</v>
      </c>
      <c r="K8" s="3253"/>
      <c r="L8" s="3182"/>
      <c r="M8" s="3181"/>
      <c r="N8" s="3181"/>
      <c r="O8" s="3181"/>
      <c r="P8" s="3661" t="s">
        <v>3308</v>
      </c>
      <c r="Q8" s="3662"/>
      <c r="R8" s="3179" t="s">
        <v>3282</v>
      </c>
      <c r="S8" s="3178">
        <f t="shared" si="0"/>
        <v>100</v>
      </c>
      <c r="T8" s="3179" t="s">
        <v>3282</v>
      </c>
      <c r="U8" s="3178">
        <f t="shared" si="1"/>
        <v>100</v>
      </c>
      <c r="V8" s="3179" t="s">
        <v>3282</v>
      </c>
      <c r="W8" s="3178">
        <f t="shared" si="2"/>
        <v>100</v>
      </c>
      <c r="X8" s="3177"/>
      <c r="Y8" s="3663" t="s">
        <v>3308</v>
      </c>
      <c r="Z8" s="3662"/>
      <c r="AA8" s="3175">
        <f t="shared" si="3"/>
        <v>1</v>
      </c>
      <c r="AB8" s="3175">
        <f t="shared" si="4"/>
        <v>1</v>
      </c>
      <c r="AC8" s="3174">
        <f t="shared" si="5"/>
        <v>1</v>
      </c>
    </row>
    <row r="9" spans="1:29" s="3051" customFormat="1">
      <c r="A9" s="3258" t="s">
        <v>3307</v>
      </c>
      <c r="B9" s="3206" t="s">
        <v>3306</v>
      </c>
      <c r="C9" s="3257"/>
      <c r="D9" s="3254">
        <v>100</v>
      </c>
      <c r="E9" s="3256"/>
      <c r="F9" s="3254">
        <f>SUMIF(64:64,E9,65:65)-SUMIF(64:64,C9,65:65)+100</f>
        <v>100</v>
      </c>
      <c r="G9" s="3255"/>
      <c r="H9" s="3254">
        <f>SUMIF(64:64,G9,65:65)-SUMIF(64:64,C9,65:65)+100</f>
        <v>100</v>
      </c>
      <c r="I9" s="3255"/>
      <c r="J9" s="3254">
        <f>SUMIF(64:64,I9,65:65)-SUMIF(64:64,C9,65:65)+100</f>
        <v>100</v>
      </c>
      <c r="K9" s="3253"/>
      <c r="L9" s="3182"/>
      <c r="M9" s="3181"/>
      <c r="N9" s="3181"/>
      <c r="O9" s="3181"/>
      <c r="P9" s="3625" t="s">
        <v>3305</v>
      </c>
      <c r="Q9" s="3180" t="str">
        <f t="shared" ref="Q9:Q15" si="6">B9</f>
        <v>用途</v>
      </c>
      <c r="R9" s="3179" t="s">
        <v>3282</v>
      </c>
      <c r="S9" s="3178">
        <f t="shared" si="0"/>
        <v>100</v>
      </c>
      <c r="T9" s="3179" t="s">
        <v>3282</v>
      </c>
      <c r="U9" s="3178">
        <f t="shared" si="1"/>
        <v>100</v>
      </c>
      <c r="V9" s="3179" t="s">
        <v>3282</v>
      </c>
      <c r="W9" s="3178">
        <f t="shared" si="2"/>
        <v>100</v>
      </c>
      <c r="X9" s="3177"/>
      <c r="Y9" s="3665" t="s">
        <v>3304</v>
      </c>
      <c r="Z9" s="3176" t="str">
        <f t="shared" ref="Z9:Z15" si="7">Q9</f>
        <v>用途</v>
      </c>
      <c r="AA9" s="3175">
        <f t="shared" si="3"/>
        <v>1</v>
      </c>
      <c r="AB9" s="3175">
        <f t="shared" si="4"/>
        <v>1</v>
      </c>
      <c r="AC9" s="3174">
        <f t="shared" si="5"/>
        <v>1</v>
      </c>
    </row>
    <row r="10" spans="1:29" s="3248" customFormat="1" ht="27">
      <c r="A10" s="3252"/>
      <c r="B10" s="3190" t="s">
        <v>3303</v>
      </c>
      <c r="C10" s="3251" t="s">
        <v>3188</v>
      </c>
      <c r="D10" s="3183">
        <v>100</v>
      </c>
      <c r="E10" s="3251" t="s">
        <v>3188</v>
      </c>
      <c r="F10" s="3183">
        <f>SUMIF(66:66,E10,67:67)-SUMIF(66:66,C10,67:67)+100</f>
        <v>100</v>
      </c>
      <c r="G10" s="3251" t="s">
        <v>3188</v>
      </c>
      <c r="H10" s="3183">
        <f>SUMIF(66:66,G10,67:67)-SUMIF(66:66,C10,67:67)+100</f>
        <v>100</v>
      </c>
      <c r="I10" s="3251" t="s">
        <v>3188</v>
      </c>
      <c r="J10" s="3183">
        <f>SUMIF(66:66,I10,67:67)-SUMIF(66:66,C10,67:67)+100</f>
        <v>100</v>
      </c>
      <c r="K10" s="3187"/>
      <c r="L10" s="3250"/>
      <c r="M10" s="3249"/>
      <c r="N10" s="3249"/>
      <c r="O10" s="3249"/>
      <c r="P10" s="3625"/>
      <c r="Q10" s="3180" t="str">
        <f t="shared" si="6"/>
        <v>土地使用年限（年）</v>
      </c>
      <c r="R10" s="3179" t="s">
        <v>3282</v>
      </c>
      <c r="S10" s="3178">
        <f t="shared" si="0"/>
        <v>100</v>
      </c>
      <c r="T10" s="3179" t="s">
        <v>3282</v>
      </c>
      <c r="U10" s="3178">
        <f t="shared" si="1"/>
        <v>100</v>
      </c>
      <c r="V10" s="3179" t="s">
        <v>3282</v>
      </c>
      <c r="W10" s="3178">
        <f t="shared" si="2"/>
        <v>100</v>
      </c>
      <c r="X10" s="3177"/>
      <c r="Y10" s="3665"/>
      <c r="Z10" s="3176" t="str">
        <f t="shared" si="7"/>
        <v>土地使用年限（年）</v>
      </c>
      <c r="AA10" s="3175">
        <f t="shared" si="3"/>
        <v>1</v>
      </c>
      <c r="AB10" s="3175">
        <f t="shared" si="4"/>
        <v>1</v>
      </c>
      <c r="AC10" s="3174">
        <f t="shared" si="5"/>
        <v>1</v>
      </c>
    </row>
    <row r="11" spans="1:29" ht="15.75" thickBot="1">
      <c r="A11" s="3215"/>
      <c r="B11" s="3190" t="s">
        <v>3302</v>
      </c>
      <c r="C11" s="3202"/>
      <c r="D11" s="3183">
        <v>100</v>
      </c>
      <c r="E11" s="3202"/>
      <c r="F11" s="3183">
        <f>LOOKUP(E11,69:69,70:70)-LOOKUP(C11,69:69,70:70)+100</f>
        <v>100</v>
      </c>
      <c r="G11" s="3203"/>
      <c r="H11" s="3183">
        <f>LOOKUP(G11,69:69,70:70)-LOOKUP(C11,69:69,70:70)+100</f>
        <v>100</v>
      </c>
      <c r="I11" s="3202"/>
      <c r="J11" s="3183">
        <f>LOOKUP(I11,69:69,70:70)-LOOKUP(C11,69:69,70:70)+100</f>
        <v>100</v>
      </c>
      <c r="K11" s="3187"/>
      <c r="L11" s="3197"/>
      <c r="M11" s="3127"/>
      <c r="N11" s="3127"/>
      <c r="O11" s="3127"/>
      <c r="P11" s="3625"/>
      <c r="Q11" s="3180" t="str">
        <f t="shared" si="6"/>
        <v>容积率</v>
      </c>
      <c r="R11" s="3179" t="s">
        <v>3282</v>
      </c>
      <c r="S11" s="3178">
        <f t="shared" si="0"/>
        <v>100</v>
      </c>
      <c r="T11" s="3179" t="s">
        <v>3282</v>
      </c>
      <c r="U11" s="3178">
        <f t="shared" si="1"/>
        <v>100</v>
      </c>
      <c r="V11" s="3179" t="s">
        <v>3282</v>
      </c>
      <c r="W11" s="3178">
        <f t="shared" si="2"/>
        <v>100</v>
      </c>
      <c r="X11" s="3177"/>
      <c r="Y11" s="3665"/>
      <c r="Z11" s="3176" t="str">
        <f t="shared" si="7"/>
        <v>容积率</v>
      </c>
      <c r="AA11" s="3175">
        <f t="shared" si="3"/>
        <v>1</v>
      </c>
      <c r="AB11" s="3175">
        <f t="shared" si="4"/>
        <v>1</v>
      </c>
      <c r="AC11" s="3174">
        <f t="shared" si="5"/>
        <v>1</v>
      </c>
    </row>
    <row r="12" spans="1:29" s="3051" customFormat="1" ht="15.75" hidden="1" thickBot="1">
      <c r="A12" s="3220"/>
      <c r="B12" s="3246">
        <v>111</v>
      </c>
      <c r="C12" s="3164"/>
      <c r="D12" s="3247">
        <v>100</v>
      </c>
      <c r="E12" s="3164"/>
      <c r="F12" s="3183">
        <f>SUMIF(71:71,E12,72:72)-SUMIF(71:71,C12,72:72)+100</f>
        <v>100</v>
      </c>
      <c r="G12" s="3208"/>
      <c r="H12" s="3183">
        <f>SUMIF(71:71,G12,72:72)-SUMIF(71:71,C12,72:72)+100</f>
        <v>100</v>
      </c>
      <c r="I12" s="3164"/>
      <c r="J12" s="3183">
        <f>SUMIF(71:71,I12,72:72)-SUMIF(71:71,C12,72:72)+100</f>
        <v>100</v>
      </c>
      <c r="K12" s="3162"/>
      <c r="L12" s="3182"/>
      <c r="M12" s="3181"/>
      <c r="N12" s="3181"/>
      <c r="O12" s="3181"/>
      <c r="P12" s="3625"/>
      <c r="Q12" s="3180">
        <f t="shared" si="6"/>
        <v>111</v>
      </c>
      <c r="R12" s="3179" t="s">
        <v>3282</v>
      </c>
      <c r="S12" s="3178">
        <f t="shared" si="0"/>
        <v>100</v>
      </c>
      <c r="T12" s="3179" t="s">
        <v>3282</v>
      </c>
      <c r="U12" s="3178">
        <f t="shared" si="1"/>
        <v>100</v>
      </c>
      <c r="V12" s="3179" t="s">
        <v>3282</v>
      </c>
      <c r="W12" s="3178">
        <f t="shared" si="2"/>
        <v>100</v>
      </c>
      <c r="X12" s="3177"/>
      <c r="Y12" s="3665"/>
      <c r="Z12" s="3176">
        <f t="shared" si="7"/>
        <v>111</v>
      </c>
      <c r="AA12" s="3175">
        <f t="shared" si="3"/>
        <v>1</v>
      </c>
      <c r="AB12" s="3175">
        <f t="shared" si="4"/>
        <v>1</v>
      </c>
      <c r="AC12" s="3174">
        <f t="shared" si="5"/>
        <v>1</v>
      </c>
    </row>
    <row r="13" spans="1:29" ht="15.75" hidden="1" thickBot="1">
      <c r="A13" s="3215"/>
      <c r="B13" s="3246">
        <v>111</v>
      </c>
      <c r="C13" s="3171"/>
      <c r="D13" s="3169">
        <v>100</v>
      </c>
      <c r="E13" s="3164"/>
      <c r="F13" s="3183">
        <f>SUMIF(73:73,E13,74:74)-SUMIF(73:73,C13,74:74)+100</f>
        <v>100</v>
      </c>
      <c r="G13" s="3208"/>
      <c r="H13" s="3169">
        <f>SUMIF(73:73,G13,74:74)-SUMIF(73:73,C13,74:74)+100</f>
        <v>100</v>
      </c>
      <c r="I13" s="3164"/>
      <c r="J13" s="3169">
        <f>SUMIF(73:73,I13,74:74)-SUMIF(73:73,C13,74:74)+100</f>
        <v>100</v>
      </c>
      <c r="K13" s="3162"/>
      <c r="L13" s="3161"/>
      <c r="M13" s="3127"/>
      <c r="N13" s="3127"/>
      <c r="O13" s="3127"/>
      <c r="P13" s="3625"/>
      <c r="Q13" s="3180">
        <f t="shared" si="6"/>
        <v>111</v>
      </c>
      <c r="R13" s="3179" t="s">
        <v>3282</v>
      </c>
      <c r="S13" s="3178">
        <f t="shared" si="0"/>
        <v>100</v>
      </c>
      <c r="T13" s="3179" t="s">
        <v>3282</v>
      </c>
      <c r="U13" s="3178">
        <f t="shared" si="1"/>
        <v>100</v>
      </c>
      <c r="V13" s="3179" t="s">
        <v>3282</v>
      </c>
      <c r="W13" s="3178">
        <f t="shared" si="2"/>
        <v>100</v>
      </c>
      <c r="X13" s="3177"/>
      <c r="Y13" s="3665"/>
      <c r="Z13" s="3176">
        <f t="shared" si="7"/>
        <v>111</v>
      </c>
      <c r="AA13" s="3175">
        <f t="shared" si="3"/>
        <v>1</v>
      </c>
      <c r="AB13" s="3175">
        <f t="shared" si="4"/>
        <v>1</v>
      </c>
      <c r="AC13" s="3174">
        <f t="shared" si="5"/>
        <v>1</v>
      </c>
    </row>
    <row r="14" spans="1:29" ht="15.75" hidden="1" thickBot="1">
      <c r="A14" s="3212"/>
      <c r="B14" s="3167">
        <v>111</v>
      </c>
      <c r="C14" s="3166"/>
      <c r="D14" s="3163">
        <v>100</v>
      </c>
      <c r="E14" s="3209"/>
      <c r="F14" s="3163">
        <f>SUMIF(75:75,E14,76:76)-SUMIF(75:75,C14,76:76)+100</f>
        <v>100</v>
      </c>
      <c r="G14" s="3208"/>
      <c r="H14" s="3163">
        <f>SUMIF(75:75,G14,76:76)-SUMIF(75:75,C14,76:76)+100</f>
        <v>100</v>
      </c>
      <c r="I14" s="3164"/>
      <c r="J14" s="3163">
        <f>SUMIF(75:75,I14,76:76)-SUMIF(75:75,C14,76:76)+100</f>
        <v>100</v>
      </c>
      <c r="K14" s="3162"/>
      <c r="L14" s="3161"/>
      <c r="M14" s="3127"/>
      <c r="N14" s="3127"/>
      <c r="O14" s="3127"/>
      <c r="P14" s="3625"/>
      <c r="Q14" s="3180">
        <f t="shared" si="6"/>
        <v>111</v>
      </c>
      <c r="R14" s="3179" t="s">
        <v>3282</v>
      </c>
      <c r="S14" s="3178">
        <f t="shared" si="0"/>
        <v>100</v>
      </c>
      <c r="T14" s="3179" t="s">
        <v>3282</v>
      </c>
      <c r="U14" s="3178">
        <f t="shared" si="1"/>
        <v>100</v>
      </c>
      <c r="V14" s="3179" t="s">
        <v>3282</v>
      </c>
      <c r="W14" s="3178">
        <f t="shared" si="2"/>
        <v>100</v>
      </c>
      <c r="X14" s="3177"/>
      <c r="Y14" s="3665"/>
      <c r="Z14" s="3176">
        <f t="shared" si="7"/>
        <v>111</v>
      </c>
      <c r="AA14" s="3175">
        <f t="shared" si="3"/>
        <v>1</v>
      </c>
      <c r="AB14" s="3175">
        <f t="shared" si="4"/>
        <v>1</v>
      </c>
      <c r="AC14" s="3174">
        <f t="shared" si="5"/>
        <v>1</v>
      </c>
    </row>
    <row r="15" spans="1:29" ht="71.25">
      <c r="A15" s="3207" t="s">
        <v>3301</v>
      </c>
      <c r="B15" s="3245" t="s">
        <v>3300</v>
      </c>
      <c r="C15" s="3244" t="str">
        <f>[1]估价对象房地状况!C5</f>
        <v>估价对象位于昌平区北七家镇，周边办公楼项目较多，入驻率高，办公集聚程度较好。</v>
      </c>
      <c r="D15" s="3241">
        <v>100</v>
      </c>
      <c r="E15" s="3243"/>
      <c r="F15" s="3241">
        <f>SUMIF(77:77,E16,78:78)-SUMIF(77:77,C16,78:78)+100</f>
        <v>100</v>
      </c>
      <c r="G15" s="3242"/>
      <c r="H15" s="3241">
        <f>SUMIF(77:77,G16,78:78)-SUMIF(77:77,C16,78:78)+100</f>
        <v>100</v>
      </c>
      <c r="I15" s="3242"/>
      <c r="J15" s="3241">
        <f>SUMIF(77:77,I16,78:78)-SUMIF(77:77,C16,78:78)+100</f>
        <v>100</v>
      </c>
      <c r="K15" s="3225"/>
      <c r="L15" s="3161"/>
      <c r="M15" s="3127"/>
      <c r="N15" s="3127"/>
      <c r="O15" s="3127"/>
      <c r="P15" s="3631" t="s">
        <v>3299</v>
      </c>
      <c r="Q15" s="3160" t="str">
        <f t="shared" si="6"/>
        <v>办公集聚程度</v>
      </c>
      <c r="R15" s="3159" t="s">
        <v>3282</v>
      </c>
      <c r="S15" s="3158">
        <f t="shared" si="0"/>
        <v>100</v>
      </c>
      <c r="T15" s="3159" t="s">
        <v>3282</v>
      </c>
      <c r="U15" s="3158">
        <f t="shared" si="1"/>
        <v>100</v>
      </c>
      <c r="V15" s="3159" t="s">
        <v>3282</v>
      </c>
      <c r="W15" s="3158">
        <f t="shared" si="2"/>
        <v>100</v>
      </c>
      <c r="X15" s="3157"/>
      <c r="Y15" s="3633" t="s">
        <v>3299</v>
      </c>
      <c r="Z15" s="3156" t="str">
        <f t="shared" si="7"/>
        <v>办公集聚程度</v>
      </c>
      <c r="AA15" s="3155">
        <f t="shared" si="3"/>
        <v>1</v>
      </c>
      <c r="AB15" s="3155">
        <f t="shared" si="4"/>
        <v>1</v>
      </c>
      <c r="AC15" s="3154">
        <f t="shared" si="5"/>
        <v>1</v>
      </c>
    </row>
    <row r="16" spans="1:29" ht="15">
      <c r="A16" s="3215"/>
      <c r="B16" s="3134"/>
      <c r="C16" s="3228"/>
      <c r="D16" s="3076"/>
      <c r="E16" s="3234"/>
      <c r="F16" s="3076"/>
      <c r="G16" s="3228"/>
      <c r="H16" s="3054"/>
      <c r="I16" s="3234"/>
      <c r="J16" s="3076"/>
      <c r="K16" s="3223"/>
      <c r="L16" s="3161"/>
      <c r="M16" s="3127"/>
      <c r="N16" s="3127"/>
      <c r="O16" s="3127"/>
      <c r="P16" s="3632"/>
      <c r="Q16" s="3160"/>
      <c r="R16" s="3159"/>
      <c r="S16" s="3158"/>
      <c r="T16" s="3159"/>
      <c r="U16" s="3158"/>
      <c r="V16" s="3159"/>
      <c r="W16" s="3158"/>
      <c r="X16" s="3157"/>
      <c r="Y16" s="3634"/>
      <c r="Z16" s="3156"/>
      <c r="AA16" s="3155">
        <v>1</v>
      </c>
      <c r="AB16" s="3155">
        <v>1</v>
      </c>
      <c r="AC16" s="3154">
        <v>1</v>
      </c>
    </row>
    <row r="17" spans="1:29" ht="114">
      <c r="A17" s="3215"/>
      <c r="B17" s="3219" t="s">
        <v>2093</v>
      </c>
      <c r="C17" s="3232" t="str">
        <f>[1]估价对象房地状况!C6</f>
        <v>估价对象周边路网较为密集、公共交通通达情况较好，有417、607、871路等公共交通，停车便捷程度较好，综合评价交通便捷度较好。</v>
      </c>
      <c r="D17" s="3054">
        <v>100</v>
      </c>
      <c r="E17" s="3231"/>
      <c r="F17" s="3054">
        <f>SUMIF(79:79,E18,80:80)-SUMIF(79:79,C18,80:80)+100</f>
        <v>100</v>
      </c>
      <c r="G17" s="3230"/>
      <c r="H17" s="3237">
        <f>SUMIF(79:79,G18,80:80)-SUMIF(79:79,C18,80:80)+100</f>
        <v>100</v>
      </c>
      <c r="I17" s="3230"/>
      <c r="J17" s="3237">
        <f>SUMIF(79:79,I18,80:80)-SUMIF(79:79,C18,80:80)+100</f>
        <v>100</v>
      </c>
      <c r="K17" s="3225"/>
      <c r="L17" s="3161"/>
      <c r="M17" s="3127"/>
      <c r="N17" s="3127"/>
      <c r="O17" s="3127"/>
      <c r="P17" s="3632"/>
      <c r="Q17" s="3160" t="str">
        <f>B17</f>
        <v>交通便捷度</v>
      </c>
      <c r="R17" s="3159" t="s">
        <v>3282</v>
      </c>
      <c r="S17" s="3158">
        <f>F17</f>
        <v>100</v>
      </c>
      <c r="T17" s="3159" t="s">
        <v>3282</v>
      </c>
      <c r="U17" s="3158">
        <f>H17</f>
        <v>100</v>
      </c>
      <c r="V17" s="3159" t="s">
        <v>3282</v>
      </c>
      <c r="W17" s="3158">
        <f>J17</f>
        <v>100</v>
      </c>
      <c r="X17" s="3157"/>
      <c r="Y17" s="3634"/>
      <c r="Z17" s="3156" t="str">
        <f>Q17</f>
        <v>交通便捷度</v>
      </c>
      <c r="AA17" s="3155">
        <f>D17/F17</f>
        <v>1</v>
      </c>
      <c r="AB17" s="3155">
        <f>D17/H17</f>
        <v>1</v>
      </c>
      <c r="AC17" s="3154">
        <f>D17/J17</f>
        <v>1</v>
      </c>
    </row>
    <row r="18" spans="1:29" ht="15">
      <c r="A18" s="3215"/>
      <c r="B18" s="3222"/>
      <c r="C18" s="3235"/>
      <c r="D18" s="3054"/>
      <c r="E18" s="3240"/>
      <c r="F18" s="3054"/>
      <c r="G18" s="3239"/>
      <c r="H18" s="3076"/>
      <c r="I18" s="3239"/>
      <c r="J18" s="3076"/>
      <c r="K18" s="3223"/>
      <c r="L18" s="3161"/>
      <c r="M18" s="3127"/>
      <c r="N18" s="3127"/>
      <c r="O18" s="3127"/>
      <c r="P18" s="3632"/>
      <c r="Q18" s="3160"/>
      <c r="R18" s="3159"/>
      <c r="S18" s="3158"/>
      <c r="T18" s="3159"/>
      <c r="U18" s="3158"/>
      <c r="V18" s="3159"/>
      <c r="W18" s="3158"/>
      <c r="X18" s="3157"/>
      <c r="Y18" s="3634"/>
      <c r="Z18" s="3156"/>
      <c r="AA18" s="3155">
        <v>1</v>
      </c>
      <c r="AB18" s="3155">
        <v>1</v>
      </c>
      <c r="AC18" s="3154">
        <v>1</v>
      </c>
    </row>
    <row r="19" spans="1:29" ht="185.25">
      <c r="A19" s="3215"/>
      <c r="B19" s="3219" t="s">
        <v>3298</v>
      </c>
      <c r="C19" s="3232" t="str">
        <f>[1]估价对象房地状况!C7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3237">
        <v>100</v>
      </c>
      <c r="E19" s="3238"/>
      <c r="F19" s="3237">
        <f>SUMIF(81:81,E20,82:82)-SUMIF(81:81,C20,82:82)+100</f>
        <v>100</v>
      </c>
      <c r="G19" s="3236"/>
      <c r="H19" s="3054">
        <f>SUMIF(81:81,G20,82:82)-SUMIF(81:81,C20,82:82)+100</f>
        <v>100</v>
      </c>
      <c r="I19" s="3236"/>
      <c r="J19" s="3054">
        <f>SUMIF(81:81,I20,82:82)-SUMIF(81:81,C20,82:82)+100</f>
        <v>100</v>
      </c>
      <c r="K19" s="3225"/>
      <c r="L19" s="3161"/>
      <c r="M19" s="3127"/>
      <c r="N19" s="3127"/>
      <c r="O19" s="3127"/>
      <c r="P19" s="3632"/>
      <c r="Q19" s="3160" t="str">
        <f>B19</f>
        <v>公共配套设施</v>
      </c>
      <c r="R19" s="3159" t="s">
        <v>3282</v>
      </c>
      <c r="S19" s="3158">
        <f>F19</f>
        <v>100</v>
      </c>
      <c r="T19" s="3159" t="s">
        <v>3282</v>
      </c>
      <c r="U19" s="3158">
        <f>H19</f>
        <v>100</v>
      </c>
      <c r="V19" s="3159" t="s">
        <v>3282</v>
      </c>
      <c r="W19" s="3158">
        <f>J19</f>
        <v>100</v>
      </c>
      <c r="X19" s="3157"/>
      <c r="Y19" s="3634"/>
      <c r="Z19" s="3156" t="str">
        <f>Q19</f>
        <v>公共配套设施</v>
      </c>
      <c r="AA19" s="3155">
        <f>D19/F19</f>
        <v>1</v>
      </c>
      <c r="AB19" s="3155">
        <f>D19/H19</f>
        <v>1</v>
      </c>
      <c r="AC19" s="3154">
        <f>D19/J19</f>
        <v>1</v>
      </c>
    </row>
    <row r="20" spans="1:29" ht="15">
      <c r="A20" s="3215"/>
      <c r="B20" s="3222"/>
      <c r="C20" s="3228"/>
      <c r="D20" s="3076"/>
      <c r="E20" s="3227"/>
      <c r="F20" s="3076"/>
      <c r="G20" s="3226"/>
      <c r="H20" s="3076"/>
      <c r="I20" s="3226"/>
      <c r="J20" s="3076"/>
      <c r="K20" s="3223"/>
      <c r="L20" s="3161"/>
      <c r="M20" s="3127"/>
      <c r="N20" s="3127"/>
      <c r="O20" s="3127"/>
      <c r="P20" s="3632"/>
      <c r="Q20" s="3160"/>
      <c r="R20" s="3159"/>
      <c r="S20" s="3158"/>
      <c r="T20" s="3159"/>
      <c r="U20" s="3158"/>
      <c r="V20" s="3159"/>
      <c r="W20" s="3158"/>
      <c r="X20" s="3157"/>
      <c r="Y20" s="3634"/>
      <c r="Z20" s="3156"/>
      <c r="AA20" s="3155">
        <v>1</v>
      </c>
      <c r="AB20" s="3155">
        <v>1</v>
      </c>
      <c r="AC20" s="3154">
        <v>1</v>
      </c>
    </row>
    <row r="21" spans="1:29" ht="42.75">
      <c r="A21" s="3215"/>
      <c r="B21" s="3229" t="s">
        <v>3297</v>
      </c>
      <c r="C21" s="3232" t="str">
        <f>[1]估价对象房地状况!C8</f>
        <v>估价对象所在区域基础设施水平达到“七通”。</v>
      </c>
      <c r="D21" s="3054">
        <v>100</v>
      </c>
      <c r="E21" s="3238"/>
      <c r="F21" s="3237">
        <f>SUMIF(83:83,E22,84:84)-SUMIF(83:83,C22,84:84)+100</f>
        <v>100</v>
      </c>
      <c r="G21" s="3236"/>
      <c r="H21" s="3054">
        <f>SUMIF(83:83,G22,84:84)-SUMIF(83:83,C22,84:84)+100</f>
        <v>100</v>
      </c>
      <c r="I21" s="3236"/>
      <c r="J21" s="3054">
        <f>SUMIF(83:83,I22,84:84)-SUMIF(83:83,C22,84:84)+100</f>
        <v>100</v>
      </c>
      <c r="K21" s="3225"/>
      <c r="L21" s="3161"/>
      <c r="M21" s="3127"/>
      <c r="N21" s="3127"/>
      <c r="O21" s="3127"/>
      <c r="P21" s="3632"/>
      <c r="Q21" s="3160" t="str">
        <f>B21</f>
        <v>基础设施水平</v>
      </c>
      <c r="R21" s="3159" t="s">
        <v>3282</v>
      </c>
      <c r="S21" s="3158">
        <f>F21</f>
        <v>100</v>
      </c>
      <c r="T21" s="3159" t="s">
        <v>3282</v>
      </c>
      <c r="U21" s="3158">
        <f>H21</f>
        <v>100</v>
      </c>
      <c r="V21" s="3159" t="s">
        <v>3282</v>
      </c>
      <c r="W21" s="3158">
        <f>J21</f>
        <v>100</v>
      </c>
      <c r="X21" s="3157"/>
      <c r="Y21" s="3634"/>
      <c r="Z21" s="3156" t="str">
        <f>Q21</f>
        <v>基础设施水平</v>
      </c>
      <c r="AA21" s="3155">
        <f>D21/F21</f>
        <v>1</v>
      </c>
      <c r="AB21" s="3155">
        <f>D21/H21</f>
        <v>1</v>
      </c>
      <c r="AC21" s="3154">
        <f>D21/J21</f>
        <v>1</v>
      </c>
    </row>
    <row r="22" spans="1:29" ht="15">
      <c r="A22" s="3215"/>
      <c r="B22" s="3229"/>
      <c r="C22" s="3235"/>
      <c r="D22" s="3076"/>
      <c r="E22" s="3234"/>
      <c r="F22" s="3076"/>
      <c r="G22" s="3228"/>
      <c r="H22" s="3076"/>
      <c r="I22" s="3228"/>
      <c r="J22" s="3076"/>
      <c r="K22" s="3233"/>
      <c r="L22" s="3161"/>
      <c r="M22" s="3127"/>
      <c r="N22" s="3127"/>
      <c r="O22" s="3127"/>
      <c r="P22" s="3632"/>
      <c r="Q22" s="3160"/>
      <c r="R22" s="3159"/>
      <c r="S22" s="3158"/>
      <c r="T22" s="3159"/>
      <c r="U22" s="3158"/>
      <c r="V22" s="3159"/>
      <c r="W22" s="3158"/>
      <c r="X22" s="3157"/>
      <c r="Y22" s="3634"/>
      <c r="Z22" s="3156"/>
      <c r="AA22" s="3155">
        <v>1</v>
      </c>
      <c r="AB22" s="3155">
        <v>1</v>
      </c>
      <c r="AC22" s="3154">
        <v>1</v>
      </c>
    </row>
    <row r="23" spans="1:29" ht="85.5">
      <c r="A23" s="3215"/>
      <c r="B23" s="3219" t="s">
        <v>3296</v>
      </c>
      <c r="C23" s="3232" t="str">
        <f>[1]估价对象房地状况!C9</f>
        <v>区域自然环境：秀水湖公园；人文环境：北京邮电大学（洪福校区）；综合评价环境状况较好。</v>
      </c>
      <c r="D23" s="3054">
        <v>100</v>
      </c>
      <c r="E23" s="3231"/>
      <c r="F23" s="3054">
        <f>SUMIF(85:85,E24,86:86)-SUMIF(85:85,C24,86:86)+100</f>
        <v>100</v>
      </c>
      <c r="G23" s="3230"/>
      <c r="H23" s="3054">
        <f>SUMIF(85:85,G24,86:86)-SUMIF(85:85,C24,86:86)+100</f>
        <v>100</v>
      </c>
      <c r="I23" s="3230"/>
      <c r="J23" s="3054">
        <f>SUMIF(85:85,I24,86:86)-SUMIF(85:85,C24,86:86)+100</f>
        <v>100</v>
      </c>
      <c r="K23" s="3225"/>
      <c r="L23" s="3161"/>
      <c r="M23" s="3127"/>
      <c r="N23" s="3127"/>
      <c r="O23" s="3127"/>
      <c r="P23" s="3632"/>
      <c r="Q23" s="3160" t="str">
        <f>B23</f>
        <v>环境质量</v>
      </c>
      <c r="R23" s="3159" t="s">
        <v>3282</v>
      </c>
      <c r="S23" s="3158">
        <f>F23</f>
        <v>100</v>
      </c>
      <c r="T23" s="3159" t="s">
        <v>3282</v>
      </c>
      <c r="U23" s="3158">
        <f>H23</f>
        <v>100</v>
      </c>
      <c r="V23" s="3159" t="s">
        <v>3282</v>
      </c>
      <c r="W23" s="3158">
        <f>J23</f>
        <v>100</v>
      </c>
      <c r="X23" s="3157"/>
      <c r="Y23" s="3634"/>
      <c r="Z23" s="3156" t="str">
        <f>Q23</f>
        <v>环境质量</v>
      </c>
      <c r="AA23" s="3155">
        <f>D23/F23</f>
        <v>1</v>
      </c>
      <c r="AB23" s="3155">
        <f>D23/H23</f>
        <v>1</v>
      </c>
      <c r="AC23" s="3154">
        <f>D23/J23</f>
        <v>1</v>
      </c>
    </row>
    <row r="24" spans="1:29" ht="15">
      <c r="A24" s="3215"/>
      <c r="B24" s="3229"/>
      <c r="C24" s="3228"/>
      <c r="D24" s="3076"/>
      <c r="E24" s="3227"/>
      <c r="F24" s="3076"/>
      <c r="G24" s="3226"/>
      <c r="H24" s="3076"/>
      <c r="I24" s="3226"/>
      <c r="J24" s="3076"/>
      <c r="K24" s="3223"/>
      <c r="L24" s="3161"/>
      <c r="M24" s="3127"/>
      <c r="N24" s="3127"/>
      <c r="O24" s="3127"/>
      <c r="P24" s="3632"/>
      <c r="Q24" s="3160"/>
      <c r="R24" s="3159"/>
      <c r="S24" s="3158"/>
      <c r="T24" s="3159"/>
      <c r="U24" s="3158"/>
      <c r="V24" s="3159"/>
      <c r="W24" s="3158"/>
      <c r="X24" s="3157"/>
      <c r="Y24" s="3634"/>
      <c r="Z24" s="3156"/>
      <c r="AA24" s="3155">
        <v>1</v>
      </c>
      <c r="AB24" s="3155">
        <v>1</v>
      </c>
      <c r="AC24" s="3154">
        <v>1</v>
      </c>
    </row>
    <row r="25" spans="1:29" ht="27">
      <c r="A25" s="3224"/>
      <c r="B25" s="3219" t="s">
        <v>3295</v>
      </c>
      <c r="C25" s="3213"/>
      <c r="D25" s="3169">
        <v>100</v>
      </c>
      <c r="E25" s="3171"/>
      <c r="F25" s="3169">
        <f>SUMIF(87:87,E26,88:88)-SUMIF(87:87,C26,88:88)+100</f>
        <v>100</v>
      </c>
      <c r="G25" s="3213"/>
      <c r="H25" s="3169">
        <f>SUMIF(87:87,G26,88:88)-SUMIF(87:87,C26,88:88)+100</f>
        <v>100</v>
      </c>
      <c r="I25" s="3171"/>
      <c r="J25" s="3169">
        <f>SUMIF(87:87,I26,88:88)-SUMIF(87:87,C26,88:88)+100</f>
        <v>100</v>
      </c>
      <c r="K25" s="3225"/>
      <c r="L25" s="3161"/>
      <c r="M25" s="3127"/>
      <c r="N25" s="3127"/>
      <c r="O25" s="3127"/>
      <c r="P25" s="3632"/>
      <c r="Q25" s="3160" t="str">
        <f>B25</f>
        <v>毗邻道路的类型与等级</v>
      </c>
      <c r="R25" s="3159" t="s">
        <v>3282</v>
      </c>
      <c r="S25" s="3158">
        <f>F25</f>
        <v>100</v>
      </c>
      <c r="T25" s="3159" t="s">
        <v>3282</v>
      </c>
      <c r="U25" s="3158">
        <f>H25</f>
        <v>100</v>
      </c>
      <c r="V25" s="3159" t="s">
        <v>3282</v>
      </c>
      <c r="W25" s="3158">
        <f>J25</f>
        <v>100</v>
      </c>
      <c r="X25" s="3157"/>
      <c r="Y25" s="3634"/>
      <c r="Z25" s="3156" t="str">
        <f>Q25</f>
        <v>毗邻道路的类型与等级</v>
      </c>
      <c r="AA25" s="3155">
        <f>D25/F25</f>
        <v>1</v>
      </c>
      <c r="AB25" s="3155">
        <f>D25/H25</f>
        <v>1</v>
      </c>
      <c r="AC25" s="3154">
        <f>D25/J25</f>
        <v>1</v>
      </c>
    </row>
    <row r="26" spans="1:29" ht="15">
      <c r="A26" s="3224"/>
      <c r="B26" s="3222"/>
      <c r="C26" s="3221"/>
      <c r="D26" s="3169"/>
      <c r="E26" s="3200"/>
      <c r="F26" s="3169"/>
      <c r="G26" s="3221"/>
      <c r="H26" s="3169"/>
      <c r="I26" s="3200"/>
      <c r="J26" s="3169"/>
      <c r="K26" s="3223"/>
      <c r="L26" s="3161"/>
      <c r="M26" s="3127"/>
      <c r="N26" s="3127"/>
      <c r="O26" s="3127"/>
      <c r="P26" s="3632"/>
      <c r="Q26" s="3160"/>
      <c r="R26" s="3159"/>
      <c r="S26" s="3158"/>
      <c r="T26" s="3159"/>
      <c r="U26" s="3158"/>
      <c r="V26" s="3159"/>
      <c r="W26" s="3158"/>
      <c r="X26" s="3157"/>
      <c r="Y26" s="3634"/>
      <c r="Z26" s="3156"/>
      <c r="AA26" s="3155">
        <v>1</v>
      </c>
      <c r="AB26" s="3155">
        <v>1</v>
      </c>
      <c r="AC26" s="3154">
        <v>1</v>
      </c>
    </row>
    <row r="27" spans="1:29" ht="15">
      <c r="A27" s="3215"/>
      <c r="B27" s="3222" t="s">
        <v>3294</v>
      </c>
      <c r="C27" s="3221" t="s">
        <v>3173</v>
      </c>
      <c r="D27" s="3169">
        <v>100</v>
      </c>
      <c r="E27" s="3200" t="s">
        <v>3171</v>
      </c>
      <c r="F27" s="3169">
        <f>SUMIF(89:89,E27,90:90)-SUMIF(89:89,C27,90:90)+100</f>
        <v>103</v>
      </c>
      <c r="G27" s="3221" t="s">
        <v>3169</v>
      </c>
      <c r="H27" s="3169">
        <f>SUMIF(89:89,G27,90:90)-SUMIF(89:89,C27,90:90)+100</f>
        <v>106</v>
      </c>
      <c r="I27" s="3200" t="s">
        <v>3171</v>
      </c>
      <c r="J27" s="3169">
        <f>SUMIF(89:89,I27,90:90)-SUMIF(89:89,C27,90:90)+100</f>
        <v>103</v>
      </c>
      <c r="K27" s="3187">
        <v>3</v>
      </c>
      <c r="L27" s="3161"/>
      <c r="M27" s="3127"/>
      <c r="N27" s="3127"/>
      <c r="O27" s="3127"/>
      <c r="P27" s="3632"/>
      <c r="Q27" s="3160" t="str">
        <f t="shared" ref="Q27:Q47" si="8">B27</f>
        <v>楼层</v>
      </c>
      <c r="R27" s="3159" t="s">
        <v>3279</v>
      </c>
      <c r="S27" s="3158">
        <f t="shared" ref="S27:S47" si="9">F27</f>
        <v>103</v>
      </c>
      <c r="T27" s="3159" t="s">
        <v>3279</v>
      </c>
      <c r="U27" s="3158">
        <f t="shared" ref="U27:U47" si="10">H27</f>
        <v>106</v>
      </c>
      <c r="V27" s="3159" t="s">
        <v>3279</v>
      </c>
      <c r="W27" s="3158">
        <f t="shared" ref="W27:W47" si="11">J27</f>
        <v>103</v>
      </c>
      <c r="X27" s="3157"/>
      <c r="Y27" s="3634"/>
      <c r="Z27" s="3156" t="str">
        <f t="shared" ref="Z27:Z47" si="12">Q27</f>
        <v>楼层</v>
      </c>
      <c r="AA27" s="3155">
        <f t="shared" ref="AA27:AA47" si="13">D27/F27</f>
        <v>0.970873786407767</v>
      </c>
      <c r="AB27" s="3155">
        <f t="shared" ref="AB27:AB47" si="14">D27/H27</f>
        <v>0.94339622641509435</v>
      </c>
      <c r="AC27" s="3154">
        <f t="shared" ref="AC27:AC47" si="15">D27/J27</f>
        <v>0.970873786407767</v>
      </c>
    </row>
    <row r="28" spans="1:29" s="3051" customFormat="1" ht="15.75" thickBot="1">
      <c r="A28" s="3220"/>
      <c r="B28" s="3219" t="s">
        <v>2607</v>
      </c>
      <c r="C28" s="3218"/>
      <c r="D28" s="3216">
        <v>100</v>
      </c>
      <c r="E28" s="3217"/>
      <c r="F28" s="3216">
        <f>SUMIF(91:91,E28,92:92)-SUMIF(91:91,C28,92:92)+100</f>
        <v>100</v>
      </c>
      <c r="G28" s="3218"/>
      <c r="H28" s="3216">
        <f>SUMIF(91:91,G28,92:92)-SUMIF(91:91,C28,92:92)+100</f>
        <v>100</v>
      </c>
      <c r="I28" s="3217"/>
      <c r="J28" s="3216">
        <f>SUMIF(91:91,I28,92:92)-SUMIF(91:91,C28,92:92)+100</f>
        <v>100</v>
      </c>
      <c r="K28" s="3187"/>
      <c r="L28" s="3182"/>
      <c r="M28" s="3181"/>
      <c r="N28" s="3181"/>
      <c r="O28" s="3181"/>
      <c r="P28" s="3632"/>
      <c r="Q28" s="3180" t="str">
        <f t="shared" si="8"/>
        <v>朝向</v>
      </c>
      <c r="R28" s="3179" t="s">
        <v>3279</v>
      </c>
      <c r="S28" s="3178">
        <f t="shared" si="9"/>
        <v>100</v>
      </c>
      <c r="T28" s="3179" t="s">
        <v>3279</v>
      </c>
      <c r="U28" s="3178">
        <f t="shared" si="10"/>
        <v>100</v>
      </c>
      <c r="V28" s="3179" t="s">
        <v>3279</v>
      </c>
      <c r="W28" s="3178">
        <f t="shared" si="11"/>
        <v>100</v>
      </c>
      <c r="X28" s="3177"/>
      <c r="Y28" s="3634"/>
      <c r="Z28" s="3176" t="str">
        <f t="shared" si="12"/>
        <v>朝向</v>
      </c>
      <c r="AA28" s="3155">
        <f t="shared" si="13"/>
        <v>1</v>
      </c>
      <c r="AB28" s="3155">
        <f t="shared" si="14"/>
        <v>1</v>
      </c>
      <c r="AC28" s="3154">
        <f t="shared" si="15"/>
        <v>1</v>
      </c>
    </row>
    <row r="29" spans="1:29" ht="15.75" hidden="1" thickBot="1">
      <c r="A29" s="3215"/>
      <c r="B29" s="3214">
        <v>111</v>
      </c>
      <c r="C29" s="3213"/>
      <c r="D29" s="3169">
        <v>100</v>
      </c>
      <c r="E29" s="3164"/>
      <c r="F29" s="3169">
        <f>SUMIF(93:93,E29,94:94)-SUMIF(93:93,C29,94:94)+100</f>
        <v>100</v>
      </c>
      <c r="G29" s="3208"/>
      <c r="H29" s="3169">
        <f>SUMIF(93:93,G29,94:94)-SUMIF(93:93,C29,94:94)+100</f>
        <v>100</v>
      </c>
      <c r="I29" s="3164"/>
      <c r="J29" s="3169">
        <f>SUMIF(93:93,I29,94:94)-SUMIF(93:93,C29,94:94)+100</f>
        <v>100</v>
      </c>
      <c r="K29" s="3162"/>
      <c r="L29" s="3161"/>
      <c r="M29" s="3127"/>
      <c r="N29" s="3127"/>
      <c r="O29" s="3127"/>
      <c r="P29" s="3632"/>
      <c r="Q29" s="3160">
        <f t="shared" si="8"/>
        <v>111</v>
      </c>
      <c r="R29" s="3159" t="s">
        <v>3282</v>
      </c>
      <c r="S29" s="3158">
        <f t="shared" si="9"/>
        <v>100</v>
      </c>
      <c r="T29" s="3159" t="s">
        <v>3282</v>
      </c>
      <c r="U29" s="3158">
        <f t="shared" si="10"/>
        <v>100</v>
      </c>
      <c r="V29" s="3159" t="s">
        <v>3282</v>
      </c>
      <c r="W29" s="3158">
        <f t="shared" si="11"/>
        <v>100</v>
      </c>
      <c r="X29" s="3157"/>
      <c r="Y29" s="3634"/>
      <c r="Z29" s="3156">
        <f t="shared" si="12"/>
        <v>111</v>
      </c>
      <c r="AA29" s="3155">
        <f t="shared" si="13"/>
        <v>1</v>
      </c>
      <c r="AB29" s="3155">
        <f t="shared" si="14"/>
        <v>1</v>
      </c>
      <c r="AC29" s="3154">
        <f t="shared" si="15"/>
        <v>1</v>
      </c>
    </row>
    <row r="30" spans="1:29" ht="15.75" hidden="1" thickBot="1">
      <c r="A30" s="3215"/>
      <c r="B30" s="3214">
        <v>111</v>
      </c>
      <c r="C30" s="3213"/>
      <c r="D30" s="3169">
        <v>100</v>
      </c>
      <c r="E30" s="3164"/>
      <c r="F30" s="3169">
        <f>SUMIF(95:95,E30,96:96)-SUMIF(95:95,C30,96:96)+100</f>
        <v>100</v>
      </c>
      <c r="G30" s="3208"/>
      <c r="H30" s="3169">
        <f>SUMIF(95:95,G30,96:96)-SUMIF(95:95,C30,96:96)+100</f>
        <v>100</v>
      </c>
      <c r="I30" s="3164"/>
      <c r="J30" s="3169">
        <f>SUMIF(95:95,I30,96:96)-SUMIF(95:95,C30,96:96)+100</f>
        <v>100</v>
      </c>
      <c r="K30" s="3162"/>
      <c r="L30" s="3161"/>
      <c r="M30" s="3127"/>
      <c r="N30" s="3127"/>
      <c r="O30" s="3127"/>
      <c r="P30" s="3632"/>
      <c r="Q30" s="3160">
        <f t="shared" si="8"/>
        <v>111</v>
      </c>
      <c r="R30" s="3159" t="s">
        <v>3282</v>
      </c>
      <c r="S30" s="3158">
        <f t="shared" si="9"/>
        <v>100</v>
      </c>
      <c r="T30" s="3159" t="s">
        <v>3282</v>
      </c>
      <c r="U30" s="3158">
        <f t="shared" si="10"/>
        <v>100</v>
      </c>
      <c r="V30" s="3159" t="s">
        <v>3282</v>
      </c>
      <c r="W30" s="3158">
        <f t="shared" si="11"/>
        <v>100</v>
      </c>
      <c r="X30" s="3157"/>
      <c r="Y30" s="3634"/>
      <c r="Z30" s="3156">
        <f t="shared" si="12"/>
        <v>111</v>
      </c>
      <c r="AA30" s="3155">
        <f t="shared" si="13"/>
        <v>1</v>
      </c>
      <c r="AB30" s="3155">
        <f t="shared" si="14"/>
        <v>1</v>
      </c>
      <c r="AC30" s="3154">
        <f t="shared" si="15"/>
        <v>1</v>
      </c>
    </row>
    <row r="31" spans="1:29" ht="15.75" hidden="1" thickBot="1">
      <c r="A31" s="3215"/>
      <c r="B31" s="3214">
        <v>111</v>
      </c>
      <c r="C31" s="3213"/>
      <c r="D31" s="3169">
        <v>100</v>
      </c>
      <c r="E31" s="3164"/>
      <c r="F31" s="3169">
        <f>SUMIF(97:97,E31,98:98)-SUMIF(97:97,C31,98:98)+100</f>
        <v>100</v>
      </c>
      <c r="G31" s="3208"/>
      <c r="H31" s="3169">
        <f>SUMIF(97:97,G31,98:98)-SUMIF(97:97,C31,98:98)+100</f>
        <v>100</v>
      </c>
      <c r="I31" s="3164"/>
      <c r="J31" s="3169">
        <f>SUMIF(97:97,I31,98:98)-SUMIF(97:97,C31,98:98)+100</f>
        <v>100</v>
      </c>
      <c r="K31" s="3162"/>
      <c r="L31" s="3161"/>
      <c r="M31" s="3127"/>
      <c r="N31" s="3127"/>
      <c r="O31" s="3127"/>
      <c r="P31" s="3632"/>
      <c r="Q31" s="3160">
        <f t="shared" si="8"/>
        <v>111</v>
      </c>
      <c r="R31" s="3159" t="s">
        <v>3282</v>
      </c>
      <c r="S31" s="3158">
        <f t="shared" si="9"/>
        <v>100</v>
      </c>
      <c r="T31" s="3159" t="s">
        <v>3282</v>
      </c>
      <c r="U31" s="3158">
        <f t="shared" si="10"/>
        <v>100</v>
      </c>
      <c r="V31" s="3159" t="s">
        <v>3282</v>
      </c>
      <c r="W31" s="3158">
        <f t="shared" si="11"/>
        <v>100</v>
      </c>
      <c r="X31" s="3157"/>
      <c r="Y31" s="3634"/>
      <c r="Z31" s="3156">
        <f t="shared" si="12"/>
        <v>111</v>
      </c>
      <c r="AA31" s="3155">
        <f t="shared" si="13"/>
        <v>1</v>
      </c>
      <c r="AB31" s="3155">
        <f t="shared" si="14"/>
        <v>1</v>
      </c>
      <c r="AC31" s="3154">
        <f t="shared" si="15"/>
        <v>1</v>
      </c>
    </row>
    <row r="32" spans="1:29" ht="15.75" hidden="1" thickBot="1">
      <c r="A32" s="3212"/>
      <c r="B32" s="3211">
        <v>111</v>
      </c>
      <c r="C32" s="3210"/>
      <c r="D32" s="3163">
        <v>100</v>
      </c>
      <c r="E32" s="3209"/>
      <c r="F32" s="3163">
        <f>SUMIF(99:99,E32,100:100)-SUMIF(99:99,C32,100:100)+100</f>
        <v>100</v>
      </c>
      <c r="G32" s="3208"/>
      <c r="H32" s="3163">
        <f>SUMIF(99:99,G32,100:100)-SUMIF(99:99,C32,100:100)+100</f>
        <v>100</v>
      </c>
      <c r="I32" s="3164"/>
      <c r="J32" s="3163">
        <f>SUMIF(99:99,I32,100:100)-SUMIF(99:99,C32,100:100)+100</f>
        <v>100</v>
      </c>
      <c r="K32" s="3162"/>
      <c r="L32" s="3161"/>
      <c r="M32" s="3127"/>
      <c r="N32" s="3127"/>
      <c r="O32" s="3127"/>
      <c r="P32" s="3632"/>
      <c r="Q32" s="3160">
        <f t="shared" si="8"/>
        <v>111</v>
      </c>
      <c r="R32" s="3159" t="s">
        <v>3282</v>
      </c>
      <c r="S32" s="3158">
        <f t="shared" si="9"/>
        <v>100</v>
      </c>
      <c r="T32" s="3159" t="s">
        <v>3282</v>
      </c>
      <c r="U32" s="3158">
        <f t="shared" si="10"/>
        <v>100</v>
      </c>
      <c r="V32" s="3159" t="s">
        <v>3282</v>
      </c>
      <c r="W32" s="3158">
        <f t="shared" si="11"/>
        <v>100</v>
      </c>
      <c r="X32" s="3157"/>
      <c r="Y32" s="3634"/>
      <c r="Z32" s="3156">
        <f t="shared" si="12"/>
        <v>111</v>
      </c>
      <c r="AA32" s="3155">
        <f t="shared" si="13"/>
        <v>1</v>
      </c>
      <c r="AB32" s="3155">
        <f t="shared" si="14"/>
        <v>1</v>
      </c>
      <c r="AC32" s="3154">
        <f t="shared" si="15"/>
        <v>1</v>
      </c>
    </row>
    <row r="33" spans="1:29" ht="15">
      <c r="A33" s="3207" t="s">
        <v>3293</v>
      </c>
      <c r="B33" s="3206" t="s">
        <v>3292</v>
      </c>
      <c r="C33" s="3205"/>
      <c r="D33" s="3204">
        <v>100</v>
      </c>
      <c r="E33" s="3205"/>
      <c r="F33" s="3170">
        <f>SUMIF(101:101,E33,102:102)-SUMIF(101:101,C33,102:102)+100</f>
        <v>100</v>
      </c>
      <c r="G33" s="3205"/>
      <c r="H33" s="3169">
        <f>SUMIF(101:101,G33,102:102)-SUMIF(101:101,C33,102:102)+100</f>
        <v>100</v>
      </c>
      <c r="I33" s="3205"/>
      <c r="J33" s="3204">
        <f>SUMIF(101:101,I33,102:102)-SUMIF(101:101,C33,102:102)+100</f>
        <v>100</v>
      </c>
      <c r="K33" s="3187"/>
      <c r="L33" s="3161"/>
      <c r="M33" s="3127"/>
      <c r="N33" s="3127"/>
      <c r="O33" s="3127"/>
      <c r="P33" s="3635" t="s">
        <v>3286</v>
      </c>
      <c r="Q33" s="3160" t="str">
        <f t="shared" si="8"/>
        <v>建筑类型</v>
      </c>
      <c r="R33" s="3159" t="s">
        <v>3282</v>
      </c>
      <c r="S33" s="3158">
        <f t="shared" si="9"/>
        <v>100</v>
      </c>
      <c r="T33" s="3159" t="s">
        <v>3282</v>
      </c>
      <c r="U33" s="3158">
        <f t="shared" si="10"/>
        <v>100</v>
      </c>
      <c r="V33" s="3159" t="s">
        <v>3282</v>
      </c>
      <c r="W33" s="3158">
        <f t="shared" si="11"/>
        <v>100</v>
      </c>
      <c r="X33" s="3157"/>
      <c r="Y33" s="3638" t="s">
        <v>3286</v>
      </c>
      <c r="Z33" s="3156" t="str">
        <f t="shared" si="12"/>
        <v>建筑类型</v>
      </c>
      <c r="AA33" s="3155">
        <f t="shared" si="13"/>
        <v>1</v>
      </c>
      <c r="AB33" s="3155">
        <f t="shared" si="14"/>
        <v>1</v>
      </c>
      <c r="AC33" s="3154">
        <f t="shared" si="15"/>
        <v>1</v>
      </c>
    </row>
    <row r="34" spans="1:29" s="3002" customFormat="1" ht="15">
      <c r="A34" s="3199"/>
      <c r="B34" s="3190" t="s">
        <v>2562</v>
      </c>
      <c r="C34" s="3185">
        <f>'[1]数据-基础表'!I13</f>
        <v>145</v>
      </c>
      <c r="D34" s="3183">
        <v>100</v>
      </c>
      <c r="E34" s="3203">
        <v>500</v>
      </c>
      <c r="F34" s="3184">
        <f>LOOKUP(E34,104:104,105:105)-LOOKUP(C34,104:104,105:105)+100</f>
        <v>101</v>
      </c>
      <c r="G34" s="3202">
        <v>562</v>
      </c>
      <c r="H34" s="3183">
        <f>LOOKUP(G34,104:104,105:105)-LOOKUP(C34,104:104,105:105)+100</f>
        <v>101</v>
      </c>
      <c r="I34" s="3202">
        <v>500</v>
      </c>
      <c r="J34" s="3183">
        <f>LOOKUP(I34,104:104,105:105)-LOOKUP(C34,104:104,105:105)+100</f>
        <v>101</v>
      </c>
      <c r="K34" s="3162"/>
      <c r="L34" s="3197"/>
      <c r="M34" s="3196"/>
      <c r="N34" s="3196"/>
      <c r="O34" s="3196"/>
      <c r="P34" s="3636"/>
      <c r="Q34" s="3195" t="str">
        <f t="shared" si="8"/>
        <v>项目建筑规模</v>
      </c>
      <c r="R34" s="3194" t="s">
        <v>3282</v>
      </c>
      <c r="S34" s="3193">
        <f t="shared" si="9"/>
        <v>101</v>
      </c>
      <c r="T34" s="3194" t="s">
        <v>3282</v>
      </c>
      <c r="U34" s="3193">
        <f t="shared" si="10"/>
        <v>101</v>
      </c>
      <c r="V34" s="3194" t="s">
        <v>3282</v>
      </c>
      <c r="W34" s="3193">
        <f t="shared" si="11"/>
        <v>101</v>
      </c>
      <c r="X34" s="3192"/>
      <c r="Y34" s="3638"/>
      <c r="Z34" s="3191" t="str">
        <f t="shared" si="12"/>
        <v>项目建筑规模</v>
      </c>
      <c r="AA34" s="3155">
        <f t="shared" si="13"/>
        <v>0.99009900990099009</v>
      </c>
      <c r="AB34" s="3155">
        <f t="shared" si="14"/>
        <v>0.99009900990099009</v>
      </c>
      <c r="AC34" s="3154">
        <f t="shared" si="15"/>
        <v>0.99009900990099009</v>
      </c>
    </row>
    <row r="35" spans="1:29" ht="15">
      <c r="A35" s="3173"/>
      <c r="B35" s="3190" t="s">
        <v>2563</v>
      </c>
      <c r="C35" s="3189"/>
      <c r="D35" s="3169">
        <v>100</v>
      </c>
      <c r="E35" s="3189"/>
      <c r="F35" s="3170">
        <f>SUMIF(106:106,E35,107:107)-SUMIF(106:106,C35,107:107)+100</f>
        <v>100</v>
      </c>
      <c r="G35" s="3189"/>
      <c r="H35" s="3169">
        <f>SUMIF(106:106,G35,107:107)-SUMIF(106:106,C35,107:107)+100</f>
        <v>100</v>
      </c>
      <c r="I35" s="3189"/>
      <c r="J35" s="3169">
        <f>SUMIF(106:106,I35,107:107)-SUMIF(106:106,C35,107:107)+100</f>
        <v>100</v>
      </c>
      <c r="K35" s="3187"/>
      <c r="L35" s="3161"/>
      <c r="M35" s="3127"/>
      <c r="N35" s="3127"/>
      <c r="O35" s="3127"/>
      <c r="P35" s="3636"/>
      <c r="Q35" s="3160" t="str">
        <f t="shared" si="8"/>
        <v>建筑结构</v>
      </c>
      <c r="R35" s="3159" t="s">
        <v>3291</v>
      </c>
      <c r="S35" s="3158">
        <f t="shared" si="9"/>
        <v>100</v>
      </c>
      <c r="T35" s="3159" t="s">
        <v>3282</v>
      </c>
      <c r="U35" s="3158">
        <f t="shared" si="10"/>
        <v>100</v>
      </c>
      <c r="V35" s="3159" t="s">
        <v>3282</v>
      </c>
      <c r="W35" s="3158">
        <f t="shared" si="11"/>
        <v>100</v>
      </c>
      <c r="X35" s="3157"/>
      <c r="Y35" s="3638"/>
      <c r="Z35" s="3156" t="str">
        <f t="shared" si="12"/>
        <v>建筑结构</v>
      </c>
      <c r="AA35" s="3155">
        <f t="shared" si="13"/>
        <v>1</v>
      </c>
      <c r="AB35" s="3155">
        <f t="shared" si="14"/>
        <v>1</v>
      </c>
      <c r="AC35" s="3154">
        <f t="shared" si="15"/>
        <v>1</v>
      </c>
    </row>
    <row r="36" spans="1:29" ht="15">
      <c r="A36" s="3173"/>
      <c r="B36" s="3190" t="s">
        <v>3290</v>
      </c>
      <c r="C36" s="3189" t="s">
        <v>3193</v>
      </c>
      <c r="D36" s="3169">
        <v>100</v>
      </c>
      <c r="E36" s="3189" t="s">
        <v>3193</v>
      </c>
      <c r="F36" s="3170">
        <f>SUMIF(108:108,E36,109:109)-SUMIF(108:108,C36,109:109)+100</f>
        <v>100</v>
      </c>
      <c r="G36" s="3189" t="s">
        <v>3193</v>
      </c>
      <c r="H36" s="3169">
        <f>SUMIF(108:108,G36,109:109)-SUMIF(108:108,C36,109:109)+100</f>
        <v>100</v>
      </c>
      <c r="I36" s="3189" t="s">
        <v>3193</v>
      </c>
      <c r="J36" s="3169">
        <f>SUMIF(108:108,I36,109:109)-SUMIF(108:108,C36,109:109)+100</f>
        <v>100</v>
      </c>
      <c r="K36" s="3187"/>
      <c r="L36" s="3161"/>
      <c r="M36" s="3127"/>
      <c r="N36" s="3127"/>
      <c r="O36" s="3127"/>
      <c r="P36" s="3636"/>
      <c r="Q36" s="3160" t="str">
        <f t="shared" si="8"/>
        <v>公共部分装修</v>
      </c>
      <c r="R36" s="3159" t="s">
        <v>3282</v>
      </c>
      <c r="S36" s="3158">
        <f t="shared" si="9"/>
        <v>100</v>
      </c>
      <c r="T36" s="3159" t="s">
        <v>3282</v>
      </c>
      <c r="U36" s="3158">
        <f t="shared" si="10"/>
        <v>100</v>
      </c>
      <c r="V36" s="3159" t="s">
        <v>3282</v>
      </c>
      <c r="W36" s="3158">
        <f t="shared" si="11"/>
        <v>100</v>
      </c>
      <c r="X36" s="3157"/>
      <c r="Y36" s="3638"/>
      <c r="Z36" s="3156" t="str">
        <f t="shared" si="12"/>
        <v>公共部分装修</v>
      </c>
      <c r="AA36" s="3155">
        <f t="shared" si="13"/>
        <v>1</v>
      </c>
      <c r="AB36" s="3155">
        <f t="shared" si="14"/>
        <v>1</v>
      </c>
      <c r="AC36" s="3154">
        <f t="shared" si="15"/>
        <v>1</v>
      </c>
    </row>
    <row r="37" spans="1:29" ht="15">
      <c r="A37" s="3173"/>
      <c r="B37" s="3190" t="s">
        <v>3289</v>
      </c>
      <c r="C37" s="3201">
        <v>1</v>
      </c>
      <c r="D37" s="3169">
        <v>100</v>
      </c>
      <c r="E37" s="3201">
        <v>1</v>
      </c>
      <c r="F37" s="3170">
        <f>LOOKUP(E37,111:111,112:112)-LOOKUP(C37,111:111,112:112)+100</f>
        <v>100</v>
      </c>
      <c r="G37" s="3201">
        <v>1</v>
      </c>
      <c r="H37" s="3170">
        <f>LOOKUP(G37,111:111,112:112)-LOOKUP(C37,111:111,112:112)+100</f>
        <v>100</v>
      </c>
      <c r="I37" s="3201">
        <v>1</v>
      </c>
      <c r="J37" s="3169">
        <f>LOOKUP(I37,111:111,112:112)-LOOKUP(C37,111:111,112:112)+100</f>
        <v>100</v>
      </c>
      <c r="K37" s="3187"/>
      <c r="L37" s="3161"/>
      <c r="M37" s="3127"/>
      <c r="N37" s="3127"/>
      <c r="O37" s="3127"/>
      <c r="P37" s="3636"/>
      <c r="Q37" s="3160" t="str">
        <f t="shared" si="8"/>
        <v>成新度</v>
      </c>
      <c r="R37" s="3159" t="s">
        <v>3282</v>
      </c>
      <c r="S37" s="3158">
        <f t="shared" si="9"/>
        <v>100</v>
      </c>
      <c r="T37" s="3159" t="s">
        <v>3282</v>
      </c>
      <c r="U37" s="3158">
        <f t="shared" si="10"/>
        <v>100</v>
      </c>
      <c r="V37" s="3159" t="s">
        <v>3282</v>
      </c>
      <c r="W37" s="3158">
        <f t="shared" si="11"/>
        <v>100</v>
      </c>
      <c r="X37" s="3157"/>
      <c r="Y37" s="3638"/>
      <c r="Z37" s="3156" t="str">
        <f t="shared" si="12"/>
        <v>成新度</v>
      </c>
      <c r="AA37" s="3155">
        <f t="shared" si="13"/>
        <v>1</v>
      </c>
      <c r="AB37" s="3155">
        <f t="shared" si="14"/>
        <v>1</v>
      </c>
      <c r="AC37" s="3154">
        <f t="shared" si="15"/>
        <v>1</v>
      </c>
    </row>
    <row r="38" spans="1:29" s="3051" customFormat="1" ht="15">
      <c r="A38" s="3186"/>
      <c r="B38" s="3190" t="s">
        <v>3288</v>
      </c>
      <c r="C38" s="3189"/>
      <c r="D38" s="3183">
        <v>100</v>
      </c>
      <c r="E38" s="3189"/>
      <c r="F38" s="3170">
        <f>SUMIF(113:113,E38,114:114)-SUMIF(113:113,C38,114:114)+100</f>
        <v>100</v>
      </c>
      <c r="G38" s="3189"/>
      <c r="H38" s="3169">
        <f>SUMIF(113:113,G38,114:114)-SUMIF(113:113,C38,114:114)+100</f>
        <v>100</v>
      </c>
      <c r="I38" s="3189"/>
      <c r="J38" s="3169">
        <f>SUMIF(113:113,I38,114:114)-SUMIF(113:113,C38,114:114)+100</f>
        <v>100</v>
      </c>
      <c r="K38" s="3187"/>
      <c r="L38" s="3182"/>
      <c r="M38" s="3181"/>
      <c r="N38" s="3181"/>
      <c r="O38" s="3181"/>
      <c r="P38" s="3636"/>
      <c r="Q38" s="3180" t="str">
        <f t="shared" si="8"/>
        <v>写字楼等级</v>
      </c>
      <c r="R38" s="3179" t="s">
        <v>3282</v>
      </c>
      <c r="S38" s="3178">
        <f t="shared" si="9"/>
        <v>100</v>
      </c>
      <c r="T38" s="3179" t="s">
        <v>3282</v>
      </c>
      <c r="U38" s="3178">
        <f t="shared" si="10"/>
        <v>100</v>
      </c>
      <c r="V38" s="3179" t="s">
        <v>3282</v>
      </c>
      <c r="W38" s="3178">
        <f t="shared" si="11"/>
        <v>100</v>
      </c>
      <c r="X38" s="3177"/>
      <c r="Y38" s="3638"/>
      <c r="Z38" s="3176" t="str">
        <f t="shared" si="12"/>
        <v>写字楼等级</v>
      </c>
      <c r="AA38" s="3175">
        <f t="shared" si="13"/>
        <v>1</v>
      </c>
      <c r="AB38" s="3175">
        <f t="shared" si="14"/>
        <v>1</v>
      </c>
      <c r="AC38" s="3174">
        <f t="shared" si="15"/>
        <v>1</v>
      </c>
    </row>
    <row r="39" spans="1:29" ht="15">
      <c r="A39" s="3173"/>
      <c r="B39" s="3190" t="s">
        <v>3287</v>
      </c>
      <c r="C39" s="3189"/>
      <c r="D39" s="3169">
        <v>100</v>
      </c>
      <c r="E39" s="3189"/>
      <c r="F39" s="3170">
        <f>SUMIF(115:115,E39,116:116)-SUMIF(115:115,C39,116:116)+100</f>
        <v>100</v>
      </c>
      <c r="G39" s="3189"/>
      <c r="H39" s="3169">
        <f>SUMIF(115:115,G39,116:116)-SUMIF(115:115,C39,116:116)+100</f>
        <v>100</v>
      </c>
      <c r="I39" s="3189"/>
      <c r="J39" s="3169">
        <f>SUMIF(115:115,I39,116:116)-SUMIF(115:115,C39,116:116)+100</f>
        <v>100</v>
      </c>
      <c r="K39" s="3187"/>
      <c r="L39" s="3161"/>
      <c r="M39" s="3127"/>
      <c r="N39" s="3127"/>
      <c r="O39" s="3127"/>
      <c r="P39" s="3636" t="s">
        <v>3286</v>
      </c>
      <c r="Q39" s="3160" t="str">
        <f t="shared" si="8"/>
        <v>物业管理</v>
      </c>
      <c r="R39" s="3159" t="s">
        <v>3282</v>
      </c>
      <c r="S39" s="3158">
        <f t="shared" si="9"/>
        <v>100</v>
      </c>
      <c r="T39" s="3159" t="s">
        <v>3282</v>
      </c>
      <c r="U39" s="3158">
        <f t="shared" si="10"/>
        <v>100</v>
      </c>
      <c r="V39" s="3159" t="s">
        <v>3282</v>
      </c>
      <c r="W39" s="3158">
        <f t="shared" si="11"/>
        <v>100</v>
      </c>
      <c r="X39" s="3157"/>
      <c r="Y39" s="3638" t="s">
        <v>3286</v>
      </c>
      <c r="Z39" s="3156" t="str">
        <f t="shared" si="12"/>
        <v>物业管理</v>
      </c>
      <c r="AA39" s="3155">
        <f t="shared" si="13"/>
        <v>1</v>
      </c>
      <c r="AB39" s="3155">
        <f t="shared" si="14"/>
        <v>1</v>
      </c>
      <c r="AC39" s="3154">
        <f t="shared" si="15"/>
        <v>1</v>
      </c>
    </row>
    <row r="40" spans="1:29" ht="15">
      <c r="A40" s="3173"/>
      <c r="B40" s="3190" t="s">
        <v>3285</v>
      </c>
      <c r="C40" s="3189"/>
      <c r="D40" s="3169">
        <v>100</v>
      </c>
      <c r="E40" s="3189"/>
      <c r="F40" s="3170">
        <f>SUMIF(117:117,E40,118:118)-SUMIF(117:117,C40,118:118)+100</f>
        <v>100</v>
      </c>
      <c r="G40" s="3189"/>
      <c r="H40" s="3169">
        <f>SUMIF(117:117,G40,118:118)-SUMIF(117:117,C40,118:118)+100</f>
        <v>100</v>
      </c>
      <c r="I40" s="3189"/>
      <c r="J40" s="3169">
        <f>SUMIF(117:117,I40,118:118)-SUMIF(117:117,C40,118:118)+100</f>
        <v>100</v>
      </c>
      <c r="K40" s="3187"/>
      <c r="L40" s="3161"/>
      <c r="M40" s="3127"/>
      <c r="N40" s="3127"/>
      <c r="O40" s="3127"/>
      <c r="P40" s="3636"/>
      <c r="Q40" s="3160" t="str">
        <f t="shared" si="8"/>
        <v>市政基础设施</v>
      </c>
      <c r="R40" s="3159" t="s">
        <v>3282</v>
      </c>
      <c r="S40" s="3158">
        <f t="shared" si="9"/>
        <v>100</v>
      </c>
      <c r="T40" s="3159" t="s">
        <v>3282</v>
      </c>
      <c r="U40" s="3158">
        <f t="shared" si="10"/>
        <v>100</v>
      </c>
      <c r="V40" s="3159" t="s">
        <v>3282</v>
      </c>
      <c r="W40" s="3158">
        <f t="shared" si="11"/>
        <v>100</v>
      </c>
      <c r="X40" s="3157"/>
      <c r="Y40" s="3638"/>
      <c r="Z40" s="3156" t="str">
        <f t="shared" si="12"/>
        <v>市政基础设施</v>
      </c>
      <c r="AA40" s="3155">
        <f t="shared" si="13"/>
        <v>1</v>
      </c>
      <c r="AB40" s="3155">
        <f t="shared" si="14"/>
        <v>1</v>
      </c>
      <c r="AC40" s="3154">
        <f t="shared" si="15"/>
        <v>1</v>
      </c>
    </row>
    <row r="41" spans="1:29" ht="15">
      <c r="A41" s="3173"/>
      <c r="B41" s="3190" t="s">
        <v>3284</v>
      </c>
      <c r="C41" s="3200"/>
      <c r="D41" s="3169">
        <v>100</v>
      </c>
      <c r="E41" s="3200"/>
      <c r="F41" s="3170">
        <f>SUMIF(119:119,E41,120:120)-SUMIF(119:119,C41,120:120)+100</f>
        <v>100</v>
      </c>
      <c r="G41" s="3200"/>
      <c r="H41" s="3169">
        <f>SUMIF(119:119,G41,120:120)-SUMIF(119:119,C41,120:120)+100</f>
        <v>100</v>
      </c>
      <c r="I41" s="3200"/>
      <c r="J41" s="3169">
        <f>SUMIF(119:119,I41,120:120)-SUMIF(119:119,C41,120:120)+100</f>
        <v>100</v>
      </c>
      <c r="K41" s="3187"/>
      <c r="L41" s="3161"/>
      <c r="M41" s="3127"/>
      <c r="N41" s="3127"/>
      <c r="O41" s="3127"/>
      <c r="P41" s="3636"/>
      <c r="Q41" s="3160" t="str">
        <f t="shared" si="8"/>
        <v>层高</v>
      </c>
      <c r="R41" s="3159" t="s">
        <v>3282</v>
      </c>
      <c r="S41" s="3158">
        <f t="shared" si="9"/>
        <v>100</v>
      </c>
      <c r="T41" s="3159" t="s">
        <v>3282</v>
      </c>
      <c r="U41" s="3158">
        <f t="shared" si="10"/>
        <v>100</v>
      </c>
      <c r="V41" s="3159" t="s">
        <v>3282</v>
      </c>
      <c r="W41" s="3158">
        <f t="shared" si="11"/>
        <v>100</v>
      </c>
      <c r="X41" s="3157"/>
      <c r="Y41" s="3638"/>
      <c r="Z41" s="3156" t="str">
        <f t="shared" si="12"/>
        <v>层高</v>
      </c>
      <c r="AA41" s="3155">
        <f t="shared" si="13"/>
        <v>1</v>
      </c>
      <c r="AB41" s="3155">
        <f t="shared" si="14"/>
        <v>1</v>
      </c>
      <c r="AC41" s="3154">
        <f t="shared" si="15"/>
        <v>1</v>
      </c>
    </row>
    <row r="42" spans="1:29" s="3002" customFormat="1" ht="15">
      <c r="A42" s="3199"/>
      <c r="B42" s="3198" t="s">
        <v>3283</v>
      </c>
      <c r="C42" s="3171"/>
      <c r="D42" s="3169">
        <v>100</v>
      </c>
      <c r="E42" s="3171"/>
      <c r="F42" s="3170">
        <f>SUMIF(121:121,E42,122:122)-SUMIF(121:121,C42,122:122)+100</f>
        <v>100</v>
      </c>
      <c r="G42" s="3171"/>
      <c r="H42" s="3169">
        <f>SUMIF(121:121,G42,122:122)-SUMIF(121:121,C42,122:122)+100</f>
        <v>100</v>
      </c>
      <c r="I42" s="3171"/>
      <c r="J42" s="3169">
        <f>SUMIF(121:121,I42,122:122)-SUMIF(121:121,C42,122:122)+100</f>
        <v>100</v>
      </c>
      <c r="K42" s="3162"/>
      <c r="L42" s="3197"/>
      <c r="M42" s="3196"/>
      <c r="N42" s="3196"/>
      <c r="O42" s="3196"/>
      <c r="P42" s="3636"/>
      <c r="Q42" s="3195" t="str">
        <f t="shared" si="8"/>
        <v>单套建筑面积</v>
      </c>
      <c r="R42" s="3194" t="s">
        <v>3282</v>
      </c>
      <c r="S42" s="3193">
        <f t="shared" si="9"/>
        <v>100</v>
      </c>
      <c r="T42" s="3194" t="s">
        <v>3282</v>
      </c>
      <c r="U42" s="3193">
        <f t="shared" si="10"/>
        <v>100</v>
      </c>
      <c r="V42" s="3194" t="s">
        <v>3282</v>
      </c>
      <c r="W42" s="3193">
        <f t="shared" si="11"/>
        <v>100</v>
      </c>
      <c r="X42" s="3192"/>
      <c r="Y42" s="3638"/>
      <c r="Z42" s="3191" t="str">
        <f t="shared" si="12"/>
        <v>单套建筑面积</v>
      </c>
      <c r="AA42" s="3155">
        <f t="shared" si="13"/>
        <v>1</v>
      </c>
      <c r="AB42" s="3155">
        <f t="shared" si="14"/>
        <v>1</v>
      </c>
      <c r="AC42" s="3154">
        <f t="shared" si="15"/>
        <v>1</v>
      </c>
    </row>
    <row r="43" spans="1:29" ht="15">
      <c r="A43" s="3173"/>
      <c r="B43" s="3190" t="s">
        <v>3231</v>
      </c>
      <c r="C43" s="3189" t="s">
        <v>3197</v>
      </c>
      <c r="D43" s="3169">
        <v>100</v>
      </c>
      <c r="E43" s="3189" t="s">
        <v>3281</v>
      </c>
      <c r="F43" s="3170">
        <f>SUMIF(123:123,E43,124:124)-SUMIF(123:123,C43,124:124)+100</f>
        <v>109</v>
      </c>
      <c r="G43" s="3189" t="s">
        <v>3197</v>
      </c>
      <c r="H43" s="3169">
        <f>SUMIF(123:123,G43,124:124)-SUMIF(123:123,C43,124:124)+100</f>
        <v>100</v>
      </c>
      <c r="I43" s="3189" t="s">
        <v>3197</v>
      </c>
      <c r="J43" s="3169">
        <f>SUMIF(123:123,I43,124:124)-SUMIF(123:123,C43,124:124)+100</f>
        <v>100</v>
      </c>
      <c r="K43" s="3187">
        <v>3</v>
      </c>
      <c r="L43" s="3161"/>
      <c r="M43" s="3127"/>
      <c r="N43" s="3127"/>
      <c r="O43" s="3127"/>
      <c r="P43" s="3636"/>
      <c r="Q43" s="3160" t="str">
        <f t="shared" si="8"/>
        <v>内部装修</v>
      </c>
      <c r="R43" s="3159" t="s">
        <v>3279</v>
      </c>
      <c r="S43" s="3158">
        <f t="shared" si="9"/>
        <v>109</v>
      </c>
      <c r="T43" s="3159" t="s">
        <v>3280</v>
      </c>
      <c r="U43" s="3158">
        <f t="shared" si="10"/>
        <v>100</v>
      </c>
      <c r="V43" s="3159" t="s">
        <v>3280</v>
      </c>
      <c r="W43" s="3158">
        <f t="shared" si="11"/>
        <v>100</v>
      </c>
      <c r="X43" s="3157"/>
      <c r="Y43" s="3638"/>
      <c r="Z43" s="3156" t="str">
        <f t="shared" si="12"/>
        <v>内部装修</v>
      </c>
      <c r="AA43" s="3155">
        <f t="shared" si="13"/>
        <v>0.91743119266055051</v>
      </c>
      <c r="AB43" s="3155">
        <f t="shared" si="14"/>
        <v>1</v>
      </c>
      <c r="AC43" s="3154">
        <f t="shared" si="15"/>
        <v>1</v>
      </c>
    </row>
    <row r="44" spans="1:29" ht="15.75" thickBot="1">
      <c r="A44" s="3173"/>
      <c r="B44" s="3190" t="s">
        <v>2572</v>
      </c>
      <c r="C44" s="3189"/>
      <c r="D44" s="3169">
        <v>100</v>
      </c>
      <c r="E44" s="3188"/>
      <c r="F44" s="3170">
        <f>SUMIF(125:125,E44,126:126)-SUMIF(125:125,C44,126:126)+100</f>
        <v>100</v>
      </c>
      <c r="G44" s="3188"/>
      <c r="H44" s="3169">
        <f>SUMIF(125:125,G44,126:126)-SUMIF(125:125,C44,126:126)+100</f>
        <v>100</v>
      </c>
      <c r="I44" s="3188"/>
      <c r="J44" s="3169">
        <f>SUMIF(125:125,I44,126:126)-SUMIF(125:125,C44,126:126)+100</f>
        <v>100</v>
      </c>
      <c r="K44" s="3187"/>
      <c r="L44" s="3161"/>
      <c r="M44" s="3127"/>
      <c r="N44" s="3127"/>
      <c r="O44" s="3127"/>
      <c r="P44" s="3636"/>
      <c r="Q44" s="3160" t="str">
        <f t="shared" si="8"/>
        <v>内部装修维护情况</v>
      </c>
      <c r="R44" s="3159" t="s">
        <v>3279</v>
      </c>
      <c r="S44" s="3158">
        <f t="shared" si="9"/>
        <v>100</v>
      </c>
      <c r="T44" s="3159" t="s">
        <v>3279</v>
      </c>
      <c r="U44" s="3158">
        <f t="shared" si="10"/>
        <v>100</v>
      </c>
      <c r="V44" s="3159" t="s">
        <v>3279</v>
      </c>
      <c r="W44" s="3158">
        <f t="shared" si="11"/>
        <v>100</v>
      </c>
      <c r="X44" s="3157"/>
      <c r="Y44" s="3638"/>
      <c r="Z44" s="3156" t="str">
        <f t="shared" si="12"/>
        <v>内部装修维护情况</v>
      </c>
      <c r="AA44" s="3155">
        <f t="shared" si="13"/>
        <v>1</v>
      </c>
      <c r="AB44" s="3155">
        <f t="shared" si="14"/>
        <v>1</v>
      </c>
      <c r="AC44" s="3154">
        <f t="shared" si="15"/>
        <v>1</v>
      </c>
    </row>
    <row r="45" spans="1:29" s="3051" customFormat="1" ht="15.75" hidden="1" thickBot="1">
      <c r="A45" s="3186"/>
      <c r="B45" s="3172">
        <v>111</v>
      </c>
      <c r="C45" s="3185"/>
      <c r="D45" s="3183">
        <v>100</v>
      </c>
      <c r="E45" s="3164"/>
      <c r="F45" s="3184">
        <f>SUMIF(127:127,E45,128:128)-SUMIF(127:127,C45,128:128)+100</f>
        <v>100</v>
      </c>
      <c r="G45" s="3164"/>
      <c r="H45" s="3183">
        <f>SUMIF(127:127,G45,128:128)-SUMIF(127:127,C45,128:128)+100</f>
        <v>100</v>
      </c>
      <c r="I45" s="3164"/>
      <c r="J45" s="3183">
        <f>SUMIF(127:127,I45,128:128)-SUMIF(127:127,C45,128:128)+100</f>
        <v>100</v>
      </c>
      <c r="K45" s="3162"/>
      <c r="L45" s="3182"/>
      <c r="M45" s="3181"/>
      <c r="N45" s="3181"/>
      <c r="O45" s="3181"/>
      <c r="P45" s="3636"/>
      <c r="Q45" s="3180">
        <f t="shared" si="8"/>
        <v>111</v>
      </c>
      <c r="R45" s="3179" t="s">
        <v>3280</v>
      </c>
      <c r="S45" s="3178">
        <f t="shared" si="9"/>
        <v>100</v>
      </c>
      <c r="T45" s="3179" t="s">
        <v>3279</v>
      </c>
      <c r="U45" s="3178">
        <f t="shared" si="10"/>
        <v>100</v>
      </c>
      <c r="V45" s="3179" t="s">
        <v>3279</v>
      </c>
      <c r="W45" s="3178">
        <f t="shared" si="11"/>
        <v>100</v>
      </c>
      <c r="X45" s="3177"/>
      <c r="Y45" s="3638"/>
      <c r="Z45" s="3176">
        <f t="shared" si="12"/>
        <v>111</v>
      </c>
      <c r="AA45" s="3175">
        <f t="shared" si="13"/>
        <v>1</v>
      </c>
      <c r="AB45" s="3175">
        <f t="shared" si="14"/>
        <v>1</v>
      </c>
      <c r="AC45" s="3174">
        <f t="shared" si="15"/>
        <v>1</v>
      </c>
    </row>
    <row r="46" spans="1:29" ht="15.75" hidden="1" thickBot="1">
      <c r="A46" s="3173"/>
      <c r="B46" s="3172">
        <v>111</v>
      </c>
      <c r="C46" s="3171"/>
      <c r="D46" s="3169">
        <v>100</v>
      </c>
      <c r="E46" s="3164"/>
      <c r="F46" s="3170">
        <f>SUMIF(129:129,E46,130:130)-SUMIF(129:129,C46,130:130)+100</f>
        <v>100</v>
      </c>
      <c r="G46" s="3164"/>
      <c r="H46" s="3169">
        <f>SUMIF(129:129,G46,130:130)-SUMIF(129:129,C46,130:130)+100</f>
        <v>100</v>
      </c>
      <c r="I46" s="3164"/>
      <c r="J46" s="3169">
        <f>SUMIF(129:129,I46,130:130)-SUMIF(129:129,C46,130:130)+100</f>
        <v>100</v>
      </c>
      <c r="K46" s="3162"/>
      <c r="L46" s="3161"/>
      <c r="M46" s="3127"/>
      <c r="N46" s="3127"/>
      <c r="O46" s="3127"/>
      <c r="P46" s="3636"/>
      <c r="Q46" s="3160">
        <f t="shared" si="8"/>
        <v>111</v>
      </c>
      <c r="R46" s="3159" t="s">
        <v>3279</v>
      </c>
      <c r="S46" s="3158">
        <f t="shared" si="9"/>
        <v>100</v>
      </c>
      <c r="T46" s="3159" t="s">
        <v>3280</v>
      </c>
      <c r="U46" s="3158">
        <f t="shared" si="10"/>
        <v>100</v>
      </c>
      <c r="V46" s="3159" t="s">
        <v>3279</v>
      </c>
      <c r="W46" s="3158">
        <f t="shared" si="11"/>
        <v>100</v>
      </c>
      <c r="X46" s="3157"/>
      <c r="Y46" s="3638"/>
      <c r="Z46" s="3156">
        <f t="shared" si="12"/>
        <v>111</v>
      </c>
      <c r="AA46" s="3155">
        <f t="shared" si="13"/>
        <v>1</v>
      </c>
      <c r="AB46" s="3155">
        <f t="shared" si="14"/>
        <v>1</v>
      </c>
      <c r="AC46" s="3154">
        <f t="shared" si="15"/>
        <v>1</v>
      </c>
    </row>
    <row r="47" spans="1:29" ht="15.75" hidden="1" thickBot="1">
      <c r="A47" s="3168"/>
      <c r="B47" s="3167">
        <v>111</v>
      </c>
      <c r="C47" s="3166"/>
      <c r="D47" s="3163">
        <v>100</v>
      </c>
      <c r="E47" s="3164"/>
      <c r="F47" s="3165">
        <f>SUMIF(131:131,E47,132:132)-SUMIF(131:131,C47,132:132)+100</f>
        <v>100</v>
      </c>
      <c r="G47" s="3164"/>
      <c r="H47" s="3163">
        <f>SUMIF(131:131,G47,132:132)-SUMIF(131:131,C47,132:132)+100</f>
        <v>100</v>
      </c>
      <c r="I47" s="3164"/>
      <c r="J47" s="3163">
        <f>SUMIF(131:131,I47,132:132)-SUMIF(131:131,C47,132:132)+100</f>
        <v>100</v>
      </c>
      <c r="K47" s="3162"/>
      <c r="L47" s="3161"/>
      <c r="M47" s="3127"/>
      <c r="N47" s="3127"/>
      <c r="O47" s="3127"/>
      <c r="P47" s="3637"/>
      <c r="Q47" s="3160">
        <f t="shared" si="8"/>
        <v>111</v>
      </c>
      <c r="R47" s="3159" t="s">
        <v>3278</v>
      </c>
      <c r="S47" s="3158">
        <f t="shared" si="9"/>
        <v>100</v>
      </c>
      <c r="T47" s="3159" t="s">
        <v>3278</v>
      </c>
      <c r="U47" s="3158">
        <f t="shared" si="10"/>
        <v>100</v>
      </c>
      <c r="V47" s="3159" t="s">
        <v>3278</v>
      </c>
      <c r="W47" s="3158">
        <f t="shared" si="11"/>
        <v>100</v>
      </c>
      <c r="X47" s="3157"/>
      <c r="Y47" s="3639"/>
      <c r="Z47" s="3156">
        <f t="shared" si="12"/>
        <v>111</v>
      </c>
      <c r="AA47" s="3155">
        <f t="shared" si="13"/>
        <v>1</v>
      </c>
      <c r="AB47" s="3155">
        <f t="shared" si="14"/>
        <v>1</v>
      </c>
      <c r="AC47" s="3154">
        <f t="shared" si="15"/>
        <v>1</v>
      </c>
    </row>
    <row r="48" spans="1:29" ht="15">
      <c r="A48" s="3153" t="s">
        <v>3277</v>
      </c>
      <c r="B48" s="3152"/>
      <c r="C48" s="3151" t="s">
        <v>3276</v>
      </c>
      <c r="D48" s="3150"/>
      <c r="E48" s="3146">
        <v>4.5</v>
      </c>
      <c r="F48" s="3149"/>
      <c r="G48" s="3148">
        <v>4.2</v>
      </c>
      <c r="H48" s="3147"/>
      <c r="I48" s="3146">
        <v>3.8</v>
      </c>
      <c r="J48" s="3145"/>
      <c r="K48" s="3144"/>
      <c r="L48" s="3128"/>
      <c r="M48" s="3127"/>
      <c r="N48" s="3127"/>
      <c r="O48" s="3127"/>
      <c r="P48" s="3625" t="str">
        <f>A48</f>
        <v>成交单价（元/平方米）</v>
      </c>
      <c r="Q48" s="3626"/>
      <c r="R48" s="3627">
        <f>E48</f>
        <v>4.5</v>
      </c>
      <c r="S48" s="3627"/>
      <c r="T48" s="3627">
        <f>G48</f>
        <v>4.2</v>
      </c>
      <c r="U48" s="3627"/>
      <c r="V48" s="3627">
        <f>I48</f>
        <v>3.8</v>
      </c>
      <c r="W48" s="3627"/>
      <c r="X48" s="3135"/>
      <c r="Y48" s="3143"/>
      <c r="Z48" s="3135"/>
      <c r="AA48" s="3135"/>
      <c r="AB48" s="3135"/>
      <c r="AC48" s="3134"/>
    </row>
    <row r="49" spans="1:29" ht="15.75" thickBot="1">
      <c r="A49" s="3142" t="s">
        <v>3275</v>
      </c>
      <c r="B49" s="3141"/>
      <c r="C49" s="3140">
        <f>R50</f>
        <v>3.9</v>
      </c>
      <c r="D49" s="3139"/>
      <c r="E49" s="3138">
        <f>R49</f>
        <v>4</v>
      </c>
      <c r="F49" s="3138"/>
      <c r="G49" s="3140">
        <f>T49</f>
        <v>3.9</v>
      </c>
      <c r="H49" s="3139"/>
      <c r="I49" s="3138">
        <f>V49</f>
        <v>3.7</v>
      </c>
      <c r="J49" s="3137"/>
      <c r="K49" s="3136"/>
      <c r="L49" s="3128"/>
      <c r="M49" s="3127"/>
      <c r="N49" s="3127"/>
      <c r="O49" s="3127"/>
      <c r="P49" s="3625" t="str">
        <f>A49</f>
        <v>比较价值（元/平方米）</v>
      </c>
      <c r="Q49" s="3626"/>
      <c r="R49" s="3627">
        <f>IF(F1="售价",ROUND(PRODUCT(R48,AA7:AA47),0),ROUND(PRODUCT(R48,AA7:AA47),1))</f>
        <v>4</v>
      </c>
      <c r="S49" s="3627"/>
      <c r="T49" s="3627">
        <f>IF(F1="售价",ROUND(PRODUCT(T48,AB7:AB47),0),ROUND(PRODUCT(T48,AB7:AB47),1))</f>
        <v>3.9</v>
      </c>
      <c r="U49" s="3627"/>
      <c r="V49" s="3627">
        <f>IF(F1="售价",ROUND(PRODUCT(V48,AC7:AC47),0),ROUND(PRODUCT(V48,AC7:AC47),1))</f>
        <v>3.7</v>
      </c>
      <c r="W49" s="3627"/>
      <c r="X49" s="3135"/>
      <c r="Y49" s="3135"/>
      <c r="Z49" s="3135"/>
      <c r="AA49" s="3135"/>
      <c r="AB49" s="3135"/>
      <c r="AC49" s="3134"/>
    </row>
    <row r="50" spans="1:29" ht="15.75" thickBot="1">
      <c r="A50" s="3133" t="s">
        <v>3274</v>
      </c>
      <c r="B50" s="3132"/>
      <c r="C50" s="3131">
        <f>R50</f>
        <v>3.9</v>
      </c>
      <c r="D50" s="3131"/>
      <c r="E50" s="3131"/>
      <c r="F50" s="3131"/>
      <c r="G50" s="3131"/>
      <c r="H50" s="3131"/>
      <c r="I50" s="3131"/>
      <c r="J50" s="3130"/>
      <c r="K50" s="3129"/>
      <c r="L50" s="3128"/>
      <c r="M50" s="3127"/>
      <c r="N50" s="3127"/>
      <c r="O50" s="3127"/>
      <c r="P50" s="3628" t="str">
        <f>A50</f>
        <v>估价对象XX用房的比较价值（楼面单价，元/平方米）</v>
      </c>
      <c r="Q50" s="3629"/>
      <c r="R50" s="3630">
        <f>IF(F1="售价",ROUND(AVERAGE(R49:V49),0),ROUND(AVERAGE(R49:V49),1))</f>
        <v>3.9</v>
      </c>
      <c r="S50" s="3630"/>
      <c r="T50" s="3630"/>
      <c r="U50" s="3630"/>
      <c r="V50" s="3630"/>
      <c r="W50" s="3630"/>
      <c r="X50" s="3126"/>
      <c r="Y50" s="3126"/>
      <c r="Z50" s="3126"/>
      <c r="AA50" s="3126"/>
      <c r="AB50" s="3126"/>
      <c r="AC50" s="3125"/>
    </row>
    <row r="51" spans="1:29">
      <c r="A51" s="3109"/>
      <c r="B51" s="3109"/>
      <c r="C51" s="3109"/>
      <c r="D51" s="3109"/>
      <c r="E51" s="3109"/>
      <c r="F51" s="3109"/>
      <c r="G51" s="3124"/>
      <c r="H51" s="3109"/>
      <c r="I51" s="3109"/>
      <c r="J51" s="3109"/>
      <c r="K51" s="3111"/>
      <c r="L51" s="3110"/>
      <c r="M51" s="3109"/>
      <c r="N51" s="3109"/>
      <c r="O51" s="3109"/>
    </row>
    <row r="52" spans="1:29">
      <c r="A52" s="3109"/>
      <c r="B52" s="3109"/>
      <c r="C52" s="3109"/>
      <c r="D52" s="3109"/>
      <c r="E52" s="3109"/>
      <c r="F52" s="3109"/>
      <c r="G52" s="3109"/>
      <c r="H52" s="3109"/>
      <c r="I52" s="3109"/>
      <c r="J52" s="3109"/>
      <c r="K52" s="3111"/>
      <c r="L52" s="3110"/>
      <c r="M52" s="3109"/>
      <c r="N52" s="3109"/>
      <c r="O52" s="3109"/>
    </row>
    <row r="53" spans="1:29" ht="13.5" customHeight="1">
      <c r="A53" s="3109"/>
      <c r="B53" s="3109"/>
      <c r="C53" s="3122" t="s">
        <v>3273</v>
      </c>
      <c r="D53" s="3123"/>
      <c r="E53" s="3120">
        <f>IF(E48&lt;E49,E49/E48-1,E48/E49-1)</f>
        <v>0.125</v>
      </c>
      <c r="F53" s="3119" t="str">
        <f>IF(OR(E53&gt;=0.3,E53&lt;=-0.3),"超过30%","")</f>
        <v/>
      </c>
      <c r="G53" s="3120">
        <f>IF(G48&lt;G49,G49/G48-1,G48/G49-1)</f>
        <v>7.6923076923077094E-2</v>
      </c>
      <c r="H53" s="3119" t="str">
        <f>IF(OR(G53&gt;=0.3,G53&lt;=-0.3),"超过30%","")</f>
        <v/>
      </c>
      <c r="I53" s="3120">
        <f>IF(I48&lt;I49,I49/I48-1,I48/I49-1)</f>
        <v>2.7027027027026973E-2</v>
      </c>
      <c r="J53" s="3119" t="str">
        <f>IF(OR(I53&gt;=0.3,I53&lt;=-0.3),"超过30%","")</f>
        <v/>
      </c>
      <c r="K53" s="3111"/>
      <c r="L53" s="3110"/>
      <c r="M53" s="3109"/>
      <c r="N53" s="3109"/>
      <c r="O53" s="3109"/>
    </row>
    <row r="54" spans="1:29" ht="13.5" customHeight="1">
      <c r="A54" s="3109"/>
      <c r="B54" s="3109"/>
      <c r="C54" s="3122" t="s">
        <v>3272</v>
      </c>
      <c r="D54" s="3121"/>
      <c r="E54" s="3120">
        <f>IF(E49&lt;G49,G49/E49-1,E49/G49-1)</f>
        <v>2.5641025641025772E-2</v>
      </c>
      <c r="F54" s="3119" t="str">
        <f>IF(OR(E54&gt;=0.2,E54&lt;=-0.2),"超过20%","")</f>
        <v/>
      </c>
      <c r="G54" s="3120">
        <f>IF(G49&lt;I49,I49/G49-1,G49/I49-1)</f>
        <v>5.4054054054053946E-2</v>
      </c>
      <c r="H54" s="3119" t="str">
        <f>IF(OR(G54&gt;=0.2,G54&lt;=-0.2),"超过20%","")</f>
        <v/>
      </c>
      <c r="I54" s="3120">
        <f>IF(I49&lt;E49,E49/I49-1,I49/E49-1)</f>
        <v>8.1081081081080919E-2</v>
      </c>
      <c r="J54" s="3119" t="str">
        <f>IF(OR(I54&gt;=0.2,I54&lt;=-0.2),"超过20%","")</f>
        <v/>
      </c>
      <c r="K54" s="3111"/>
      <c r="L54" s="3110"/>
      <c r="M54" s="3109"/>
      <c r="N54" s="3109"/>
      <c r="O54" s="3109"/>
    </row>
    <row r="55" spans="1:29" s="3114" customFormat="1" ht="13.5" customHeight="1">
      <c r="A55" s="3116"/>
      <c r="B55" s="3116"/>
      <c r="C55" s="3122" t="s">
        <v>3271</v>
      </c>
      <c r="D55" s="3121"/>
      <c r="E55" s="3120">
        <f>IF(E48&lt;G48,G48/E48-1,E48/G48-1)</f>
        <v>7.1428571428571397E-2</v>
      </c>
      <c r="F55" s="3119" t="str">
        <f>IF(OR(E55&gt;=0.3,E55&lt;=-0.3),"超过30%","")</f>
        <v/>
      </c>
      <c r="G55" s="3120">
        <f>IF(G48&lt;I48,I48/G48-1,G48/I48-1)</f>
        <v>0.10526315789473695</v>
      </c>
      <c r="H55" s="3119" t="str">
        <f>IF(OR(G55&gt;=0.3,G55&lt;=-0.3),"超过30%","")</f>
        <v/>
      </c>
      <c r="I55" s="3120">
        <f>IF(I48&lt;E48,E48/I48-1,I48/E48-1)</f>
        <v>0.1842105263157896</v>
      </c>
      <c r="J55" s="3119" t="str">
        <f>IF(OR(I55&gt;=0.3,I55&lt;=-0.3),"超过30%","")</f>
        <v/>
      </c>
      <c r="K55" s="3118"/>
      <c r="L55" s="3117"/>
      <c r="M55" s="3116"/>
      <c r="N55" s="3116"/>
      <c r="O55" s="3116"/>
      <c r="P55" s="3115"/>
    </row>
    <row r="56" spans="1:29" s="3114" customFormat="1">
      <c r="A56" s="3116"/>
      <c r="B56" s="3113"/>
      <c r="C56" s="3112"/>
      <c r="D56" s="3116"/>
      <c r="E56" s="3116"/>
      <c r="F56" s="3116"/>
      <c r="G56" s="3116"/>
      <c r="H56" s="3116"/>
      <c r="I56" s="3116"/>
      <c r="J56" s="3116"/>
      <c r="K56" s="3118"/>
      <c r="L56" s="3117"/>
      <c r="M56" s="3116"/>
      <c r="N56" s="3116"/>
      <c r="O56" s="3116"/>
      <c r="P56" s="3115"/>
    </row>
    <row r="57" spans="1:29">
      <c r="A57" s="3109"/>
      <c r="B57" s="3113"/>
      <c r="C57" s="3112"/>
      <c r="D57" s="3109"/>
      <c r="E57" s="3109"/>
      <c r="F57" s="3109"/>
      <c r="G57" s="3109"/>
      <c r="H57" s="3109"/>
      <c r="I57" s="3109"/>
      <c r="J57" s="3109"/>
      <c r="K57" s="3111"/>
      <c r="L57" s="3110"/>
      <c r="M57" s="3109"/>
      <c r="N57" s="3109"/>
      <c r="O57" s="3109"/>
    </row>
    <row r="58" spans="1:29" ht="21.75" thickBot="1">
      <c r="A58" s="3108" t="s">
        <v>2579</v>
      </c>
      <c r="B58" s="3107"/>
      <c r="C58" s="3105"/>
      <c r="D58" s="3105"/>
      <c r="E58" s="3105"/>
      <c r="F58" s="3106"/>
      <c r="G58" s="3106"/>
      <c r="H58" s="3105"/>
      <c r="I58" s="3105"/>
      <c r="J58" s="3105"/>
      <c r="K58" s="3104"/>
      <c r="L58" s="3103"/>
      <c r="M58" s="3102"/>
      <c r="N58" s="3102"/>
      <c r="O58" s="3102"/>
      <c r="P58" s="3101"/>
      <c r="Q58" s="2976"/>
    </row>
    <row r="59" spans="1:29" s="3095" customFormat="1" ht="15">
      <c r="A59" s="3100" t="s">
        <v>2544</v>
      </c>
      <c r="B59" s="3099"/>
      <c r="C59" s="3098" t="str">
        <f>YEAR(C7)&amp;"-"&amp;MONTH(C7)</f>
        <v>2017-12</v>
      </c>
      <c r="D59" s="3097">
        <f t="shared" ref="D59:O59" si="16">EDATE(C59,-1)</f>
        <v>43040</v>
      </c>
      <c r="E59" s="3097">
        <f t="shared" si="16"/>
        <v>43009</v>
      </c>
      <c r="F59" s="3097">
        <f t="shared" si="16"/>
        <v>42979</v>
      </c>
      <c r="G59" s="3097">
        <f t="shared" si="16"/>
        <v>42948</v>
      </c>
      <c r="H59" s="3097">
        <f t="shared" si="16"/>
        <v>42917</v>
      </c>
      <c r="I59" s="3097">
        <f t="shared" si="16"/>
        <v>42887</v>
      </c>
      <c r="J59" s="3097">
        <f t="shared" si="16"/>
        <v>42856</v>
      </c>
      <c r="K59" s="3097">
        <f t="shared" si="16"/>
        <v>42826</v>
      </c>
      <c r="L59" s="3097">
        <f t="shared" si="16"/>
        <v>42795</v>
      </c>
      <c r="M59" s="3097">
        <f t="shared" si="16"/>
        <v>42767</v>
      </c>
      <c r="N59" s="3097">
        <f t="shared" si="16"/>
        <v>42736</v>
      </c>
      <c r="O59" s="3097">
        <f t="shared" si="16"/>
        <v>42705</v>
      </c>
      <c r="P59" s="3096"/>
    </row>
    <row r="60" spans="1:29" s="3051" customFormat="1" ht="15">
      <c r="A60" s="3094"/>
      <c r="B60" s="3082"/>
      <c r="C60" s="3093">
        <v>100</v>
      </c>
      <c r="D60" s="3080"/>
      <c r="E60" s="3080"/>
      <c r="F60" s="3080"/>
      <c r="G60" s="3080"/>
      <c r="H60" s="3080"/>
      <c r="I60" s="3080"/>
      <c r="J60" s="3080"/>
      <c r="K60" s="3080"/>
      <c r="L60" s="3080"/>
      <c r="M60" s="3092"/>
      <c r="N60" s="3080"/>
      <c r="O60" s="3092"/>
      <c r="P60" s="3078"/>
    </row>
    <row r="61" spans="1:29" s="3051" customFormat="1" ht="15.75" thickBot="1">
      <c r="A61" s="3091" t="s">
        <v>3270</v>
      </c>
      <c r="B61" s="3090"/>
      <c r="C61" s="3089"/>
      <c r="D61" s="3088"/>
      <c r="E61" s="3088"/>
      <c r="F61" s="3088"/>
      <c r="G61" s="3088"/>
      <c r="H61" s="3088"/>
      <c r="I61" s="3088"/>
      <c r="J61" s="3088"/>
      <c r="K61" s="3088"/>
      <c r="L61" s="3088"/>
      <c r="M61" s="3087"/>
      <c r="N61" s="3088"/>
      <c r="O61" s="3087"/>
      <c r="P61" s="3078"/>
      <c r="Q61" s="2976"/>
    </row>
    <row r="62" spans="1:29" s="3051" customFormat="1" ht="15">
      <c r="A62" s="3083" t="s">
        <v>2546</v>
      </c>
      <c r="B62" s="3082"/>
      <c r="C62" s="3086" t="s">
        <v>3269</v>
      </c>
      <c r="D62" s="2987"/>
      <c r="E62" s="2987"/>
      <c r="F62" s="2987"/>
      <c r="G62" s="2987"/>
      <c r="H62" s="2987"/>
      <c r="I62" s="2987"/>
      <c r="J62" s="2987"/>
      <c r="K62" s="2987"/>
      <c r="L62" s="2986"/>
      <c r="M62" s="3085"/>
      <c r="N62" s="3039"/>
      <c r="O62" s="3039"/>
      <c r="P62" s="3084"/>
      <c r="Q62" s="2976"/>
    </row>
    <row r="63" spans="1:29" s="3051" customFormat="1" ht="15.75" thickBot="1">
      <c r="A63" s="3083"/>
      <c r="B63" s="3082"/>
      <c r="C63" s="3081">
        <v>100</v>
      </c>
      <c r="D63" s="3080"/>
      <c r="E63" s="3080"/>
      <c r="F63" s="3080"/>
      <c r="G63" s="3080"/>
      <c r="H63" s="3080"/>
      <c r="I63" s="3080"/>
      <c r="J63" s="3080"/>
      <c r="K63" s="3080"/>
      <c r="L63" s="3080"/>
      <c r="M63" s="3079"/>
      <c r="N63" s="3039"/>
      <c r="O63" s="3039"/>
      <c r="P63" s="3078"/>
      <c r="Q63" s="2976"/>
    </row>
    <row r="64" spans="1:29">
      <c r="A64" s="3046" t="s">
        <v>2584</v>
      </c>
      <c r="B64" s="3045" t="s">
        <v>3268</v>
      </c>
      <c r="C64" s="3061">
        <f>C9</f>
        <v>0</v>
      </c>
      <c r="D64" s="3044"/>
      <c r="E64" s="3044"/>
      <c r="F64" s="3044"/>
      <c r="G64" s="3044"/>
      <c r="H64" s="3044"/>
      <c r="I64" s="3044"/>
      <c r="J64" s="3044"/>
      <c r="K64" s="3043"/>
      <c r="L64" s="3042"/>
      <c r="M64" s="3041"/>
      <c r="N64" s="2984"/>
      <c r="O64" s="2984"/>
      <c r="P64" s="2977"/>
      <c r="Q64" s="2976"/>
    </row>
    <row r="65" spans="1:17" ht="15.75" thickBot="1">
      <c r="A65" s="2995"/>
      <c r="B65" s="3022"/>
      <c r="C65" s="2992">
        <v>100</v>
      </c>
      <c r="D65" s="2992"/>
      <c r="E65" s="2992"/>
      <c r="F65" s="2992"/>
      <c r="G65" s="2992"/>
      <c r="H65" s="2992"/>
      <c r="I65" s="2992"/>
      <c r="J65" s="2992"/>
      <c r="K65" s="2992"/>
      <c r="L65" s="2992"/>
      <c r="M65" s="2991"/>
      <c r="N65" s="2978"/>
      <c r="O65" s="2978"/>
      <c r="P65" s="2977"/>
      <c r="Q65" s="2976"/>
    </row>
    <row r="66" spans="1:17" ht="27.75" thickTop="1">
      <c r="A66" s="2995"/>
      <c r="B66" s="3001" t="s">
        <v>3267</v>
      </c>
      <c r="C66" s="3018" t="s">
        <v>3266</v>
      </c>
      <c r="D66" s="3018" t="s">
        <v>3265</v>
      </c>
      <c r="E66" s="3018" t="s">
        <v>3264</v>
      </c>
      <c r="F66" s="3018" t="s">
        <v>3263</v>
      </c>
      <c r="G66" s="3018" t="s">
        <v>3262</v>
      </c>
      <c r="H66" s="3018" t="s">
        <v>3261</v>
      </c>
      <c r="I66" s="3018" t="s">
        <v>3260</v>
      </c>
      <c r="J66" s="3018"/>
      <c r="K66" s="3017"/>
      <c r="L66" s="3016"/>
      <c r="M66" s="3015"/>
      <c r="N66" s="2984"/>
      <c r="O66" s="2984"/>
      <c r="P66" s="2977"/>
      <c r="Q66" s="2976"/>
    </row>
    <row r="67" spans="1:17" ht="15.75" thickBot="1">
      <c r="A67" s="2995"/>
      <c r="B67" s="2994"/>
      <c r="C67" s="3014" t="s">
        <v>3259</v>
      </c>
      <c r="D67" s="3014" t="s">
        <v>3259</v>
      </c>
      <c r="E67" s="3014">
        <v>100</v>
      </c>
      <c r="F67" s="3014">
        <f>E67-$K10</f>
        <v>100</v>
      </c>
      <c r="G67" s="3014">
        <f>F67-$K10</f>
        <v>100</v>
      </c>
      <c r="H67" s="3014">
        <f>G67-$K10</f>
        <v>100</v>
      </c>
      <c r="I67" s="3014">
        <f>H67-$K10</f>
        <v>100</v>
      </c>
      <c r="J67" s="3014"/>
      <c r="K67" s="3014"/>
      <c r="L67" s="3014"/>
      <c r="M67" s="3013"/>
      <c r="N67" s="2978"/>
      <c r="O67" s="2978"/>
      <c r="P67" s="2977"/>
      <c r="Q67" s="2976"/>
    </row>
    <row r="68" spans="1:17" ht="15.75" thickTop="1">
      <c r="A68" s="2995"/>
      <c r="B68" s="2989" t="s">
        <v>3258</v>
      </c>
      <c r="C68" s="3077" t="str">
        <f t="shared" ref="C68:L68" si="17">C69&amp;"（含）"&amp;"-"&amp;D69</f>
        <v>0（含）-1</v>
      </c>
      <c r="D68" s="3077" t="str">
        <f t="shared" si="17"/>
        <v>1（含）-2</v>
      </c>
      <c r="E68" s="3077" t="str">
        <f t="shared" si="17"/>
        <v>2（含）-3</v>
      </c>
      <c r="F68" s="3077" t="str">
        <f t="shared" si="17"/>
        <v>3（含）-4</v>
      </c>
      <c r="G68" s="3077" t="str">
        <f t="shared" si="17"/>
        <v>4（含）-5</v>
      </c>
      <c r="H68" s="3077" t="str">
        <f t="shared" si="17"/>
        <v>5（含）-6</v>
      </c>
      <c r="I68" s="3077" t="str">
        <f t="shared" si="17"/>
        <v>6（含）-7</v>
      </c>
      <c r="J68" s="3077" t="str">
        <f t="shared" si="17"/>
        <v>7（含）-8</v>
      </c>
      <c r="K68" s="3077" t="str">
        <f t="shared" si="17"/>
        <v>8（含）-9</v>
      </c>
      <c r="L68" s="3077" t="str">
        <f t="shared" si="17"/>
        <v>9（含）-10</v>
      </c>
      <c r="M68" s="3076" t="str">
        <f>M69&amp;"（含）"&amp;"-"&amp;P69</f>
        <v>10（含）-</v>
      </c>
      <c r="N68" s="2978"/>
      <c r="O68" s="2978"/>
      <c r="P68" s="2977"/>
      <c r="Q68" s="2976"/>
    </row>
    <row r="69" spans="1:17" ht="15">
      <c r="A69" s="2995"/>
      <c r="B69" s="3075"/>
      <c r="C69" s="3074">
        <v>0</v>
      </c>
      <c r="D69" s="3074">
        <v>1</v>
      </c>
      <c r="E69" s="3074">
        <v>2</v>
      </c>
      <c r="F69" s="3074">
        <v>3</v>
      </c>
      <c r="G69" s="3074">
        <v>4</v>
      </c>
      <c r="H69" s="3074">
        <v>5</v>
      </c>
      <c r="I69" s="3074">
        <v>6</v>
      </c>
      <c r="J69" s="3074">
        <v>7</v>
      </c>
      <c r="K69" s="3073">
        <v>8</v>
      </c>
      <c r="L69" s="3073">
        <v>9</v>
      </c>
      <c r="M69" s="3072">
        <v>10</v>
      </c>
      <c r="N69" s="2984"/>
      <c r="O69" s="2984"/>
      <c r="P69" s="2977"/>
      <c r="Q69" s="2976"/>
    </row>
    <row r="70" spans="1:17" ht="15.75" thickBot="1">
      <c r="A70" s="2995"/>
      <c r="B70" s="3022"/>
      <c r="C70" s="3014">
        <v>100</v>
      </c>
      <c r="D70" s="3014">
        <f t="shared" ref="D70:M70" si="18">C70-$K11</f>
        <v>100</v>
      </c>
      <c r="E70" s="3014">
        <f t="shared" si="18"/>
        <v>100</v>
      </c>
      <c r="F70" s="3014">
        <f t="shared" si="18"/>
        <v>100</v>
      </c>
      <c r="G70" s="3014">
        <f t="shared" si="18"/>
        <v>100</v>
      </c>
      <c r="H70" s="3014">
        <f t="shared" si="18"/>
        <v>100</v>
      </c>
      <c r="I70" s="3014">
        <f t="shared" si="18"/>
        <v>100</v>
      </c>
      <c r="J70" s="3014">
        <f t="shared" si="18"/>
        <v>100</v>
      </c>
      <c r="K70" s="3014">
        <f t="shared" si="18"/>
        <v>100</v>
      </c>
      <c r="L70" s="3014">
        <f t="shared" si="18"/>
        <v>100</v>
      </c>
      <c r="M70" s="3013">
        <f t="shared" si="18"/>
        <v>100</v>
      </c>
      <c r="N70" s="2978"/>
      <c r="O70" s="2978"/>
      <c r="P70" s="2977"/>
      <c r="Q70" s="2976"/>
    </row>
    <row r="71" spans="1:17" s="3002" customFormat="1" ht="15.75" thickTop="1">
      <c r="A71" s="3008"/>
      <c r="B71" s="3001">
        <f>B12</f>
        <v>111</v>
      </c>
      <c r="C71" s="3000"/>
      <c r="D71" s="3000"/>
      <c r="E71" s="3000"/>
      <c r="F71" s="3000"/>
      <c r="G71" s="3000"/>
      <c r="H71" s="3011"/>
      <c r="I71" s="3011"/>
      <c r="J71" s="3011"/>
      <c r="K71" s="3011"/>
      <c r="L71" s="3010"/>
      <c r="M71" s="3009"/>
      <c r="N71" s="3005"/>
      <c r="O71" s="3005"/>
      <c r="P71" s="3004"/>
      <c r="Q71" s="3003"/>
    </row>
    <row r="72" spans="1:17" s="3002" customFormat="1" ht="15.75" thickBot="1">
      <c r="A72" s="3008"/>
      <c r="B72" s="2994"/>
      <c r="C72" s="2993"/>
      <c r="D72" s="2992"/>
      <c r="E72" s="2992"/>
      <c r="F72" s="2992"/>
      <c r="G72" s="2992"/>
      <c r="H72" s="2992"/>
      <c r="I72" s="2992"/>
      <c r="J72" s="2992"/>
      <c r="K72" s="2992"/>
      <c r="L72" s="2992"/>
      <c r="M72" s="2991"/>
      <c r="N72" s="2978"/>
      <c r="O72" s="2978"/>
      <c r="P72" s="3004"/>
      <c r="Q72" s="3003"/>
    </row>
    <row r="73" spans="1:17" s="3002" customFormat="1" ht="15.75" thickTop="1">
      <c r="A73" s="3008"/>
      <c r="B73" s="3001">
        <f>B13</f>
        <v>111</v>
      </c>
      <c r="C73" s="3000"/>
      <c r="D73" s="3000"/>
      <c r="E73" s="3000"/>
      <c r="F73" s="3000"/>
      <c r="G73" s="3000"/>
      <c r="H73" s="3011"/>
      <c r="I73" s="3011"/>
      <c r="J73" s="3011"/>
      <c r="K73" s="3011"/>
      <c r="L73" s="3010"/>
      <c r="M73" s="3009"/>
      <c r="N73" s="3005"/>
      <c r="O73" s="3005"/>
      <c r="P73" s="3071"/>
      <c r="Q73" s="3070"/>
    </row>
    <row r="74" spans="1:17" s="3002" customFormat="1" ht="15.75" thickBot="1">
      <c r="A74" s="3008"/>
      <c r="B74" s="2994"/>
      <c r="C74" s="2993"/>
      <c r="D74" s="2993"/>
      <c r="E74" s="2993"/>
      <c r="F74" s="2993"/>
      <c r="G74" s="2993"/>
      <c r="H74" s="3007"/>
      <c r="I74" s="3007"/>
      <c r="J74" s="3007"/>
      <c r="K74" s="3007"/>
      <c r="L74" s="3007"/>
      <c r="M74" s="3006"/>
      <c r="N74" s="3005"/>
      <c r="O74" s="3005"/>
      <c r="P74" s="3004"/>
      <c r="Q74" s="3003"/>
    </row>
    <row r="75" spans="1:17" s="3002" customFormat="1" ht="15.75" thickTop="1">
      <c r="A75" s="3008"/>
      <c r="B75" s="2989">
        <f>B14</f>
        <v>111</v>
      </c>
      <c r="C75" s="2987"/>
      <c r="D75" s="2987"/>
      <c r="E75" s="2987"/>
      <c r="F75" s="2987"/>
      <c r="G75" s="2987"/>
      <c r="H75" s="3069"/>
      <c r="I75" s="3069"/>
      <c r="J75" s="3069"/>
      <c r="K75" s="3069"/>
      <c r="L75" s="3068"/>
      <c r="M75" s="3067"/>
      <c r="N75" s="3005"/>
      <c r="O75" s="3005"/>
      <c r="P75" s="3066"/>
      <c r="Q75" s="3003"/>
    </row>
    <row r="76" spans="1:17" s="3002" customFormat="1" ht="15.75" thickBot="1">
      <c r="A76" s="3065"/>
      <c r="B76" s="2982"/>
      <c r="C76" s="2981"/>
      <c r="D76" s="2981"/>
      <c r="E76" s="2981"/>
      <c r="F76" s="2981"/>
      <c r="G76" s="2981"/>
      <c r="H76" s="3064"/>
      <c r="I76" s="3064"/>
      <c r="J76" s="3064"/>
      <c r="K76" s="3064"/>
      <c r="L76" s="3064"/>
      <c r="M76" s="3063"/>
      <c r="N76" s="3005"/>
      <c r="O76" s="3005"/>
      <c r="P76" s="3004"/>
      <c r="Q76" s="3003"/>
    </row>
    <row r="77" spans="1:17">
      <c r="A77" s="3046" t="s">
        <v>3257</v>
      </c>
      <c r="B77" s="3045" t="s">
        <v>3256</v>
      </c>
      <c r="C77" s="3062" t="s">
        <v>3225</v>
      </c>
      <c r="D77" s="3062" t="s">
        <v>3253</v>
      </c>
      <c r="E77" s="3062" t="s">
        <v>3252</v>
      </c>
      <c r="F77" s="3062" t="s">
        <v>3251</v>
      </c>
      <c r="G77" s="3062" t="s">
        <v>3250</v>
      </c>
      <c r="H77" s="3061"/>
      <c r="I77" s="3061"/>
      <c r="J77" s="3061"/>
      <c r="K77" s="3060"/>
      <c r="L77" s="3059"/>
      <c r="M77" s="3058"/>
      <c r="N77" s="2984"/>
      <c r="O77" s="2984"/>
      <c r="P77" s="3057"/>
      <c r="Q77" s="2976"/>
    </row>
    <row r="78" spans="1:17" ht="15.75" thickBot="1">
      <c r="A78" s="2995"/>
      <c r="B78" s="2994"/>
      <c r="C78" s="3014">
        <v>100</v>
      </c>
      <c r="D78" s="3014">
        <f>C78-$K15</f>
        <v>100</v>
      </c>
      <c r="E78" s="3014">
        <f>D78-$K15</f>
        <v>100</v>
      </c>
      <c r="F78" s="3014">
        <f>E78-$K15</f>
        <v>100</v>
      </c>
      <c r="G78" s="3014">
        <f>F78-$K15</f>
        <v>100</v>
      </c>
      <c r="H78" s="3014"/>
      <c r="I78" s="3014"/>
      <c r="J78" s="3014"/>
      <c r="K78" s="3014"/>
      <c r="L78" s="3014"/>
      <c r="M78" s="3013"/>
      <c r="N78" s="2978"/>
      <c r="O78" s="2978"/>
      <c r="P78" s="2977"/>
      <c r="Q78" s="2976"/>
    </row>
    <row r="79" spans="1:17" ht="15.75" thickTop="1">
      <c r="A79" s="2995"/>
      <c r="B79" s="3001" t="s">
        <v>3255</v>
      </c>
      <c r="C79" s="3019" t="s">
        <v>3225</v>
      </c>
      <c r="D79" s="3019" t="s">
        <v>3253</v>
      </c>
      <c r="E79" s="3019" t="s">
        <v>3252</v>
      </c>
      <c r="F79" s="3019" t="s">
        <v>3251</v>
      </c>
      <c r="G79" s="3019" t="s">
        <v>3250</v>
      </c>
      <c r="H79" s="3018"/>
      <c r="I79" s="3018"/>
      <c r="J79" s="3018"/>
      <c r="K79" s="3017"/>
      <c r="L79" s="3016"/>
      <c r="M79" s="3015"/>
      <c r="N79" s="2984"/>
      <c r="O79" s="2984"/>
      <c r="P79" s="2977"/>
      <c r="Q79" s="2976"/>
    </row>
    <row r="80" spans="1:17" ht="15.75" thickBot="1">
      <c r="A80" s="2995"/>
      <c r="B80" s="2994"/>
      <c r="C80" s="3014">
        <v>100</v>
      </c>
      <c r="D80" s="3014">
        <f>C80-$K17</f>
        <v>100</v>
      </c>
      <c r="E80" s="3014">
        <f>D80-$K17</f>
        <v>100</v>
      </c>
      <c r="F80" s="3014">
        <f>E80-$K17</f>
        <v>100</v>
      </c>
      <c r="G80" s="3014">
        <f>F80-$K17</f>
        <v>100</v>
      </c>
      <c r="H80" s="3014"/>
      <c r="I80" s="3014"/>
      <c r="J80" s="3014"/>
      <c r="K80" s="3014"/>
      <c r="L80" s="3014"/>
      <c r="M80" s="3013"/>
      <c r="N80" s="2978"/>
      <c r="O80" s="2978"/>
      <c r="P80" s="2977"/>
      <c r="Q80" s="2976"/>
    </row>
    <row r="81" spans="1:17" ht="15.75" thickTop="1">
      <c r="A81" s="2995"/>
      <c r="B81" s="3001" t="s">
        <v>3254</v>
      </c>
      <c r="C81" s="3019" t="s">
        <v>3225</v>
      </c>
      <c r="D81" s="3019" t="s">
        <v>3253</v>
      </c>
      <c r="E81" s="3019" t="s">
        <v>3252</v>
      </c>
      <c r="F81" s="3019" t="s">
        <v>3251</v>
      </c>
      <c r="G81" s="3019" t="s">
        <v>3250</v>
      </c>
      <c r="H81" s="3018"/>
      <c r="I81" s="3018"/>
      <c r="J81" s="3018"/>
      <c r="K81" s="3017"/>
      <c r="L81" s="3016"/>
      <c r="M81" s="3015"/>
      <c r="N81" s="2984"/>
      <c r="O81" s="2984"/>
      <c r="P81" s="2977"/>
      <c r="Q81" s="2976"/>
    </row>
    <row r="82" spans="1:17" ht="15.75" thickBot="1">
      <c r="A82" s="2995"/>
      <c r="B82" s="2994"/>
      <c r="C82" s="3014">
        <v>100</v>
      </c>
      <c r="D82" s="3014">
        <f>C82-$K19</f>
        <v>100</v>
      </c>
      <c r="E82" s="3014">
        <f>D82-$K19</f>
        <v>100</v>
      </c>
      <c r="F82" s="3014">
        <f>E82-$K19</f>
        <v>100</v>
      </c>
      <c r="G82" s="3014">
        <f>F82-$K19</f>
        <v>100</v>
      </c>
      <c r="H82" s="3014"/>
      <c r="I82" s="3014"/>
      <c r="J82" s="3014"/>
      <c r="K82" s="3014"/>
      <c r="L82" s="3014"/>
      <c r="M82" s="3013"/>
      <c r="N82" s="2978"/>
      <c r="O82" s="2978"/>
      <c r="P82" s="2977"/>
      <c r="Q82" s="2976"/>
    </row>
    <row r="83" spans="1:17" ht="15.75" thickTop="1">
      <c r="A83" s="2995"/>
      <c r="B83" s="2989" t="s">
        <v>3249</v>
      </c>
      <c r="C83" s="3055" t="s">
        <v>3248</v>
      </c>
      <c r="D83" s="3055" t="s">
        <v>3247</v>
      </c>
      <c r="E83" s="3055" t="s">
        <v>3246</v>
      </c>
      <c r="F83" s="3055" t="s">
        <v>3245</v>
      </c>
      <c r="G83" s="3055" t="s">
        <v>3244</v>
      </c>
      <c r="H83" s="3018"/>
      <c r="I83" s="3018"/>
      <c r="J83" s="3018"/>
      <c r="K83" s="3018"/>
      <c r="L83" s="3018"/>
      <c r="M83" s="3056"/>
      <c r="N83" s="2978"/>
      <c r="O83" s="2978"/>
      <c r="P83" s="2977"/>
      <c r="Q83" s="2976"/>
    </row>
    <row r="84" spans="1:17" ht="15.75" thickBot="1">
      <c r="A84" s="2995"/>
      <c r="B84" s="2989"/>
      <c r="C84" s="3014">
        <v>100</v>
      </c>
      <c r="D84" s="3014">
        <f>C84-$K21</f>
        <v>100</v>
      </c>
      <c r="E84" s="3014">
        <f>D84-$K21</f>
        <v>100</v>
      </c>
      <c r="F84" s="3014">
        <f>E84-$K21</f>
        <v>100</v>
      </c>
      <c r="G84" s="3014">
        <f>F84-$K21</f>
        <v>100</v>
      </c>
      <c r="H84" s="3055"/>
      <c r="I84" s="3055"/>
      <c r="J84" s="3055"/>
      <c r="K84" s="3055"/>
      <c r="L84" s="3055"/>
      <c r="M84" s="3054"/>
      <c r="N84" s="2978"/>
      <c r="O84" s="2978"/>
      <c r="P84" s="2977"/>
      <c r="Q84" s="2976"/>
    </row>
    <row r="85" spans="1:17" ht="15.75" thickTop="1">
      <c r="A85" s="2995"/>
      <c r="B85" s="3001" t="s">
        <v>2694</v>
      </c>
      <c r="C85" s="3019" t="s">
        <v>3243</v>
      </c>
      <c r="D85" s="3019" t="s">
        <v>3242</v>
      </c>
      <c r="E85" s="3019" t="s">
        <v>3241</v>
      </c>
      <c r="F85" s="3019" t="s">
        <v>3240</v>
      </c>
      <c r="G85" s="3019" t="s">
        <v>3239</v>
      </c>
      <c r="H85" s="3018"/>
      <c r="I85" s="3018"/>
      <c r="J85" s="3018"/>
      <c r="K85" s="3017"/>
      <c r="L85" s="3016"/>
      <c r="M85" s="3015"/>
      <c r="N85" s="2984"/>
      <c r="O85" s="2984"/>
      <c r="P85" s="2977"/>
      <c r="Q85" s="2976"/>
    </row>
    <row r="86" spans="1:17" ht="15.75" thickBot="1">
      <c r="A86" s="2995"/>
      <c r="B86" s="2994"/>
      <c r="C86" s="3014">
        <v>100</v>
      </c>
      <c r="D86" s="3014">
        <f>C86-$K23</f>
        <v>100</v>
      </c>
      <c r="E86" s="3014">
        <f>D86-$K23</f>
        <v>100</v>
      </c>
      <c r="F86" s="3014">
        <f>E86-$K23</f>
        <v>100</v>
      </c>
      <c r="G86" s="3014">
        <f>F86-$K23</f>
        <v>100</v>
      </c>
      <c r="H86" s="3014"/>
      <c r="I86" s="3014"/>
      <c r="J86" s="3014"/>
      <c r="K86" s="3014"/>
      <c r="L86" s="3014"/>
      <c r="M86" s="3013"/>
      <c r="N86" s="2978"/>
      <c r="O86" s="2978"/>
      <c r="P86" s="2977"/>
      <c r="Q86" s="2976"/>
    </row>
    <row r="87" spans="1:17" s="3051" customFormat="1" ht="27.75" thickTop="1">
      <c r="A87" s="3052"/>
      <c r="B87" s="3001" t="s">
        <v>3238</v>
      </c>
      <c r="C87" s="3000"/>
      <c r="D87" s="3000"/>
      <c r="E87" s="3000"/>
      <c r="F87" s="3000"/>
      <c r="G87" s="3000"/>
      <c r="H87" s="3000"/>
      <c r="I87" s="3000"/>
      <c r="J87" s="3000"/>
      <c r="K87" s="3000"/>
      <c r="L87" s="3050"/>
      <c r="M87" s="3049"/>
      <c r="N87" s="3039"/>
      <c r="O87" s="3039"/>
      <c r="P87" s="2977"/>
      <c r="Q87" s="2976"/>
    </row>
    <row r="88" spans="1:17" s="3051" customFormat="1" ht="15.75" thickBot="1">
      <c r="A88" s="3052"/>
      <c r="B88" s="2994"/>
      <c r="C88" s="3023">
        <v>100</v>
      </c>
      <c r="D88" s="3014">
        <f t="shared" ref="D88:M88" si="19">C88-$K25</f>
        <v>100</v>
      </c>
      <c r="E88" s="3014">
        <f t="shared" si="19"/>
        <v>100</v>
      </c>
      <c r="F88" s="3014">
        <f t="shared" si="19"/>
        <v>100</v>
      </c>
      <c r="G88" s="3014">
        <f t="shared" si="19"/>
        <v>100</v>
      </c>
      <c r="H88" s="3014">
        <f t="shared" si="19"/>
        <v>100</v>
      </c>
      <c r="I88" s="3014">
        <f t="shared" si="19"/>
        <v>100</v>
      </c>
      <c r="J88" s="3014">
        <f t="shared" si="19"/>
        <v>100</v>
      </c>
      <c r="K88" s="3014">
        <f t="shared" si="19"/>
        <v>100</v>
      </c>
      <c r="L88" s="3014">
        <f t="shared" si="19"/>
        <v>100</v>
      </c>
      <c r="M88" s="3014">
        <f t="shared" si="19"/>
        <v>100</v>
      </c>
      <c r="N88" s="2978"/>
      <c r="O88" s="2978"/>
      <c r="P88" s="2977"/>
      <c r="Q88" s="2976"/>
    </row>
    <row r="89" spans="1:17" s="3051" customFormat="1" ht="15.75" thickTop="1">
      <c r="A89" s="3052"/>
      <c r="B89" s="3001" t="str">
        <f>B27</f>
        <v>楼层</v>
      </c>
      <c r="C89" s="3021" t="s">
        <v>3237</v>
      </c>
      <c r="D89" s="3021" t="s">
        <v>3236</v>
      </c>
      <c r="E89" s="3021" t="s">
        <v>3235</v>
      </c>
      <c r="F89" s="3053"/>
      <c r="G89" s="3000"/>
      <c r="H89" s="3000"/>
      <c r="I89" s="3000"/>
      <c r="J89" s="3000"/>
      <c r="K89" s="3000"/>
      <c r="L89" s="3000"/>
      <c r="M89" s="3049"/>
      <c r="N89" s="3039"/>
      <c r="O89" s="3039"/>
      <c r="P89" s="2977"/>
      <c r="Q89" s="2976"/>
    </row>
    <row r="90" spans="1:17" s="3051" customFormat="1" ht="15.75" thickBot="1">
      <c r="A90" s="3052"/>
      <c r="B90" s="2994"/>
      <c r="C90" s="3023">
        <v>100</v>
      </c>
      <c r="D90" s="3014">
        <f t="shared" ref="D90:M90" si="20">C90-$K27</f>
        <v>97</v>
      </c>
      <c r="E90" s="3014">
        <f t="shared" si="20"/>
        <v>94</v>
      </c>
      <c r="F90" s="3014">
        <f t="shared" si="20"/>
        <v>91</v>
      </c>
      <c r="G90" s="3014">
        <f t="shared" si="20"/>
        <v>88</v>
      </c>
      <c r="H90" s="3014">
        <f t="shared" si="20"/>
        <v>85</v>
      </c>
      <c r="I90" s="3014">
        <f t="shared" si="20"/>
        <v>82</v>
      </c>
      <c r="J90" s="3014">
        <f t="shared" si="20"/>
        <v>79</v>
      </c>
      <c r="K90" s="3014">
        <f t="shared" si="20"/>
        <v>76</v>
      </c>
      <c r="L90" s="3014">
        <f t="shared" si="20"/>
        <v>73</v>
      </c>
      <c r="M90" s="3014">
        <f t="shared" si="20"/>
        <v>70</v>
      </c>
      <c r="N90" s="2978"/>
      <c r="O90" s="2978"/>
      <c r="P90" s="2977"/>
      <c r="Q90" s="2976"/>
    </row>
    <row r="91" spans="1:17" s="3002" customFormat="1" ht="15.75" thickTop="1">
      <c r="A91" s="3008"/>
      <c r="B91" s="3001" t="str">
        <f>B28</f>
        <v>朝向</v>
      </c>
      <c r="C91" s="3000"/>
      <c r="D91" s="3000"/>
      <c r="E91" s="3000"/>
      <c r="F91" s="3000"/>
      <c r="G91" s="3000"/>
      <c r="H91" s="3011"/>
      <c r="I91" s="3011"/>
      <c r="J91" s="3011"/>
      <c r="K91" s="3011"/>
      <c r="L91" s="3010"/>
      <c r="M91" s="3009"/>
      <c r="N91" s="3005"/>
      <c r="O91" s="3005"/>
      <c r="P91" s="3004"/>
      <c r="Q91" s="3003"/>
    </row>
    <row r="92" spans="1:17" s="3002" customFormat="1" ht="15.75" thickBot="1">
      <c r="A92" s="3008"/>
      <c r="B92" s="2994"/>
      <c r="C92" s="3023">
        <v>100</v>
      </c>
      <c r="D92" s="3014">
        <f t="shared" ref="D92:M92" si="21">C92-$K28</f>
        <v>100</v>
      </c>
      <c r="E92" s="3014">
        <f t="shared" si="21"/>
        <v>100</v>
      </c>
      <c r="F92" s="3014">
        <f t="shared" si="21"/>
        <v>100</v>
      </c>
      <c r="G92" s="3014">
        <f t="shared" si="21"/>
        <v>100</v>
      </c>
      <c r="H92" s="3014">
        <f t="shared" si="21"/>
        <v>100</v>
      </c>
      <c r="I92" s="3014">
        <f t="shared" si="21"/>
        <v>100</v>
      </c>
      <c r="J92" s="3014">
        <f t="shared" si="21"/>
        <v>100</v>
      </c>
      <c r="K92" s="3014">
        <f t="shared" si="21"/>
        <v>100</v>
      </c>
      <c r="L92" s="3014">
        <f t="shared" si="21"/>
        <v>100</v>
      </c>
      <c r="M92" s="3014">
        <f t="shared" si="21"/>
        <v>100</v>
      </c>
      <c r="N92" s="3005"/>
      <c r="O92" s="3005"/>
      <c r="P92" s="3004"/>
      <c r="Q92" s="3003"/>
    </row>
    <row r="93" spans="1:17" ht="15.75" thickTop="1">
      <c r="A93" s="2995"/>
      <c r="B93" s="3001">
        <f>B29</f>
        <v>111</v>
      </c>
      <c r="C93" s="3000"/>
      <c r="D93" s="3000"/>
      <c r="E93" s="3000"/>
      <c r="F93" s="3000"/>
      <c r="G93" s="3000"/>
      <c r="H93" s="3000"/>
      <c r="I93" s="3000"/>
      <c r="J93" s="3000"/>
      <c r="K93" s="3000"/>
      <c r="L93" s="3050"/>
      <c r="M93" s="3049"/>
      <c r="N93" s="2984"/>
      <c r="O93" s="2984"/>
      <c r="P93" s="2977"/>
      <c r="Q93" s="2976"/>
    </row>
    <row r="94" spans="1:17" ht="15.75" thickBot="1">
      <c r="A94" s="2995"/>
      <c r="B94" s="2994"/>
      <c r="C94" s="2993"/>
      <c r="D94" s="2992"/>
      <c r="E94" s="2992"/>
      <c r="F94" s="2992"/>
      <c r="G94" s="2992"/>
      <c r="H94" s="2992"/>
      <c r="I94" s="2992"/>
      <c r="J94" s="2992"/>
      <c r="K94" s="2992"/>
      <c r="L94" s="2992"/>
      <c r="M94" s="2991"/>
      <c r="N94" s="2978"/>
      <c r="O94" s="2978"/>
      <c r="P94" s="2977"/>
      <c r="Q94" s="2976"/>
    </row>
    <row r="95" spans="1:17" ht="15.75" thickTop="1">
      <c r="A95" s="2995"/>
      <c r="B95" s="3001">
        <f>B30</f>
        <v>111</v>
      </c>
      <c r="C95" s="3000"/>
      <c r="D95" s="3000"/>
      <c r="E95" s="3000"/>
      <c r="F95" s="3000"/>
      <c r="G95" s="2999"/>
      <c r="H95" s="2999"/>
      <c r="I95" s="2999"/>
      <c r="J95" s="2999"/>
      <c r="K95" s="2998"/>
      <c r="L95" s="2997"/>
      <c r="M95" s="2996"/>
      <c r="N95" s="2984"/>
      <c r="O95" s="2984"/>
      <c r="P95" s="2977"/>
      <c r="Q95" s="2976"/>
    </row>
    <row r="96" spans="1:17" ht="15.75" thickBot="1">
      <c r="A96" s="2995"/>
      <c r="B96" s="2994"/>
      <c r="C96" s="2993"/>
      <c r="D96" s="2993"/>
      <c r="E96" s="2993"/>
      <c r="F96" s="2993"/>
      <c r="G96" s="2992"/>
      <c r="H96" s="2992"/>
      <c r="I96" s="2992"/>
      <c r="J96" s="2992"/>
      <c r="K96" s="2992"/>
      <c r="L96" s="2992"/>
      <c r="M96" s="2991"/>
      <c r="N96" s="2978"/>
      <c r="O96" s="2978"/>
      <c r="P96" s="2977"/>
      <c r="Q96" s="2976"/>
    </row>
    <row r="97" spans="1:17" ht="15.75" thickTop="1">
      <c r="A97" s="2995"/>
      <c r="B97" s="3001">
        <f>B31</f>
        <v>111</v>
      </c>
      <c r="C97" s="3000"/>
      <c r="D97" s="3000"/>
      <c r="E97" s="3000"/>
      <c r="F97" s="3000"/>
      <c r="G97" s="2999"/>
      <c r="H97" s="2999"/>
      <c r="I97" s="2999"/>
      <c r="J97" s="2999"/>
      <c r="K97" s="2998"/>
      <c r="L97" s="2997"/>
      <c r="M97" s="2996"/>
      <c r="N97" s="2984"/>
      <c r="O97" s="2984"/>
      <c r="P97" s="2977"/>
      <c r="Q97" s="2976"/>
    </row>
    <row r="98" spans="1:17" ht="15.75" thickBot="1">
      <c r="A98" s="2995"/>
      <c r="B98" s="2994"/>
      <c r="C98" s="2993"/>
      <c r="D98" s="2992"/>
      <c r="E98" s="2992"/>
      <c r="F98" s="2992"/>
      <c r="G98" s="2992"/>
      <c r="H98" s="2992"/>
      <c r="I98" s="2992"/>
      <c r="J98" s="2992"/>
      <c r="K98" s="2992"/>
      <c r="L98" s="2992"/>
      <c r="M98" s="2991"/>
      <c r="N98" s="2978"/>
      <c r="O98" s="2978"/>
      <c r="P98" s="2977"/>
      <c r="Q98" s="2976"/>
    </row>
    <row r="99" spans="1:17" ht="15.75" thickTop="1">
      <c r="A99" s="2995"/>
      <c r="B99" s="2989">
        <f>B32</f>
        <v>111</v>
      </c>
      <c r="C99" s="2987"/>
      <c r="D99" s="2987"/>
      <c r="E99" s="2987"/>
      <c r="F99" s="2987"/>
      <c r="G99" s="2988"/>
      <c r="H99" s="2988"/>
      <c r="I99" s="2988"/>
      <c r="J99" s="2988"/>
      <c r="K99" s="3048"/>
      <c r="L99" s="3047"/>
      <c r="M99" s="2985"/>
      <c r="N99" s="2984"/>
      <c r="O99" s="2984"/>
      <c r="P99" s="2977"/>
      <c r="Q99" s="2976"/>
    </row>
    <row r="100" spans="1:17" ht="15.75" thickBot="1">
      <c r="A100" s="2983"/>
      <c r="B100" s="2982"/>
      <c r="C100" s="2981"/>
      <c r="D100" s="2981"/>
      <c r="E100" s="2981"/>
      <c r="F100" s="2981"/>
      <c r="G100" s="2980"/>
      <c r="H100" s="2980"/>
      <c r="I100" s="2980"/>
      <c r="J100" s="2980"/>
      <c r="K100" s="2980"/>
      <c r="L100" s="2980"/>
      <c r="M100" s="2979"/>
      <c r="N100" s="2978"/>
      <c r="O100" s="2978"/>
      <c r="P100" s="2977"/>
      <c r="Q100" s="2976"/>
    </row>
    <row r="101" spans="1:17">
      <c r="A101" s="3046" t="s">
        <v>2559</v>
      </c>
      <c r="B101" s="3045" t="s">
        <v>2608</v>
      </c>
      <c r="C101" s="3044"/>
      <c r="D101" s="3044"/>
      <c r="E101" s="3044"/>
      <c r="F101" s="3044"/>
      <c r="G101" s="3044"/>
      <c r="H101" s="3044"/>
      <c r="I101" s="3044"/>
      <c r="J101" s="3044"/>
      <c r="K101" s="3043"/>
      <c r="L101" s="3042"/>
      <c r="M101" s="3041"/>
      <c r="N101" s="2984"/>
      <c r="O101" s="2984"/>
      <c r="P101" s="2977"/>
      <c r="Q101" s="2976"/>
    </row>
    <row r="102" spans="1:17" ht="15.75" thickBot="1">
      <c r="A102" s="2995"/>
      <c r="B102" s="2994"/>
      <c r="C102" s="3014">
        <v>100</v>
      </c>
      <c r="D102" s="3014">
        <f t="shared" ref="D102:M102" si="22">C102-$K33</f>
        <v>100</v>
      </c>
      <c r="E102" s="3014">
        <f t="shared" si="22"/>
        <v>100</v>
      </c>
      <c r="F102" s="3014">
        <f t="shared" si="22"/>
        <v>100</v>
      </c>
      <c r="G102" s="3014">
        <f t="shared" si="22"/>
        <v>100</v>
      </c>
      <c r="H102" s="3014">
        <f t="shared" si="22"/>
        <v>100</v>
      </c>
      <c r="I102" s="3014">
        <f t="shared" si="22"/>
        <v>100</v>
      </c>
      <c r="J102" s="3014">
        <f t="shared" si="22"/>
        <v>100</v>
      </c>
      <c r="K102" s="3014">
        <f t="shared" si="22"/>
        <v>100</v>
      </c>
      <c r="L102" s="3014">
        <f t="shared" si="22"/>
        <v>100</v>
      </c>
      <c r="M102" s="3013">
        <f t="shared" si="22"/>
        <v>100</v>
      </c>
      <c r="N102" s="2978"/>
      <c r="O102" s="2978"/>
      <c r="P102" s="2977"/>
      <c r="Q102" s="2976"/>
    </row>
    <row r="103" spans="1:17" ht="29.25" thickTop="1">
      <c r="A103" s="2995"/>
      <c r="B103" s="3001" t="s">
        <v>2609</v>
      </c>
      <c r="C103" s="3019" t="str">
        <f t="shared" ref="C103:L103" si="23">C104&amp;"(含)"&amp;"-"&amp;D104</f>
        <v>0(含)-300</v>
      </c>
      <c r="D103" s="3019" t="str">
        <f t="shared" si="23"/>
        <v>300(含)-600</v>
      </c>
      <c r="E103" s="3019" t="str">
        <f t="shared" si="23"/>
        <v>600(含)-900</v>
      </c>
      <c r="F103" s="3019" t="str">
        <f t="shared" si="23"/>
        <v>900(含)-1200</v>
      </c>
      <c r="G103" s="3019" t="str">
        <f t="shared" si="23"/>
        <v>1200(含)-1500</v>
      </c>
      <c r="H103" s="3019" t="str">
        <f t="shared" si="23"/>
        <v>1500(含)-1800</v>
      </c>
      <c r="I103" s="3019" t="str">
        <f t="shared" si="23"/>
        <v>1800(含)-</v>
      </c>
      <c r="J103" s="3019" t="str">
        <f t="shared" si="23"/>
        <v>(含)-</v>
      </c>
      <c r="K103" s="3019" t="str">
        <f t="shared" si="23"/>
        <v>(含)-</v>
      </c>
      <c r="L103" s="3019" t="str">
        <f t="shared" si="23"/>
        <v>(含)-</v>
      </c>
      <c r="M103" s="3040" t="str">
        <f>M104&amp;"(含)"&amp;"-"&amp;P104</f>
        <v>(含)-</v>
      </c>
      <c r="N103" s="3039"/>
      <c r="O103" s="3039"/>
      <c r="P103" s="2977"/>
      <c r="Q103" s="2976"/>
    </row>
    <row r="104" spans="1:17" s="3002" customFormat="1">
      <c r="A104" s="3012"/>
      <c r="B104" s="3038"/>
      <c r="C104" s="3037">
        <v>0</v>
      </c>
      <c r="D104" s="3037">
        <v>300</v>
      </c>
      <c r="E104" s="3037">
        <v>600</v>
      </c>
      <c r="F104" s="3037">
        <v>900</v>
      </c>
      <c r="G104" s="3037">
        <v>1200</v>
      </c>
      <c r="H104" s="3037">
        <v>1500</v>
      </c>
      <c r="I104" s="3037">
        <v>1800</v>
      </c>
      <c r="J104" s="3036"/>
      <c r="K104" s="3036"/>
      <c r="L104" s="3035"/>
      <c r="M104" s="3034"/>
      <c r="N104" s="3005"/>
      <c r="O104" s="3005"/>
      <c r="P104" s="3004"/>
      <c r="Q104" s="3003"/>
    </row>
    <row r="105" spans="1:17" s="3002" customFormat="1" ht="15.75" thickBot="1">
      <c r="A105" s="3008"/>
      <c r="B105" s="2994"/>
      <c r="C105" s="2993">
        <v>99</v>
      </c>
      <c r="D105" s="2992">
        <v>100</v>
      </c>
      <c r="E105" s="2992">
        <v>99</v>
      </c>
      <c r="F105" s="2992">
        <v>98</v>
      </c>
      <c r="G105" s="2992">
        <v>97</v>
      </c>
      <c r="H105" s="2992">
        <v>96</v>
      </c>
      <c r="I105" s="2992">
        <v>95</v>
      </c>
      <c r="J105" s="2992"/>
      <c r="K105" s="2992"/>
      <c r="L105" s="2992"/>
      <c r="M105" s="2991"/>
      <c r="N105" s="2978"/>
      <c r="O105" s="2978"/>
      <c r="P105" s="3004"/>
      <c r="Q105" s="3003"/>
    </row>
    <row r="106" spans="1:17" ht="15" thickTop="1">
      <c r="A106" s="2990"/>
      <c r="B106" s="3001" t="s">
        <v>2610</v>
      </c>
      <c r="C106" s="3000"/>
      <c r="D106" s="3000"/>
      <c r="E106" s="2999"/>
      <c r="F106" s="2999"/>
      <c r="G106" s="2999"/>
      <c r="H106" s="2999"/>
      <c r="I106" s="2999"/>
      <c r="J106" s="2999"/>
      <c r="K106" s="2998"/>
      <c r="L106" s="2997"/>
      <c r="M106" s="2996"/>
      <c r="N106" s="2984"/>
      <c r="O106" s="2984"/>
      <c r="P106" s="2977"/>
      <c r="Q106" s="2976"/>
    </row>
    <row r="107" spans="1:17" ht="15.75" thickBot="1">
      <c r="A107" s="2995"/>
      <c r="B107" s="2994"/>
      <c r="C107" s="3014">
        <v>100</v>
      </c>
      <c r="D107" s="3014">
        <f t="shared" ref="D107:M107" si="24">C107-$K35</f>
        <v>100</v>
      </c>
      <c r="E107" s="3014">
        <f t="shared" si="24"/>
        <v>100</v>
      </c>
      <c r="F107" s="3014">
        <f t="shared" si="24"/>
        <v>100</v>
      </c>
      <c r="G107" s="3014">
        <f t="shared" si="24"/>
        <v>100</v>
      </c>
      <c r="H107" s="3014">
        <f t="shared" si="24"/>
        <v>100</v>
      </c>
      <c r="I107" s="3014">
        <f t="shared" si="24"/>
        <v>100</v>
      </c>
      <c r="J107" s="3014">
        <f t="shared" si="24"/>
        <v>100</v>
      </c>
      <c r="K107" s="3014">
        <f t="shared" si="24"/>
        <v>100</v>
      </c>
      <c r="L107" s="3014">
        <f t="shared" si="24"/>
        <v>100</v>
      </c>
      <c r="M107" s="3013">
        <f t="shared" si="24"/>
        <v>100</v>
      </c>
      <c r="N107" s="2978"/>
      <c r="O107" s="2978"/>
      <c r="P107" s="2977"/>
      <c r="Q107" s="2976"/>
    </row>
    <row r="108" spans="1:17" ht="15" thickTop="1">
      <c r="A108" s="2990"/>
      <c r="B108" s="3001" t="s">
        <v>2612</v>
      </c>
      <c r="C108" s="3021" t="s">
        <v>3234</v>
      </c>
      <c r="D108" s="3021" t="s">
        <v>3233</v>
      </c>
      <c r="E108" s="3021" t="s">
        <v>3228</v>
      </c>
      <c r="F108" s="3020" t="s">
        <v>3232</v>
      </c>
      <c r="G108" s="2999"/>
      <c r="H108" s="2999"/>
      <c r="I108" s="2999"/>
      <c r="J108" s="2999"/>
      <c r="K108" s="2998"/>
      <c r="L108" s="2997"/>
      <c r="M108" s="2996"/>
      <c r="N108" s="2984"/>
      <c r="O108" s="2984"/>
      <c r="P108" s="2977"/>
      <c r="Q108" s="2976"/>
    </row>
    <row r="109" spans="1:17" ht="15.75" thickBot="1">
      <c r="A109" s="2995"/>
      <c r="B109" s="2994"/>
      <c r="C109" s="3014">
        <v>100</v>
      </c>
      <c r="D109" s="3014">
        <f t="shared" ref="D109:M109" si="25">C109-$K36</f>
        <v>100</v>
      </c>
      <c r="E109" s="3014">
        <f t="shared" si="25"/>
        <v>100</v>
      </c>
      <c r="F109" s="3014">
        <f t="shared" si="25"/>
        <v>100</v>
      </c>
      <c r="G109" s="3014">
        <f t="shared" si="25"/>
        <v>100</v>
      </c>
      <c r="H109" s="3014">
        <f t="shared" si="25"/>
        <v>100</v>
      </c>
      <c r="I109" s="3014">
        <f t="shared" si="25"/>
        <v>100</v>
      </c>
      <c r="J109" s="3014">
        <f t="shared" si="25"/>
        <v>100</v>
      </c>
      <c r="K109" s="3014">
        <f t="shared" si="25"/>
        <v>100</v>
      </c>
      <c r="L109" s="3014">
        <f t="shared" si="25"/>
        <v>100</v>
      </c>
      <c r="M109" s="3013">
        <f t="shared" si="25"/>
        <v>100</v>
      </c>
      <c r="N109" s="2978"/>
      <c r="O109" s="2978"/>
      <c r="P109" s="2977"/>
      <c r="Q109" s="2976"/>
    </row>
    <row r="110" spans="1:17" ht="15" thickTop="1">
      <c r="A110" s="2990"/>
      <c r="B110" s="3001" t="s">
        <v>1994</v>
      </c>
      <c r="C110" s="3019" t="str">
        <f>C111&amp;"(含)"&amp;"-"&amp;D111</f>
        <v>0.5(含)-0.6</v>
      </c>
      <c r="D110" s="3019" t="str">
        <f>D111&amp;"(含)"&amp;"-"&amp;E111</f>
        <v>0.6(含)-0.7</v>
      </c>
      <c r="E110" s="3019" t="str">
        <f>E111&amp;"(含)"&amp;"-"&amp;F111</f>
        <v>0.7(含)-0.8</v>
      </c>
      <c r="F110" s="3019" t="str">
        <f>F111&amp;"(含)"&amp;"-"&amp;G111</f>
        <v>0.8(含)-0.9</v>
      </c>
      <c r="G110" s="3019" t="str">
        <f>G111&amp;"(含)"&amp;"-"&amp;ROUND(H111,0)&amp;"(含)"</f>
        <v>0.9(含)-1(含)</v>
      </c>
      <c r="H110" s="3019"/>
      <c r="I110" s="2999"/>
      <c r="J110" s="2999"/>
      <c r="K110" s="2998"/>
      <c r="L110" s="2997"/>
      <c r="M110" s="2996"/>
      <c r="N110" s="2984"/>
      <c r="O110" s="2984"/>
      <c r="P110" s="2977"/>
      <c r="Q110" s="2976"/>
    </row>
    <row r="111" spans="1:17">
      <c r="A111" s="2990"/>
      <c r="B111" s="2989"/>
      <c r="C111" s="3033">
        <v>0.5</v>
      </c>
      <c r="D111" s="3033">
        <v>0.6</v>
      </c>
      <c r="E111" s="3033">
        <v>0.7</v>
      </c>
      <c r="F111" s="3033">
        <v>0.8</v>
      </c>
      <c r="G111" s="3033">
        <v>0.9</v>
      </c>
      <c r="H111" s="3033">
        <v>1.0001</v>
      </c>
      <c r="I111" s="3032"/>
      <c r="J111" s="3032"/>
      <c r="K111" s="3031"/>
      <c r="L111" s="3030"/>
      <c r="M111" s="3029"/>
      <c r="N111" s="2984"/>
      <c r="O111" s="2984"/>
      <c r="P111" s="2977"/>
      <c r="Q111" s="2976"/>
    </row>
    <row r="112" spans="1:17" ht="15.75" thickBot="1">
      <c r="A112" s="2995"/>
      <c r="B112" s="2994"/>
      <c r="C112" s="3023">
        <v>100</v>
      </c>
      <c r="D112" s="3014">
        <f t="shared" ref="D112:M112" si="26">C112+$K37</f>
        <v>100</v>
      </c>
      <c r="E112" s="3014">
        <f t="shared" si="26"/>
        <v>100</v>
      </c>
      <c r="F112" s="3014">
        <f t="shared" si="26"/>
        <v>100</v>
      </c>
      <c r="G112" s="3014">
        <f t="shared" si="26"/>
        <v>100</v>
      </c>
      <c r="H112" s="3014">
        <f t="shared" si="26"/>
        <v>100</v>
      </c>
      <c r="I112" s="3014">
        <f t="shared" si="26"/>
        <v>100</v>
      </c>
      <c r="J112" s="3014">
        <f t="shared" si="26"/>
        <v>100</v>
      </c>
      <c r="K112" s="3014">
        <f t="shared" si="26"/>
        <v>100</v>
      </c>
      <c r="L112" s="3014">
        <f t="shared" si="26"/>
        <v>100</v>
      </c>
      <c r="M112" s="3014">
        <f t="shared" si="26"/>
        <v>100</v>
      </c>
      <c r="N112" s="2978"/>
      <c r="O112" s="2978"/>
      <c r="P112" s="2977"/>
      <c r="Q112" s="2976"/>
    </row>
    <row r="113" spans="1:17" s="3002" customFormat="1" ht="15" thickTop="1">
      <c r="A113" s="3012"/>
      <c r="B113" s="3001" t="s">
        <v>2696</v>
      </c>
      <c r="C113" s="3000"/>
      <c r="D113" s="3000"/>
      <c r="E113" s="3000"/>
      <c r="F113" s="3000"/>
      <c r="G113" s="3000"/>
      <c r="H113" s="2999"/>
      <c r="I113" s="2999"/>
      <c r="J113" s="2999"/>
      <c r="K113" s="2998"/>
      <c r="L113" s="2997"/>
      <c r="M113" s="2996"/>
      <c r="N113" s="3005"/>
      <c r="O113" s="3005"/>
      <c r="P113" s="3004"/>
      <c r="Q113" s="3003"/>
    </row>
    <row r="114" spans="1:17" s="3002" customFormat="1" ht="15.75" thickBot="1">
      <c r="A114" s="3008"/>
      <c r="B114" s="2994"/>
      <c r="C114" s="3014">
        <v>100</v>
      </c>
      <c r="D114" s="3014">
        <f t="shared" ref="D114:M114" si="27">C114-$K38</f>
        <v>100</v>
      </c>
      <c r="E114" s="3014">
        <f t="shared" si="27"/>
        <v>100</v>
      </c>
      <c r="F114" s="3014">
        <f t="shared" si="27"/>
        <v>100</v>
      </c>
      <c r="G114" s="3014">
        <f t="shared" si="27"/>
        <v>100</v>
      </c>
      <c r="H114" s="3014">
        <f t="shared" si="27"/>
        <v>100</v>
      </c>
      <c r="I114" s="3014">
        <f t="shared" si="27"/>
        <v>100</v>
      </c>
      <c r="J114" s="3014">
        <f t="shared" si="27"/>
        <v>100</v>
      </c>
      <c r="K114" s="3014">
        <f t="shared" si="27"/>
        <v>100</v>
      </c>
      <c r="L114" s="3014">
        <f t="shared" si="27"/>
        <v>100</v>
      </c>
      <c r="M114" s="3014">
        <f t="shared" si="27"/>
        <v>100</v>
      </c>
      <c r="N114" s="3005"/>
      <c r="O114" s="3005"/>
      <c r="P114" s="3004"/>
      <c r="Q114" s="3003"/>
    </row>
    <row r="115" spans="1:17" ht="15" thickTop="1">
      <c r="A115" s="2990"/>
      <c r="B115" s="3001" t="s">
        <v>2613</v>
      </c>
      <c r="C115" s="3000"/>
      <c r="D115" s="3000"/>
      <c r="E115" s="2999"/>
      <c r="F115" s="2999"/>
      <c r="G115" s="2999"/>
      <c r="H115" s="2999"/>
      <c r="I115" s="2999"/>
      <c r="J115" s="2999"/>
      <c r="K115" s="2998"/>
      <c r="L115" s="2997"/>
      <c r="M115" s="2996"/>
      <c r="N115" s="2984"/>
      <c r="O115" s="2984"/>
      <c r="P115" s="2977"/>
      <c r="Q115" s="2976"/>
    </row>
    <row r="116" spans="1:17" ht="15.75" thickBot="1">
      <c r="A116" s="2995"/>
      <c r="B116" s="2994"/>
      <c r="C116" s="3014">
        <v>100</v>
      </c>
      <c r="D116" s="3014">
        <f t="shared" ref="D116:M116" si="28">C116-$K39</f>
        <v>100</v>
      </c>
      <c r="E116" s="3014">
        <f t="shared" si="28"/>
        <v>100</v>
      </c>
      <c r="F116" s="3014">
        <f t="shared" si="28"/>
        <v>100</v>
      </c>
      <c r="G116" s="3014">
        <f t="shared" si="28"/>
        <v>100</v>
      </c>
      <c r="H116" s="3014">
        <f t="shared" si="28"/>
        <v>100</v>
      </c>
      <c r="I116" s="3014">
        <f t="shared" si="28"/>
        <v>100</v>
      </c>
      <c r="J116" s="3014">
        <f t="shared" si="28"/>
        <v>100</v>
      </c>
      <c r="K116" s="3014">
        <f t="shared" si="28"/>
        <v>100</v>
      </c>
      <c r="L116" s="3014">
        <f t="shared" si="28"/>
        <v>100</v>
      </c>
      <c r="M116" s="3013">
        <f t="shared" si="28"/>
        <v>100</v>
      </c>
      <c r="N116" s="2978"/>
      <c r="O116" s="2978"/>
      <c r="P116" s="2977"/>
      <c r="Q116" s="2976"/>
    </row>
    <row r="117" spans="1:17" ht="15" thickTop="1">
      <c r="A117" s="2990"/>
      <c r="B117" s="3001" t="s">
        <v>2614</v>
      </c>
      <c r="C117" s="3000"/>
      <c r="D117" s="3000"/>
      <c r="E117" s="3000"/>
      <c r="F117" s="3000"/>
      <c r="G117" s="3000"/>
      <c r="H117" s="2999"/>
      <c r="I117" s="2999"/>
      <c r="J117" s="2999"/>
      <c r="K117" s="2998"/>
      <c r="L117" s="2997"/>
      <c r="M117" s="2996"/>
      <c r="N117" s="2984"/>
      <c r="O117" s="2984"/>
      <c r="P117" s="2977"/>
      <c r="Q117" s="2976"/>
    </row>
    <row r="118" spans="1:17" ht="15.75" thickBot="1">
      <c r="A118" s="2995"/>
      <c r="B118" s="2994"/>
      <c r="C118" s="3014">
        <v>100</v>
      </c>
      <c r="D118" s="3014">
        <f>C118-$K40</f>
        <v>100</v>
      </c>
      <c r="E118" s="3014">
        <f>D118-$K40</f>
        <v>100</v>
      </c>
      <c r="F118" s="3014">
        <f>E118-$K40</f>
        <v>100</v>
      </c>
      <c r="G118" s="3014">
        <f>F118-$K40</f>
        <v>100</v>
      </c>
      <c r="H118" s="3014"/>
      <c r="I118" s="3014"/>
      <c r="J118" s="3014"/>
      <c r="K118" s="3014"/>
      <c r="L118" s="3014"/>
      <c r="M118" s="3013"/>
      <c r="N118" s="2978"/>
      <c r="O118" s="2978"/>
      <c r="P118" s="2977"/>
      <c r="Q118" s="2976"/>
    </row>
    <row r="119" spans="1:17" ht="15" thickTop="1">
      <c r="A119" s="2990"/>
      <c r="B119" s="3028" t="s">
        <v>2697</v>
      </c>
      <c r="C119" s="2999"/>
      <c r="D119" s="2999"/>
      <c r="E119" s="2999"/>
      <c r="F119" s="2999"/>
      <c r="G119" s="2999"/>
      <c r="H119" s="2999"/>
      <c r="I119" s="2999"/>
      <c r="J119" s="2999"/>
      <c r="K119" s="2999"/>
      <c r="L119" s="3027"/>
      <c r="M119" s="3026"/>
      <c r="N119" s="2978"/>
      <c r="O119" s="2978"/>
      <c r="P119" s="3025"/>
      <c r="Q119" s="3024"/>
    </row>
    <row r="120" spans="1:17" ht="15.75" thickBot="1">
      <c r="A120" s="2995"/>
      <c r="B120" s="2994"/>
      <c r="C120" s="3023">
        <v>100</v>
      </c>
      <c r="D120" s="3014">
        <f t="shared" ref="D120:M120" si="29">C120-$K41</f>
        <v>100</v>
      </c>
      <c r="E120" s="3014">
        <f t="shared" si="29"/>
        <v>100</v>
      </c>
      <c r="F120" s="3014">
        <f t="shared" si="29"/>
        <v>100</v>
      </c>
      <c r="G120" s="3014">
        <f t="shared" si="29"/>
        <v>100</v>
      </c>
      <c r="H120" s="3014">
        <f t="shared" si="29"/>
        <v>100</v>
      </c>
      <c r="I120" s="3014">
        <f t="shared" si="29"/>
        <v>100</v>
      </c>
      <c r="J120" s="3014">
        <f t="shared" si="29"/>
        <v>100</v>
      </c>
      <c r="K120" s="3014">
        <f t="shared" si="29"/>
        <v>100</v>
      </c>
      <c r="L120" s="3014">
        <f t="shared" si="29"/>
        <v>100</v>
      </c>
      <c r="M120" s="3014">
        <f t="shared" si="29"/>
        <v>100</v>
      </c>
      <c r="N120" s="2978"/>
      <c r="O120" s="2978"/>
      <c r="P120" s="2977"/>
      <c r="Q120" s="2976"/>
    </row>
    <row r="121" spans="1:17" s="3002" customFormat="1" ht="15" thickTop="1">
      <c r="A121" s="3012"/>
      <c r="B121" s="3001" t="s">
        <v>2680</v>
      </c>
      <c r="C121" s="3000"/>
      <c r="D121" s="3000"/>
      <c r="E121" s="3000"/>
      <c r="F121" s="2999"/>
      <c r="G121" s="3011"/>
      <c r="H121" s="3011"/>
      <c r="I121" s="3011"/>
      <c r="J121" s="3011"/>
      <c r="K121" s="3011"/>
      <c r="L121" s="3010"/>
      <c r="M121" s="3009"/>
      <c r="N121" s="3005"/>
      <c r="O121" s="3005"/>
      <c r="P121" s="3004"/>
      <c r="Q121" s="3003"/>
    </row>
    <row r="122" spans="1:17" s="3002" customFormat="1" ht="15.75" thickBot="1">
      <c r="A122" s="3008"/>
      <c r="B122" s="3022"/>
      <c r="C122" s="2993"/>
      <c r="D122" s="2993"/>
      <c r="E122" s="2993"/>
      <c r="F122" s="2993"/>
      <c r="G122" s="2993"/>
      <c r="H122" s="2993"/>
      <c r="I122" s="2993"/>
      <c r="J122" s="2993"/>
      <c r="K122" s="2993"/>
      <c r="L122" s="2993"/>
      <c r="M122" s="2993"/>
      <c r="N122" s="3005"/>
      <c r="O122" s="3005"/>
      <c r="P122" s="3004"/>
      <c r="Q122" s="3003"/>
    </row>
    <row r="123" spans="1:17" ht="15" thickTop="1">
      <c r="A123" s="2990"/>
      <c r="B123" s="3001" t="s">
        <v>3231</v>
      </c>
      <c r="C123" s="3021" t="s">
        <v>3230</v>
      </c>
      <c r="D123" s="3021" t="s">
        <v>3229</v>
      </c>
      <c r="E123" s="3021" t="s">
        <v>3228</v>
      </c>
      <c r="F123" s="3020" t="s">
        <v>3227</v>
      </c>
      <c r="G123" s="2999"/>
      <c r="H123" s="2999"/>
      <c r="I123" s="2999"/>
      <c r="J123" s="2999"/>
      <c r="K123" s="2998"/>
      <c r="L123" s="2997"/>
      <c r="M123" s="2996"/>
      <c r="N123" s="2984"/>
      <c r="O123" s="2984"/>
      <c r="P123" s="2977"/>
      <c r="Q123" s="2976"/>
    </row>
    <row r="124" spans="1:17" ht="15.75" thickBot="1">
      <c r="A124" s="2995"/>
      <c r="B124" s="2994"/>
      <c r="C124" s="3014">
        <v>100</v>
      </c>
      <c r="D124" s="3014">
        <f t="shared" ref="D124:M124" si="30">C124-$K43</f>
        <v>97</v>
      </c>
      <c r="E124" s="3014">
        <f t="shared" si="30"/>
        <v>94</v>
      </c>
      <c r="F124" s="3014">
        <f t="shared" si="30"/>
        <v>91</v>
      </c>
      <c r="G124" s="3014">
        <f t="shared" si="30"/>
        <v>88</v>
      </c>
      <c r="H124" s="3014">
        <f t="shared" si="30"/>
        <v>85</v>
      </c>
      <c r="I124" s="3014">
        <f t="shared" si="30"/>
        <v>82</v>
      </c>
      <c r="J124" s="3014">
        <f t="shared" si="30"/>
        <v>79</v>
      </c>
      <c r="K124" s="3014">
        <f t="shared" si="30"/>
        <v>76</v>
      </c>
      <c r="L124" s="3014">
        <f t="shared" si="30"/>
        <v>73</v>
      </c>
      <c r="M124" s="3013">
        <f t="shared" si="30"/>
        <v>70</v>
      </c>
      <c r="N124" s="2978"/>
      <c r="O124" s="2978"/>
      <c r="P124" s="2977"/>
      <c r="Q124" s="2976"/>
    </row>
    <row r="125" spans="1:17" ht="15" thickTop="1">
      <c r="A125" s="2990"/>
      <c r="B125" s="3001" t="s">
        <v>3226</v>
      </c>
      <c r="C125" s="3019" t="s">
        <v>3225</v>
      </c>
      <c r="D125" s="3019" t="s">
        <v>3224</v>
      </c>
      <c r="E125" s="3019" t="s">
        <v>3223</v>
      </c>
      <c r="F125" s="3019" t="s">
        <v>3222</v>
      </c>
      <c r="G125" s="3019" t="s">
        <v>3221</v>
      </c>
      <c r="H125" s="3018"/>
      <c r="I125" s="3018"/>
      <c r="J125" s="3018"/>
      <c r="K125" s="3017"/>
      <c r="L125" s="3016"/>
      <c r="M125" s="3015"/>
      <c r="N125" s="2984"/>
      <c r="O125" s="2984"/>
      <c r="P125" s="3004"/>
      <c r="Q125" s="2976"/>
    </row>
    <row r="126" spans="1:17" ht="15.75" thickBot="1">
      <c r="A126" s="2995"/>
      <c r="B126" s="2994"/>
      <c r="C126" s="3014">
        <v>100</v>
      </c>
      <c r="D126" s="3014">
        <f>C126-$K44</f>
        <v>100</v>
      </c>
      <c r="E126" s="3014">
        <f>D126-$K44</f>
        <v>100</v>
      </c>
      <c r="F126" s="3014">
        <f>E126-$K44</f>
        <v>100</v>
      </c>
      <c r="G126" s="3014">
        <f>F126-$K44</f>
        <v>100</v>
      </c>
      <c r="H126" s="3014"/>
      <c r="I126" s="3014"/>
      <c r="J126" s="3014"/>
      <c r="K126" s="3014"/>
      <c r="L126" s="3014"/>
      <c r="M126" s="3013"/>
      <c r="N126" s="2978"/>
      <c r="O126" s="2978"/>
      <c r="P126" s="2977"/>
      <c r="Q126" s="2976"/>
    </row>
    <row r="127" spans="1:17" s="3002" customFormat="1" ht="15" thickTop="1">
      <c r="A127" s="3012"/>
      <c r="B127" s="3001">
        <f>B45</f>
        <v>111</v>
      </c>
      <c r="C127" s="3000"/>
      <c r="D127" s="3000"/>
      <c r="E127" s="3000"/>
      <c r="F127" s="3000"/>
      <c r="G127" s="3000"/>
      <c r="H127" s="3011"/>
      <c r="I127" s="3011"/>
      <c r="J127" s="3011"/>
      <c r="K127" s="3011"/>
      <c r="L127" s="3010"/>
      <c r="M127" s="3009"/>
      <c r="N127" s="3005"/>
      <c r="O127" s="3005"/>
      <c r="P127" s="3004"/>
      <c r="Q127" s="3003"/>
    </row>
    <row r="128" spans="1:17" s="3002" customFormat="1" ht="15.75" thickBot="1">
      <c r="A128" s="3008"/>
      <c r="B128" s="2994"/>
      <c r="C128" s="2993"/>
      <c r="D128" s="2992"/>
      <c r="E128" s="2992"/>
      <c r="F128" s="2992"/>
      <c r="G128" s="2993"/>
      <c r="H128" s="3007"/>
      <c r="I128" s="3007"/>
      <c r="J128" s="3007"/>
      <c r="K128" s="3007"/>
      <c r="L128" s="3007"/>
      <c r="M128" s="3006"/>
      <c r="N128" s="3005"/>
      <c r="O128" s="3005"/>
      <c r="P128" s="3004"/>
      <c r="Q128" s="3003"/>
    </row>
    <row r="129" spans="1:17" ht="15" thickTop="1">
      <c r="A129" s="2990"/>
      <c r="B129" s="3001">
        <f>B46</f>
        <v>111</v>
      </c>
      <c r="C129" s="3000"/>
      <c r="D129" s="3000"/>
      <c r="E129" s="3000"/>
      <c r="F129" s="3000"/>
      <c r="G129" s="2999"/>
      <c r="H129" s="2999"/>
      <c r="I129" s="2999"/>
      <c r="J129" s="2999"/>
      <c r="K129" s="2998"/>
      <c r="L129" s="2997"/>
      <c r="M129" s="2996"/>
      <c r="N129" s="2984"/>
      <c r="O129" s="2984"/>
      <c r="P129" s="2977"/>
      <c r="Q129" s="2976"/>
    </row>
    <row r="130" spans="1:17" ht="15.75" thickBot="1">
      <c r="A130" s="2995"/>
      <c r="B130" s="2994"/>
      <c r="C130" s="2993"/>
      <c r="D130" s="2993"/>
      <c r="E130" s="2993"/>
      <c r="F130" s="2993"/>
      <c r="G130" s="2992"/>
      <c r="H130" s="2992"/>
      <c r="I130" s="2992"/>
      <c r="J130" s="2992"/>
      <c r="K130" s="2992"/>
      <c r="L130" s="2992"/>
      <c r="M130" s="2991"/>
      <c r="N130" s="2978"/>
      <c r="O130" s="2978"/>
      <c r="P130" s="2977"/>
      <c r="Q130" s="2976"/>
    </row>
    <row r="131" spans="1:17" ht="15" thickTop="1">
      <c r="A131" s="2990"/>
      <c r="B131" s="2989">
        <f>B47</f>
        <v>111</v>
      </c>
      <c r="C131" s="2987"/>
      <c r="D131" s="2987"/>
      <c r="E131" s="2987"/>
      <c r="F131" s="2987"/>
      <c r="G131" s="2988"/>
      <c r="H131" s="2988"/>
      <c r="I131" s="2988"/>
      <c r="J131" s="2988"/>
      <c r="K131" s="2987"/>
      <c r="L131" s="2986"/>
      <c r="M131" s="2985"/>
      <c r="N131" s="2984"/>
      <c r="O131" s="2984"/>
      <c r="P131" s="2977"/>
      <c r="Q131" s="2976"/>
    </row>
    <row r="132" spans="1:17" ht="15.75" thickBot="1">
      <c r="A132" s="2983"/>
      <c r="B132" s="2982"/>
      <c r="C132" s="2981"/>
      <c r="D132" s="2981"/>
      <c r="E132" s="2981"/>
      <c r="F132" s="2981"/>
      <c r="G132" s="2980"/>
      <c r="H132" s="2980"/>
      <c r="I132" s="2980"/>
      <c r="J132" s="2980"/>
      <c r="K132" s="2980"/>
      <c r="L132" s="2980"/>
      <c r="M132" s="2979"/>
      <c r="N132" s="2978"/>
      <c r="O132" s="2978"/>
      <c r="P132" s="2977"/>
      <c r="Q132" s="2976"/>
    </row>
  </sheetData>
  <sheetProtection password="C66D" sheet="1" objects="1" scenarios="1" formatCells="0" formatColumns="0" formatRows="0"/>
  <mergeCells count="40">
    <mergeCell ref="I6:J6"/>
    <mergeCell ref="G5:H5"/>
    <mergeCell ref="P8:Q8"/>
    <mergeCell ref="Y8:Z8"/>
    <mergeCell ref="Y4:Z6"/>
    <mergeCell ref="P7:Q7"/>
    <mergeCell ref="P9:P14"/>
    <mergeCell ref="Y9:Y14"/>
    <mergeCell ref="Y7:Z7"/>
    <mergeCell ref="R4:S6"/>
    <mergeCell ref="AC4:AC6"/>
    <mergeCell ref="C4:D4"/>
    <mergeCell ref="E4:F4"/>
    <mergeCell ref="G4:H4"/>
    <mergeCell ref="I4:J4"/>
    <mergeCell ref="P4:Q6"/>
    <mergeCell ref="T4:U6"/>
    <mergeCell ref="V4:W6"/>
    <mergeCell ref="AB4:AB6"/>
    <mergeCell ref="E5:F5"/>
    <mergeCell ref="C5:D5"/>
    <mergeCell ref="C6:D6"/>
    <mergeCell ref="I5:J5"/>
    <mergeCell ref="E6:F6"/>
    <mergeCell ref="G6:H6"/>
    <mergeCell ref="AA4:AA6"/>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topLeftCell="A31" workbookViewId="0">
      <selection activeCell="F102" sqref="F102"/>
    </sheetView>
  </sheetViews>
  <sheetFormatPr defaultRowHeight="12"/>
  <cols>
    <col min="1" max="1" width="9" style="2951"/>
    <col min="2" max="2" width="38" style="2951" customWidth="1"/>
    <col min="3" max="3" width="9" style="2951"/>
    <col min="4" max="5" width="9" style="2944"/>
    <col min="6" max="6" width="16.125" style="2944" customWidth="1"/>
    <col min="7" max="16384" width="9" style="2944"/>
  </cols>
  <sheetData>
    <row r="1" spans="1:3">
      <c r="A1" s="2942" t="s">
        <v>3064</v>
      </c>
      <c r="B1" s="2943" t="s">
        <v>3065</v>
      </c>
      <c r="C1" s="2943" t="s">
        <v>3066</v>
      </c>
    </row>
    <row r="2" spans="1:3">
      <c r="A2" s="2942">
        <v>1</v>
      </c>
      <c r="B2" s="2943" t="s">
        <v>3067</v>
      </c>
      <c r="C2" s="2942">
        <v>145</v>
      </c>
    </row>
    <row r="3" spans="1:3">
      <c r="A3" s="2942">
        <v>2</v>
      </c>
      <c r="B3" s="2943" t="s">
        <v>3106</v>
      </c>
      <c r="C3" s="2942">
        <v>116.69</v>
      </c>
    </row>
    <row r="4" spans="1:3">
      <c r="A4" s="2942">
        <v>3</v>
      </c>
      <c r="B4" s="2943" t="s">
        <v>3068</v>
      </c>
      <c r="C4" s="2942">
        <v>116.69</v>
      </c>
    </row>
    <row r="5" spans="1:3" ht="13.5">
      <c r="A5" s="2942">
        <v>4</v>
      </c>
      <c r="B5" s="2943" t="s">
        <v>3107</v>
      </c>
      <c r="C5" s="2942">
        <v>145</v>
      </c>
    </row>
    <row r="6" spans="1:3">
      <c r="A6" s="2942">
        <v>5</v>
      </c>
      <c r="B6" s="2943" t="s">
        <v>3069</v>
      </c>
      <c r="C6" s="2942">
        <v>142.47</v>
      </c>
    </row>
    <row r="7" spans="1:3" ht="13.5">
      <c r="A7" s="2942">
        <v>6</v>
      </c>
      <c r="B7" s="2943" t="s">
        <v>3108</v>
      </c>
      <c r="C7" s="2942">
        <v>135.65</v>
      </c>
    </row>
    <row r="8" spans="1:3">
      <c r="A8" s="2942">
        <v>7</v>
      </c>
      <c r="B8" s="2943" t="s">
        <v>3070</v>
      </c>
      <c r="C8" s="2942">
        <v>95.64</v>
      </c>
    </row>
    <row r="9" spans="1:3" ht="13.5">
      <c r="A9" s="2942">
        <v>8</v>
      </c>
      <c r="B9" s="2943" t="s">
        <v>3109</v>
      </c>
      <c r="C9" s="2942">
        <v>95.64</v>
      </c>
    </row>
    <row r="10" spans="1:3">
      <c r="A10" s="2942">
        <v>9</v>
      </c>
      <c r="B10" s="2943" t="s">
        <v>3071</v>
      </c>
      <c r="C10" s="2942">
        <v>135.65</v>
      </c>
    </row>
    <row r="11" spans="1:3">
      <c r="A11" s="2942">
        <v>10</v>
      </c>
      <c r="B11" s="2943" t="s">
        <v>3072</v>
      </c>
      <c r="C11" s="2942">
        <v>118.61</v>
      </c>
    </row>
    <row r="12" spans="1:3">
      <c r="A12" s="2942">
        <v>11</v>
      </c>
      <c r="B12" s="2943" t="s">
        <v>3073</v>
      </c>
      <c r="C12" s="2942">
        <v>145</v>
      </c>
    </row>
    <row r="13" spans="1:3">
      <c r="A13" s="2942">
        <v>12</v>
      </c>
      <c r="B13" s="2943" t="s">
        <v>3074</v>
      </c>
      <c r="C13" s="2942">
        <v>116.69</v>
      </c>
    </row>
    <row r="14" spans="1:3">
      <c r="A14" s="2942">
        <v>13</v>
      </c>
      <c r="B14" s="2943" t="s">
        <v>3075</v>
      </c>
      <c r="C14" s="2942">
        <v>116.69</v>
      </c>
    </row>
    <row r="15" spans="1:3">
      <c r="A15" s="2942">
        <v>14</v>
      </c>
      <c r="B15" s="2943" t="s">
        <v>3076</v>
      </c>
      <c r="C15" s="2942">
        <v>145</v>
      </c>
    </row>
    <row r="16" spans="1:3">
      <c r="A16" s="2942">
        <v>15</v>
      </c>
      <c r="B16" s="2943" t="s">
        <v>3077</v>
      </c>
      <c r="C16" s="2942">
        <v>142.47</v>
      </c>
    </row>
    <row r="17" spans="1:3">
      <c r="A17" s="2942">
        <v>16</v>
      </c>
      <c r="B17" s="2943" t="s">
        <v>3078</v>
      </c>
      <c r="C17" s="2942">
        <v>135.65</v>
      </c>
    </row>
    <row r="18" spans="1:3">
      <c r="A18" s="2942">
        <v>17</v>
      </c>
      <c r="B18" s="2943" t="s">
        <v>3079</v>
      </c>
      <c r="C18" s="2942">
        <v>95.64</v>
      </c>
    </row>
    <row r="19" spans="1:3">
      <c r="A19" s="2942">
        <v>18</v>
      </c>
      <c r="B19" s="2943" t="s">
        <v>3080</v>
      </c>
      <c r="C19" s="2942">
        <v>95.64</v>
      </c>
    </row>
    <row r="20" spans="1:3">
      <c r="A20" s="2942">
        <v>19</v>
      </c>
      <c r="B20" s="2943" t="s">
        <v>3081</v>
      </c>
      <c r="C20" s="2942">
        <v>135.65</v>
      </c>
    </row>
    <row r="21" spans="1:3">
      <c r="A21" s="2942">
        <v>20</v>
      </c>
      <c r="B21" s="2943" t="s">
        <v>3082</v>
      </c>
      <c r="C21" s="2942">
        <v>118.61</v>
      </c>
    </row>
    <row r="22" spans="1:3">
      <c r="A22" s="2942">
        <v>21</v>
      </c>
      <c r="B22" s="2943" t="s">
        <v>3083</v>
      </c>
      <c r="C22" s="2942">
        <v>145</v>
      </c>
    </row>
    <row r="23" spans="1:3">
      <c r="A23" s="2942">
        <v>22</v>
      </c>
      <c r="B23" s="2943" t="s">
        <v>3084</v>
      </c>
      <c r="C23" s="2942">
        <v>116.69</v>
      </c>
    </row>
    <row r="24" spans="1:3">
      <c r="A24" s="2942">
        <v>23</v>
      </c>
      <c r="B24" s="2943" t="s">
        <v>3085</v>
      </c>
      <c r="C24" s="2942">
        <v>116.69</v>
      </c>
    </row>
    <row r="25" spans="1:3">
      <c r="A25" s="2942">
        <v>24</v>
      </c>
      <c r="B25" s="2943" t="s">
        <v>3086</v>
      </c>
      <c r="C25" s="2942">
        <v>145</v>
      </c>
    </row>
    <row r="26" spans="1:3">
      <c r="A26" s="2942">
        <v>25</v>
      </c>
      <c r="B26" s="2943" t="s">
        <v>3087</v>
      </c>
      <c r="C26" s="2942">
        <v>142.47</v>
      </c>
    </row>
    <row r="27" spans="1:3">
      <c r="A27" s="2942">
        <v>26</v>
      </c>
      <c r="B27" s="2943" t="s">
        <v>3088</v>
      </c>
      <c r="C27" s="2942">
        <v>135.65</v>
      </c>
    </row>
    <row r="28" spans="1:3">
      <c r="A28" s="2942">
        <v>27</v>
      </c>
      <c r="B28" s="2943" t="s">
        <v>3089</v>
      </c>
      <c r="C28" s="2942">
        <v>95.64</v>
      </c>
    </row>
    <row r="29" spans="1:3">
      <c r="A29" s="2942">
        <v>28</v>
      </c>
      <c r="B29" s="2943" t="s">
        <v>3090</v>
      </c>
      <c r="C29" s="2942">
        <v>95.64</v>
      </c>
    </row>
    <row r="30" spans="1:3">
      <c r="A30" s="2942">
        <v>29</v>
      </c>
      <c r="B30" s="2943" t="s">
        <v>3091</v>
      </c>
      <c r="C30" s="2942">
        <v>135.65</v>
      </c>
    </row>
    <row r="31" spans="1:3">
      <c r="A31" s="2942">
        <v>30</v>
      </c>
      <c r="B31" s="2943" t="s">
        <v>3092</v>
      </c>
      <c r="C31" s="2942">
        <v>118.61</v>
      </c>
    </row>
    <row r="32" spans="1:3">
      <c r="A32" s="2942">
        <v>31</v>
      </c>
      <c r="B32" s="2943" t="s">
        <v>3093</v>
      </c>
      <c r="C32" s="2942">
        <v>145</v>
      </c>
    </row>
    <row r="33" spans="1:7">
      <c r="A33" s="2942">
        <v>32</v>
      </c>
      <c r="B33" s="2943" t="s">
        <v>3094</v>
      </c>
      <c r="C33" s="2942">
        <v>116.69</v>
      </c>
    </row>
    <row r="34" spans="1:7">
      <c r="A34" s="2942">
        <v>33</v>
      </c>
      <c r="B34" s="2943" t="s">
        <v>3095</v>
      </c>
      <c r="C34" s="2942">
        <v>116.69</v>
      </c>
    </row>
    <row r="35" spans="1:7">
      <c r="A35" s="2942">
        <v>34</v>
      </c>
      <c r="B35" s="2943" t="s">
        <v>3096</v>
      </c>
      <c r="C35" s="2942">
        <v>145</v>
      </c>
      <c r="F35" s="2944" t="s">
        <v>3138</v>
      </c>
      <c r="G35" s="2944">
        <v>9299.5400000000009</v>
      </c>
    </row>
    <row r="36" spans="1:7">
      <c r="A36" s="2942">
        <v>35</v>
      </c>
      <c r="B36" s="2943" t="s">
        <v>3097</v>
      </c>
      <c r="C36" s="2942">
        <v>142.47</v>
      </c>
      <c r="F36" s="2944" t="s">
        <v>3136</v>
      </c>
      <c r="G36" s="2944">
        <v>4183.0200000000004</v>
      </c>
    </row>
    <row r="37" spans="1:7">
      <c r="A37" s="2942">
        <v>36</v>
      </c>
      <c r="B37" s="2943" t="s">
        <v>3098</v>
      </c>
      <c r="C37" s="2942">
        <v>135.65</v>
      </c>
      <c r="F37" s="2944" t="s">
        <v>3137</v>
      </c>
      <c r="G37" s="2944">
        <v>26961.96</v>
      </c>
    </row>
    <row r="38" spans="1:7">
      <c r="A38" s="2942">
        <v>37</v>
      </c>
      <c r="B38" s="2943" t="s">
        <v>3099</v>
      </c>
      <c r="C38" s="2942">
        <v>95.64</v>
      </c>
      <c r="F38" s="2944" t="s">
        <v>3139</v>
      </c>
      <c r="G38" s="2944">
        <v>2337.94</v>
      </c>
    </row>
    <row r="39" spans="1:7">
      <c r="A39" s="2942">
        <v>38</v>
      </c>
      <c r="B39" s="2943" t="s">
        <v>3100</v>
      </c>
      <c r="C39" s="2942">
        <v>95.64</v>
      </c>
      <c r="F39" s="2944" t="s">
        <v>3140</v>
      </c>
      <c r="G39" s="2944">
        <v>14005.04</v>
      </c>
    </row>
    <row r="40" spans="1:7">
      <c r="A40" s="2942">
        <v>39</v>
      </c>
      <c r="B40" s="2943" t="s">
        <v>3101</v>
      </c>
      <c r="C40" s="2942">
        <v>135.65</v>
      </c>
      <c r="F40" s="2944" t="s">
        <v>3141</v>
      </c>
      <c r="G40" s="2944">
        <v>4523.63</v>
      </c>
    </row>
    <row r="41" spans="1:7">
      <c r="A41" s="2942">
        <v>40</v>
      </c>
      <c r="B41" s="2943" t="s">
        <v>3102</v>
      </c>
      <c r="C41" s="2942">
        <v>118.61</v>
      </c>
      <c r="G41" s="2944">
        <f>SUM(G35:G40)</f>
        <v>61311.130000000005</v>
      </c>
    </row>
    <row r="42" spans="1:7">
      <c r="A42" s="2942">
        <v>41</v>
      </c>
      <c r="B42" s="2943" t="s">
        <v>3110</v>
      </c>
      <c r="C42" s="2942">
        <v>145</v>
      </c>
    </row>
    <row r="43" spans="1:7" ht="13.5">
      <c r="A43" s="2942">
        <v>42</v>
      </c>
      <c r="B43" s="2943" t="s">
        <v>3111</v>
      </c>
      <c r="C43" s="2942">
        <v>116.69</v>
      </c>
      <c r="F43" s="2944" t="s">
        <v>3142</v>
      </c>
      <c r="G43" s="2944">
        <v>245584</v>
      </c>
    </row>
    <row r="44" spans="1:7" ht="13.5">
      <c r="A44" s="2942">
        <v>43</v>
      </c>
      <c r="B44" s="2943" t="s">
        <v>3112</v>
      </c>
      <c r="C44" s="2942">
        <v>116.69</v>
      </c>
      <c r="F44" s="2944" t="s">
        <v>3143</v>
      </c>
      <c r="G44" s="2944">
        <v>63227.94</v>
      </c>
    </row>
    <row r="45" spans="1:7" ht="13.5">
      <c r="A45" s="2942">
        <v>44</v>
      </c>
      <c r="B45" s="2943" t="s">
        <v>3113</v>
      </c>
      <c r="C45" s="2942">
        <v>145</v>
      </c>
      <c r="F45" s="2944" t="s">
        <v>3144</v>
      </c>
      <c r="G45" s="2944">
        <f>ROUND(G41/G43*G44,2)</f>
        <v>15785.13</v>
      </c>
    </row>
    <row r="46" spans="1:7" ht="13.5">
      <c r="A46" s="2942">
        <v>45</v>
      </c>
      <c r="B46" s="2943" t="s">
        <v>3114</v>
      </c>
      <c r="C46" s="2942">
        <v>142.47</v>
      </c>
    </row>
    <row r="47" spans="1:7" ht="13.5">
      <c r="A47" s="2942">
        <v>46</v>
      </c>
      <c r="B47" s="2943" t="s">
        <v>3115</v>
      </c>
      <c r="C47" s="2942">
        <v>135.65</v>
      </c>
    </row>
    <row r="48" spans="1:7" ht="13.5">
      <c r="A48" s="2942">
        <v>47</v>
      </c>
      <c r="B48" s="2943" t="s">
        <v>3116</v>
      </c>
      <c r="C48" s="2942">
        <v>95.64</v>
      </c>
    </row>
    <row r="49" spans="1:3" ht="13.5">
      <c r="A49" s="2942">
        <v>48</v>
      </c>
      <c r="B49" s="2943" t="s">
        <v>3117</v>
      </c>
      <c r="C49" s="2942">
        <v>95.64</v>
      </c>
    </row>
    <row r="50" spans="1:3" ht="13.5">
      <c r="A50" s="2942">
        <v>49</v>
      </c>
      <c r="B50" s="2943" t="s">
        <v>3118</v>
      </c>
      <c r="C50" s="2942">
        <v>135.65</v>
      </c>
    </row>
    <row r="51" spans="1:3" ht="13.5">
      <c r="A51" s="2942">
        <v>50</v>
      </c>
      <c r="B51" s="2943" t="s">
        <v>3119</v>
      </c>
      <c r="C51" s="2942">
        <v>118.61</v>
      </c>
    </row>
    <row r="52" spans="1:3">
      <c r="A52" s="2942">
        <v>51</v>
      </c>
      <c r="B52" s="2943" t="s">
        <v>3120</v>
      </c>
      <c r="C52" s="2942">
        <v>145</v>
      </c>
    </row>
    <row r="53" spans="1:3" ht="13.5">
      <c r="A53" s="2942">
        <v>52</v>
      </c>
      <c r="B53" s="2943" t="s">
        <v>3121</v>
      </c>
      <c r="C53" s="2942">
        <v>116.69</v>
      </c>
    </row>
    <row r="54" spans="1:3" ht="13.5">
      <c r="A54" s="2942">
        <v>53</v>
      </c>
      <c r="B54" s="2943" t="s">
        <v>3122</v>
      </c>
      <c r="C54" s="2942">
        <v>116.69</v>
      </c>
    </row>
    <row r="55" spans="1:3" ht="13.5">
      <c r="A55" s="2942">
        <v>54</v>
      </c>
      <c r="B55" s="2943" t="s">
        <v>3123</v>
      </c>
      <c r="C55" s="2942">
        <v>145</v>
      </c>
    </row>
    <row r="56" spans="1:3" ht="13.5">
      <c r="A56" s="2942">
        <v>55</v>
      </c>
      <c r="B56" s="2943" t="s">
        <v>3124</v>
      </c>
      <c r="C56" s="2942">
        <v>142.47</v>
      </c>
    </row>
    <row r="57" spans="1:3" ht="13.5">
      <c r="A57" s="2942">
        <v>56</v>
      </c>
      <c r="B57" s="2943" t="s">
        <v>3125</v>
      </c>
      <c r="C57" s="2942">
        <v>135.65</v>
      </c>
    </row>
    <row r="58" spans="1:3" ht="13.5">
      <c r="A58" s="2942">
        <v>57</v>
      </c>
      <c r="B58" s="2943" t="s">
        <v>3126</v>
      </c>
      <c r="C58" s="2942">
        <v>95.64</v>
      </c>
    </row>
    <row r="59" spans="1:3" ht="13.5">
      <c r="A59" s="2942">
        <v>58</v>
      </c>
      <c r="B59" s="2943" t="s">
        <v>3127</v>
      </c>
      <c r="C59" s="2942">
        <v>95.64</v>
      </c>
    </row>
    <row r="60" spans="1:3" ht="13.5">
      <c r="A60" s="2942">
        <v>59</v>
      </c>
      <c r="B60" s="2943" t="s">
        <v>3128</v>
      </c>
      <c r="C60" s="2942">
        <v>135.65</v>
      </c>
    </row>
    <row r="61" spans="1:3" ht="13.5">
      <c r="A61" s="2942">
        <v>60</v>
      </c>
      <c r="B61" s="2943" t="s">
        <v>3129</v>
      </c>
      <c r="C61" s="2942">
        <v>118.61</v>
      </c>
    </row>
    <row r="62" spans="1:3">
      <c r="A62" s="2942">
        <v>61</v>
      </c>
      <c r="B62" s="2943" t="s">
        <v>3130</v>
      </c>
      <c r="C62" s="2942">
        <v>116.83</v>
      </c>
    </row>
    <row r="63" spans="1:3" ht="13.5">
      <c r="A63" s="2942">
        <v>62</v>
      </c>
      <c r="B63" s="2943" t="s">
        <v>3131</v>
      </c>
      <c r="C63" s="2942">
        <v>135.37</v>
      </c>
    </row>
    <row r="64" spans="1:3" ht="13.5">
      <c r="A64" s="2942">
        <v>63</v>
      </c>
      <c r="B64" s="2943" t="s">
        <v>3132</v>
      </c>
      <c r="C64" s="2942">
        <v>95.64</v>
      </c>
    </row>
    <row r="65" spans="1:3" ht="13.5">
      <c r="A65" s="2942">
        <v>64</v>
      </c>
      <c r="B65" s="2943" t="s">
        <v>3133</v>
      </c>
      <c r="C65" s="2942">
        <v>95.64</v>
      </c>
    </row>
    <row r="66" spans="1:3" ht="13.5">
      <c r="A66" s="2942">
        <v>65</v>
      </c>
      <c r="B66" s="2943" t="s">
        <v>3134</v>
      </c>
      <c r="C66" s="2942">
        <v>135.36000000000001</v>
      </c>
    </row>
    <row r="67" spans="1:3" ht="13.5">
      <c r="A67" s="2942">
        <v>66</v>
      </c>
      <c r="B67" s="2943" t="s">
        <v>3135</v>
      </c>
      <c r="C67" s="2942">
        <v>116.83</v>
      </c>
    </row>
    <row r="68" spans="1:3">
      <c r="A68" s="3678" t="s">
        <v>3103</v>
      </c>
      <c r="B68" s="3679"/>
      <c r="C68" s="2943">
        <f>SUM(C2:C67)</f>
        <v>8177.909999999998</v>
      </c>
    </row>
    <row r="69" spans="1:3">
      <c r="A69" s="2945"/>
      <c r="B69" s="2946"/>
      <c r="C69" s="2946"/>
    </row>
    <row r="70" spans="1:3">
      <c r="A70" s="2942">
        <v>1</v>
      </c>
      <c r="B70" s="2943" t="s">
        <v>3324</v>
      </c>
      <c r="C70" s="2942">
        <v>226.86</v>
      </c>
    </row>
    <row r="71" spans="1:3">
      <c r="A71" s="2942">
        <v>2</v>
      </c>
      <c r="B71" s="2943" t="s">
        <v>3325</v>
      </c>
      <c r="C71" s="2942">
        <v>162.05000000000001</v>
      </c>
    </row>
    <row r="72" spans="1:3">
      <c r="A72" s="2942">
        <v>3</v>
      </c>
      <c r="B72" s="2943" t="s">
        <v>3326</v>
      </c>
      <c r="C72" s="2942">
        <v>237.65</v>
      </c>
    </row>
    <row r="73" spans="1:3">
      <c r="A73" s="2942">
        <v>4</v>
      </c>
      <c r="B73" s="2943" t="s">
        <v>3327</v>
      </c>
      <c r="C73" s="2947">
        <v>365.32</v>
      </c>
    </row>
    <row r="74" spans="1:3">
      <c r="A74" s="2942">
        <v>5</v>
      </c>
      <c r="B74" s="2943" t="s">
        <v>3328</v>
      </c>
      <c r="C74" s="2947">
        <v>175.44</v>
      </c>
    </row>
    <row r="75" spans="1:3">
      <c r="A75" s="2942">
        <v>6</v>
      </c>
      <c r="B75" s="2943" t="s">
        <v>3329</v>
      </c>
      <c r="C75" s="2947">
        <v>125.94</v>
      </c>
    </row>
    <row r="76" spans="1:3">
      <c r="A76" s="2942">
        <v>7</v>
      </c>
      <c r="B76" s="2943" t="s">
        <v>3330</v>
      </c>
      <c r="C76" s="2947">
        <v>272.33</v>
      </c>
    </row>
    <row r="77" spans="1:3">
      <c r="A77" s="2942">
        <v>8</v>
      </c>
      <c r="B77" s="2943" t="s">
        <v>3331</v>
      </c>
      <c r="C77" s="2947">
        <v>146.54</v>
      </c>
    </row>
    <row r="78" spans="1:3">
      <c r="A78" s="2942">
        <v>9</v>
      </c>
      <c r="B78" s="2943" t="s">
        <v>3335</v>
      </c>
      <c r="C78" s="2947">
        <v>301.83</v>
      </c>
    </row>
    <row r="79" spans="1:3">
      <c r="A79" s="2942">
        <v>10</v>
      </c>
      <c r="B79" s="2943" t="s">
        <v>3332</v>
      </c>
      <c r="C79" s="2942">
        <v>290.98</v>
      </c>
    </row>
    <row r="80" spans="1:3">
      <c r="A80" s="2942">
        <v>11</v>
      </c>
      <c r="B80" s="2943" t="s">
        <v>3333</v>
      </c>
      <c r="C80" s="2942">
        <v>145.68</v>
      </c>
    </row>
    <row r="81" spans="1:3">
      <c r="A81" s="2942">
        <v>12</v>
      </c>
      <c r="B81" s="2943" t="s">
        <v>3334</v>
      </c>
      <c r="C81" s="2942">
        <v>245.34</v>
      </c>
    </row>
    <row r="82" spans="1:3">
      <c r="A82" s="2942">
        <v>13</v>
      </c>
      <c r="B82" s="2943" t="s">
        <v>3336</v>
      </c>
      <c r="C82" s="2947">
        <v>365.32</v>
      </c>
    </row>
    <row r="83" spans="1:3">
      <c r="A83" s="2942">
        <v>14</v>
      </c>
      <c r="B83" s="2943" t="s">
        <v>3337</v>
      </c>
      <c r="C83" s="2947">
        <v>175.44</v>
      </c>
    </row>
    <row r="84" spans="1:3">
      <c r="A84" s="2942">
        <v>15</v>
      </c>
      <c r="B84" s="2943" t="s">
        <v>3338</v>
      </c>
      <c r="C84" s="2947">
        <v>125.94</v>
      </c>
    </row>
    <row r="85" spans="1:3">
      <c r="A85" s="2942">
        <v>16</v>
      </c>
      <c r="B85" s="2943" t="s">
        <v>3339</v>
      </c>
      <c r="C85" s="2947">
        <v>105.27</v>
      </c>
    </row>
    <row r="86" spans="1:3">
      <c r="A86" s="2942">
        <v>17</v>
      </c>
      <c r="B86" s="2943" t="s">
        <v>3340</v>
      </c>
      <c r="C86" s="2947">
        <v>314.12</v>
      </c>
    </row>
    <row r="87" spans="1:3">
      <c r="A87" s="2942">
        <v>18</v>
      </c>
      <c r="B87" s="2943" t="s">
        <v>3341</v>
      </c>
      <c r="C87" s="2947">
        <v>155.63</v>
      </c>
    </row>
    <row r="88" spans="1:3">
      <c r="A88" s="2942">
        <v>19</v>
      </c>
      <c r="B88" s="2943" t="s">
        <v>3342</v>
      </c>
      <c r="C88" s="2942">
        <v>245.34</v>
      </c>
    </row>
    <row r="89" spans="1:3">
      <c r="A89" s="3680" t="s">
        <v>3104</v>
      </c>
      <c r="B89" s="3680"/>
      <c r="C89" s="2942">
        <f>SUM(C70:C88)</f>
        <v>4183.0200000000004</v>
      </c>
    </row>
    <row r="90" spans="1:3">
      <c r="A90" s="2945"/>
      <c r="B90" s="2945"/>
      <c r="C90" s="2945"/>
    </row>
    <row r="91" spans="1:3">
      <c r="A91" s="2942">
        <v>1</v>
      </c>
      <c r="B91" s="2948" t="s">
        <v>3343</v>
      </c>
      <c r="C91" s="2942">
        <v>607.91999999999996</v>
      </c>
    </row>
    <row r="92" spans="1:3">
      <c r="A92" s="2942">
        <v>2</v>
      </c>
      <c r="B92" s="2948" t="s">
        <v>3344</v>
      </c>
      <c r="C92" s="2942">
        <v>608.79</v>
      </c>
    </row>
    <row r="93" spans="1:3">
      <c r="A93" s="2942">
        <v>3</v>
      </c>
      <c r="B93" s="2948" t="s">
        <v>3345</v>
      </c>
      <c r="C93" s="2943">
        <v>607.99</v>
      </c>
    </row>
    <row r="94" spans="1:3">
      <c r="A94" s="2949">
        <v>4</v>
      </c>
      <c r="B94" s="2948" t="s">
        <v>3346</v>
      </c>
      <c r="C94" s="2943">
        <v>608.79</v>
      </c>
    </row>
    <row r="95" spans="1:3">
      <c r="A95" s="2942">
        <v>5</v>
      </c>
      <c r="B95" s="2948" t="s">
        <v>3347</v>
      </c>
      <c r="C95" s="2942">
        <v>608.79</v>
      </c>
    </row>
    <row r="96" spans="1:3">
      <c r="A96" s="2949">
        <v>6</v>
      </c>
      <c r="B96" s="2948" t="s">
        <v>3348</v>
      </c>
      <c r="C96" s="2942">
        <v>445.28</v>
      </c>
    </row>
    <row r="97" spans="1:3">
      <c r="A97" s="2942">
        <v>7</v>
      </c>
      <c r="B97" s="2948" t="s">
        <v>3349</v>
      </c>
      <c r="C97" s="2942">
        <v>183.69</v>
      </c>
    </row>
    <row r="98" spans="1:3">
      <c r="A98" s="2942">
        <v>8</v>
      </c>
      <c r="B98" s="2948" t="s">
        <v>3350</v>
      </c>
      <c r="C98" s="2942">
        <v>140.68</v>
      </c>
    </row>
    <row r="99" spans="1:3">
      <c r="A99" s="2949">
        <v>9</v>
      </c>
      <c r="B99" s="2948" t="s">
        <v>3351</v>
      </c>
      <c r="C99" s="2942">
        <v>112.36</v>
      </c>
    </row>
    <row r="100" spans="1:3">
      <c r="A100" s="2942">
        <v>10</v>
      </c>
      <c r="B100" s="2948" t="s">
        <v>3352</v>
      </c>
      <c r="C100" s="2942">
        <v>93.26</v>
      </c>
    </row>
    <row r="101" spans="1:3">
      <c r="A101" s="2949">
        <v>11</v>
      </c>
      <c r="B101" s="2948" t="s">
        <v>3353</v>
      </c>
      <c r="C101" s="2942">
        <v>381.76</v>
      </c>
    </row>
    <row r="102" spans="1:3">
      <c r="A102" s="2942">
        <v>12</v>
      </c>
      <c r="B102" s="2948" t="s">
        <v>3354</v>
      </c>
      <c r="C102" s="2942">
        <v>423.44</v>
      </c>
    </row>
    <row r="103" spans="1:3">
      <c r="A103" s="2942">
        <v>13</v>
      </c>
      <c r="B103" s="2943" t="s">
        <v>3355</v>
      </c>
      <c r="C103" s="2942">
        <v>227.29</v>
      </c>
    </row>
    <row r="104" spans="1:3">
      <c r="A104" s="2949">
        <v>14</v>
      </c>
      <c r="B104" s="2948" t="s">
        <v>3356</v>
      </c>
      <c r="C104" s="2942">
        <v>117.62</v>
      </c>
    </row>
    <row r="105" spans="1:3">
      <c r="A105" s="2942">
        <v>15</v>
      </c>
      <c r="B105" s="2948" t="s">
        <v>3357</v>
      </c>
      <c r="C105" s="2942">
        <v>234.73</v>
      </c>
    </row>
    <row r="106" spans="1:3">
      <c r="A106" s="2949">
        <v>16</v>
      </c>
      <c r="B106" s="2948" t="s">
        <v>3358</v>
      </c>
      <c r="C106" s="2942">
        <v>182.41</v>
      </c>
    </row>
    <row r="107" spans="1:3">
      <c r="A107" s="2942">
        <v>17</v>
      </c>
      <c r="B107" s="2948" t="s">
        <v>3359</v>
      </c>
      <c r="C107" s="2942">
        <v>140.68</v>
      </c>
    </row>
    <row r="108" spans="1:3">
      <c r="A108" s="2942">
        <v>18</v>
      </c>
      <c r="B108" s="2948" t="s">
        <v>3360</v>
      </c>
      <c r="C108" s="2942">
        <v>112.36</v>
      </c>
    </row>
    <row r="109" spans="1:3">
      <c r="A109" s="2949">
        <v>19</v>
      </c>
      <c r="B109" s="2948" t="s">
        <v>3361</v>
      </c>
      <c r="C109" s="2942">
        <v>93.26</v>
      </c>
    </row>
    <row r="110" spans="1:3">
      <c r="A110" s="2942">
        <v>20</v>
      </c>
      <c r="B110" s="2948" t="s">
        <v>3362</v>
      </c>
      <c r="C110" s="2942">
        <v>251.59</v>
      </c>
    </row>
    <row r="111" spans="1:3">
      <c r="A111" s="2949">
        <v>21</v>
      </c>
      <c r="B111" s="2948" t="s">
        <v>3363</v>
      </c>
      <c r="C111" s="2942">
        <v>282.94</v>
      </c>
    </row>
    <row r="112" spans="1:3">
      <c r="A112" s="2942">
        <v>22</v>
      </c>
      <c r="B112" s="2943" t="s">
        <v>3364</v>
      </c>
      <c r="C112" s="2942">
        <v>227.29</v>
      </c>
    </row>
    <row r="113" spans="1:3">
      <c r="A113" s="2942">
        <v>23</v>
      </c>
      <c r="B113" s="2948" t="s">
        <v>3365</v>
      </c>
      <c r="C113" s="2942">
        <v>117.62</v>
      </c>
    </row>
    <row r="114" spans="1:3">
      <c r="A114" s="2949">
        <v>24</v>
      </c>
      <c r="B114" s="2948" t="s">
        <v>3366</v>
      </c>
      <c r="C114" s="2942">
        <v>234.4</v>
      </c>
    </row>
    <row r="115" spans="1:3">
      <c r="A115" s="2942">
        <v>25</v>
      </c>
      <c r="B115" s="2948" t="s">
        <v>3367</v>
      </c>
      <c r="C115" s="2942">
        <v>182.41</v>
      </c>
    </row>
    <row r="116" spans="1:3">
      <c r="A116" s="2949">
        <v>26</v>
      </c>
      <c r="B116" s="2948" t="s">
        <v>3368</v>
      </c>
      <c r="C116" s="2942">
        <v>140.68</v>
      </c>
    </row>
    <row r="117" spans="1:3">
      <c r="A117" s="2942">
        <v>27</v>
      </c>
      <c r="B117" s="2948" t="s">
        <v>3369</v>
      </c>
      <c r="C117" s="2942">
        <v>112.36</v>
      </c>
    </row>
    <row r="118" spans="1:3">
      <c r="A118" s="2942">
        <v>28</v>
      </c>
      <c r="B118" s="2948" t="s">
        <v>3370</v>
      </c>
      <c r="C118" s="2942">
        <v>93.19</v>
      </c>
    </row>
    <row r="119" spans="1:3">
      <c r="A119" s="2949">
        <v>29</v>
      </c>
      <c r="B119" s="2948" t="s">
        <v>3371</v>
      </c>
      <c r="C119" s="2942">
        <v>381.82</v>
      </c>
    </row>
    <row r="120" spans="1:3">
      <c r="A120" s="2942">
        <v>30</v>
      </c>
      <c r="B120" s="2943" t="s">
        <v>3372</v>
      </c>
      <c r="C120" s="2942">
        <v>423.44</v>
      </c>
    </row>
    <row r="121" spans="1:3">
      <c r="A121" s="2949">
        <v>31</v>
      </c>
      <c r="B121" s="2943" t="s">
        <v>3373</v>
      </c>
      <c r="C121" s="2942">
        <v>227.29</v>
      </c>
    </row>
    <row r="122" spans="1:3">
      <c r="A122" s="2942">
        <v>32</v>
      </c>
      <c r="B122" s="2948" t="s">
        <v>3374</v>
      </c>
      <c r="C122" s="2942">
        <v>117.62</v>
      </c>
    </row>
    <row r="123" spans="1:3">
      <c r="A123" s="2942">
        <v>33</v>
      </c>
      <c r="B123" s="2948" t="s">
        <v>3375</v>
      </c>
      <c r="C123" s="2942">
        <v>234.4</v>
      </c>
    </row>
    <row r="124" spans="1:3">
      <c r="A124" s="2949">
        <v>34</v>
      </c>
      <c r="B124" s="2948" t="s">
        <v>3376</v>
      </c>
      <c r="C124" s="2942">
        <v>182.41</v>
      </c>
    </row>
    <row r="125" spans="1:3">
      <c r="A125" s="2942">
        <v>35</v>
      </c>
      <c r="B125" s="2948" t="s">
        <v>3377</v>
      </c>
      <c r="C125" s="2942">
        <v>140.68</v>
      </c>
    </row>
    <row r="126" spans="1:3">
      <c r="A126" s="2949">
        <v>36</v>
      </c>
      <c r="B126" s="2948" t="s">
        <v>3378</v>
      </c>
      <c r="C126" s="2942">
        <v>112.36</v>
      </c>
    </row>
    <row r="127" spans="1:3">
      <c r="A127" s="2942">
        <v>37</v>
      </c>
      <c r="B127" s="2948" t="s">
        <v>3379</v>
      </c>
      <c r="C127" s="2942">
        <v>93.19</v>
      </c>
    </row>
    <row r="128" spans="1:3">
      <c r="A128" s="2942">
        <v>38</v>
      </c>
      <c r="B128" s="2948" t="s">
        <v>3380</v>
      </c>
      <c r="C128" s="2942">
        <v>251.66</v>
      </c>
    </row>
    <row r="129" spans="1:3">
      <c r="A129" s="2949">
        <v>39</v>
      </c>
      <c r="B129" s="2948" t="s">
        <v>3381</v>
      </c>
      <c r="C129" s="2942">
        <v>282.94</v>
      </c>
    </row>
    <row r="130" spans="1:3">
      <c r="A130" s="2942">
        <v>40</v>
      </c>
      <c r="B130" s="2943" t="s">
        <v>3382</v>
      </c>
      <c r="C130" s="2942">
        <v>227.29</v>
      </c>
    </row>
    <row r="131" spans="1:3">
      <c r="A131" s="2949">
        <v>41</v>
      </c>
      <c r="B131" s="2948" t="s">
        <v>3383</v>
      </c>
      <c r="C131" s="2942">
        <v>117.62</v>
      </c>
    </row>
    <row r="132" spans="1:3">
      <c r="A132" s="2942">
        <v>42</v>
      </c>
      <c r="B132" s="2948" t="s">
        <v>3384</v>
      </c>
      <c r="C132" s="2942">
        <v>234.4</v>
      </c>
    </row>
    <row r="133" spans="1:3">
      <c r="A133" s="2942">
        <v>43</v>
      </c>
      <c r="B133" s="2948" t="s">
        <v>3385</v>
      </c>
      <c r="C133" s="2942">
        <v>182.41</v>
      </c>
    </row>
    <row r="134" spans="1:3">
      <c r="A134" s="2949">
        <v>44</v>
      </c>
      <c r="B134" s="2948" t="s">
        <v>3386</v>
      </c>
      <c r="C134" s="2942">
        <v>140.68</v>
      </c>
    </row>
    <row r="135" spans="1:3">
      <c r="A135" s="2942">
        <v>45</v>
      </c>
      <c r="B135" s="2948" t="s">
        <v>3387</v>
      </c>
      <c r="C135" s="2942">
        <v>112.36</v>
      </c>
    </row>
    <row r="136" spans="1:3">
      <c r="A136" s="2949">
        <v>46</v>
      </c>
      <c r="B136" s="2948" t="s">
        <v>3388</v>
      </c>
      <c r="C136" s="2942">
        <v>95</v>
      </c>
    </row>
    <row r="137" spans="1:3">
      <c r="A137" s="2942">
        <v>47</v>
      </c>
      <c r="B137" s="2948" t="s">
        <v>3389</v>
      </c>
      <c r="C137" s="2942">
        <v>207.12</v>
      </c>
    </row>
    <row r="138" spans="1:3">
      <c r="A138" s="2942">
        <v>48</v>
      </c>
      <c r="B138" s="2948" t="s">
        <v>3390</v>
      </c>
      <c r="C138" s="2942">
        <v>236.79</v>
      </c>
    </row>
    <row r="139" spans="1:3">
      <c r="A139" s="2949">
        <v>49</v>
      </c>
      <c r="B139" s="2943" t="s">
        <v>3391</v>
      </c>
      <c r="C139" s="2942">
        <v>227.29</v>
      </c>
    </row>
    <row r="140" spans="1:3">
      <c r="A140" s="2942">
        <v>50</v>
      </c>
      <c r="B140" s="2943" t="s">
        <v>3392</v>
      </c>
      <c r="C140" s="2942">
        <v>117.62</v>
      </c>
    </row>
    <row r="141" spans="1:3">
      <c r="A141" s="2949">
        <v>51</v>
      </c>
      <c r="B141" s="2943" t="s">
        <v>3393</v>
      </c>
      <c r="C141" s="2942">
        <v>234.4</v>
      </c>
    </row>
    <row r="142" spans="1:3">
      <c r="A142" s="2942">
        <v>52</v>
      </c>
      <c r="B142" s="2943" t="s">
        <v>3394</v>
      </c>
      <c r="C142" s="2942">
        <v>182.41</v>
      </c>
    </row>
    <row r="143" spans="1:3">
      <c r="A143" s="2942">
        <v>53</v>
      </c>
      <c r="B143" s="2943" t="s">
        <v>3395</v>
      </c>
      <c r="C143" s="2942">
        <v>140.68</v>
      </c>
    </row>
    <row r="144" spans="1:3">
      <c r="A144" s="2949">
        <v>54</v>
      </c>
      <c r="B144" s="2943" t="s">
        <v>3396</v>
      </c>
      <c r="C144" s="2942">
        <v>112.36</v>
      </c>
    </row>
    <row r="145" spans="1:3">
      <c r="A145" s="2942">
        <v>55</v>
      </c>
      <c r="B145" s="2943" t="s">
        <v>3397</v>
      </c>
      <c r="C145" s="2942">
        <v>95.1</v>
      </c>
    </row>
    <row r="146" spans="1:3">
      <c r="A146" s="2949">
        <v>56</v>
      </c>
      <c r="B146" s="2943" t="s">
        <v>3398</v>
      </c>
      <c r="C146" s="2942">
        <v>208.29</v>
      </c>
    </row>
    <row r="147" spans="1:3">
      <c r="A147" s="2942">
        <v>57</v>
      </c>
      <c r="B147" s="2943" t="s">
        <v>3399</v>
      </c>
      <c r="C147" s="2942">
        <v>238.16</v>
      </c>
    </row>
    <row r="148" spans="1:3">
      <c r="A148" s="2942">
        <v>58</v>
      </c>
      <c r="B148" s="2943" t="s">
        <v>3400</v>
      </c>
      <c r="C148" s="2942">
        <v>227.29</v>
      </c>
    </row>
    <row r="149" spans="1:3">
      <c r="A149" s="2949">
        <v>59</v>
      </c>
      <c r="B149" s="2943" t="s">
        <v>3401</v>
      </c>
      <c r="C149" s="2942">
        <v>117.62</v>
      </c>
    </row>
    <row r="150" spans="1:3">
      <c r="A150" s="2942">
        <v>60</v>
      </c>
      <c r="B150" s="2943" t="s">
        <v>3402</v>
      </c>
      <c r="C150" s="2942">
        <v>234.4</v>
      </c>
    </row>
    <row r="151" spans="1:3">
      <c r="A151" s="2949">
        <v>61</v>
      </c>
      <c r="B151" s="2943" t="s">
        <v>3403</v>
      </c>
      <c r="C151" s="2942">
        <v>366.01</v>
      </c>
    </row>
    <row r="152" spans="1:3">
      <c r="A152" s="2942">
        <v>62</v>
      </c>
      <c r="B152" s="2943" t="s">
        <v>3404</v>
      </c>
      <c r="C152" s="2942">
        <v>175.77</v>
      </c>
    </row>
    <row r="153" spans="1:3">
      <c r="A153" s="2942">
        <v>63</v>
      </c>
      <c r="B153" s="2943" t="s">
        <v>3405</v>
      </c>
      <c r="C153" s="2942">
        <v>126.18</v>
      </c>
    </row>
    <row r="154" spans="1:3">
      <c r="A154" s="2949">
        <v>64</v>
      </c>
      <c r="B154" s="2943" t="s">
        <v>3406</v>
      </c>
      <c r="C154" s="2942">
        <v>272.85000000000002</v>
      </c>
    </row>
    <row r="155" spans="1:3">
      <c r="A155" s="2942">
        <v>65</v>
      </c>
      <c r="B155" s="2943" t="s">
        <v>3407</v>
      </c>
      <c r="C155" s="2942">
        <v>146.82</v>
      </c>
    </row>
    <row r="156" spans="1:3">
      <c r="A156" s="2949">
        <v>66</v>
      </c>
      <c r="B156" s="2943" t="s">
        <v>3408</v>
      </c>
      <c r="C156" s="2942">
        <v>302.39999999999998</v>
      </c>
    </row>
    <row r="157" spans="1:3">
      <c r="A157" s="2942">
        <v>67</v>
      </c>
      <c r="B157" s="2943" t="s">
        <v>3409</v>
      </c>
      <c r="C157" s="2942">
        <v>291.52</v>
      </c>
    </row>
    <row r="158" spans="1:3">
      <c r="A158" s="2942">
        <v>68</v>
      </c>
      <c r="B158" s="2943" t="s">
        <v>3410</v>
      </c>
      <c r="C158" s="2942">
        <v>147.91</v>
      </c>
    </row>
    <row r="159" spans="1:3">
      <c r="A159" s="2949">
        <v>69</v>
      </c>
      <c r="B159" s="2943" t="s">
        <v>3411</v>
      </c>
      <c r="C159" s="2942">
        <v>245.8</v>
      </c>
    </row>
    <row r="160" spans="1:3">
      <c r="A160" s="2942">
        <v>70</v>
      </c>
      <c r="B160" s="2943" t="s">
        <v>3412</v>
      </c>
      <c r="C160" s="2950">
        <v>366.01</v>
      </c>
    </row>
    <row r="161" spans="1:3">
      <c r="A161" s="2949">
        <v>71</v>
      </c>
      <c r="B161" s="2943" t="s">
        <v>3413</v>
      </c>
      <c r="C161" s="2950">
        <v>175.77</v>
      </c>
    </row>
    <row r="162" spans="1:3">
      <c r="A162" s="2942">
        <v>72</v>
      </c>
      <c r="B162" s="2943" t="s">
        <v>3414</v>
      </c>
      <c r="C162" s="2950">
        <v>126.18</v>
      </c>
    </row>
    <row r="163" spans="1:3">
      <c r="A163" s="2942">
        <v>73</v>
      </c>
      <c r="B163" s="2943" t="s">
        <v>3415</v>
      </c>
      <c r="C163" s="2950">
        <v>105.47</v>
      </c>
    </row>
    <row r="164" spans="1:3">
      <c r="A164" s="2949">
        <v>74</v>
      </c>
      <c r="B164" s="2943" t="s">
        <v>3416</v>
      </c>
      <c r="C164" s="2950">
        <v>314.70999999999998</v>
      </c>
    </row>
    <row r="165" spans="1:3">
      <c r="A165" s="2942">
        <v>75</v>
      </c>
      <c r="B165" s="2943" t="s">
        <v>3417</v>
      </c>
      <c r="C165" s="2950">
        <v>152.25</v>
      </c>
    </row>
    <row r="166" spans="1:3">
      <c r="A166" s="2949">
        <v>76</v>
      </c>
      <c r="B166" s="2943" t="s">
        <v>3418</v>
      </c>
      <c r="C166" s="2950">
        <v>245.8</v>
      </c>
    </row>
    <row r="167" spans="1:3">
      <c r="A167" s="2942">
        <v>77</v>
      </c>
      <c r="B167" s="2943" t="s">
        <v>3419</v>
      </c>
      <c r="C167" s="2947">
        <v>366.01</v>
      </c>
    </row>
    <row r="168" spans="1:3">
      <c r="A168" s="2942">
        <v>78</v>
      </c>
      <c r="B168" s="2943" t="s">
        <v>3420</v>
      </c>
      <c r="C168" s="2942">
        <v>175.77</v>
      </c>
    </row>
    <row r="169" spans="1:3">
      <c r="A169" s="2949">
        <v>79</v>
      </c>
      <c r="B169" s="2943" t="s">
        <v>3421</v>
      </c>
      <c r="C169" s="2942">
        <v>126.18</v>
      </c>
    </row>
    <row r="170" spans="1:3">
      <c r="A170" s="2942">
        <v>80</v>
      </c>
      <c r="B170" s="2943" t="s">
        <v>3422</v>
      </c>
      <c r="C170" s="2942">
        <v>105.47</v>
      </c>
    </row>
    <row r="171" spans="1:3">
      <c r="A171" s="2949">
        <v>81</v>
      </c>
      <c r="B171" s="2943" t="s">
        <v>3423</v>
      </c>
      <c r="C171" s="2942">
        <v>314.70999999999998</v>
      </c>
    </row>
    <row r="172" spans="1:3">
      <c r="A172" s="2949">
        <v>82</v>
      </c>
      <c r="B172" s="2943" t="s">
        <v>3424</v>
      </c>
      <c r="C172" s="2942">
        <v>152.30000000000001</v>
      </c>
    </row>
    <row r="173" spans="1:3">
      <c r="A173" s="2942">
        <v>83</v>
      </c>
      <c r="B173" s="2943" t="s">
        <v>3425</v>
      </c>
      <c r="C173" s="2942">
        <v>245.8</v>
      </c>
    </row>
    <row r="174" spans="1:3">
      <c r="A174" s="2949">
        <v>84</v>
      </c>
      <c r="B174" s="2943" t="s">
        <v>3426</v>
      </c>
      <c r="C174" s="2943">
        <v>366.01</v>
      </c>
    </row>
    <row r="175" spans="1:3">
      <c r="A175" s="2949">
        <v>85</v>
      </c>
      <c r="B175" s="2943" t="s">
        <v>3427</v>
      </c>
      <c r="C175" s="2943">
        <v>175.77</v>
      </c>
    </row>
    <row r="176" spans="1:3">
      <c r="A176" s="2942">
        <v>86</v>
      </c>
      <c r="B176" s="2943" t="s">
        <v>3428</v>
      </c>
      <c r="C176" s="2943">
        <v>126.18</v>
      </c>
    </row>
    <row r="177" spans="1:3">
      <c r="A177" s="2949">
        <v>87</v>
      </c>
      <c r="B177" s="2943" t="s">
        <v>3429</v>
      </c>
      <c r="C177" s="2943">
        <v>105.47</v>
      </c>
    </row>
    <row r="178" spans="1:3">
      <c r="A178" s="2949">
        <v>88</v>
      </c>
      <c r="B178" s="2943" t="s">
        <v>3430</v>
      </c>
      <c r="C178" s="2943">
        <v>314.70999999999998</v>
      </c>
    </row>
    <row r="179" spans="1:3">
      <c r="A179" s="2942">
        <v>89</v>
      </c>
      <c r="B179" s="2943" t="s">
        <v>3431</v>
      </c>
      <c r="C179" s="2942">
        <v>152.30000000000001</v>
      </c>
    </row>
    <row r="180" spans="1:3">
      <c r="A180" s="2949">
        <v>90</v>
      </c>
      <c r="B180" s="2943" t="s">
        <v>3432</v>
      </c>
      <c r="C180" s="2943">
        <v>245.8</v>
      </c>
    </row>
    <row r="181" spans="1:3">
      <c r="A181" s="2949">
        <v>91</v>
      </c>
      <c r="B181" s="2943" t="s">
        <v>3433</v>
      </c>
      <c r="C181" s="2943">
        <v>366.01</v>
      </c>
    </row>
    <row r="182" spans="1:3">
      <c r="A182" s="2942">
        <v>92</v>
      </c>
      <c r="B182" s="2943" t="s">
        <v>3434</v>
      </c>
      <c r="C182" s="2943">
        <v>175.77</v>
      </c>
    </row>
    <row r="183" spans="1:3">
      <c r="A183" s="2949">
        <v>93</v>
      </c>
      <c r="B183" s="2943" t="s">
        <v>3435</v>
      </c>
      <c r="C183" s="2943">
        <v>126.18</v>
      </c>
    </row>
    <row r="184" spans="1:3">
      <c r="A184" s="2949">
        <v>94</v>
      </c>
      <c r="B184" s="2943" t="s">
        <v>3436</v>
      </c>
      <c r="C184" s="2943">
        <v>105.47</v>
      </c>
    </row>
    <row r="185" spans="1:3">
      <c r="A185" s="2942">
        <v>95</v>
      </c>
      <c r="B185" s="2943" t="s">
        <v>3437</v>
      </c>
      <c r="C185" s="2943">
        <v>314.70999999999998</v>
      </c>
    </row>
    <row r="186" spans="1:3">
      <c r="A186" s="2949">
        <v>96</v>
      </c>
      <c r="B186" s="2943" t="s">
        <v>3438</v>
      </c>
      <c r="C186" s="2943">
        <v>152.30000000000001</v>
      </c>
    </row>
    <row r="187" spans="1:3">
      <c r="A187" s="2949">
        <v>97</v>
      </c>
      <c r="B187" s="2943" t="s">
        <v>3439</v>
      </c>
      <c r="C187" s="2942">
        <v>245.8</v>
      </c>
    </row>
    <row r="188" spans="1:3">
      <c r="A188" s="3681" t="s">
        <v>3105</v>
      </c>
      <c r="B188" s="3681"/>
      <c r="C188" s="2951">
        <f>SUM(C91:C187)</f>
        <v>21730.850000000002</v>
      </c>
    </row>
  </sheetData>
  <mergeCells count="3">
    <mergeCell ref="A68:B68"/>
    <mergeCell ref="A89:B89"/>
    <mergeCell ref="A188:B188"/>
  </mergeCells>
  <phoneticPr fontId="14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93" sqref="P93"/>
    </sheetView>
  </sheetViews>
  <sheetFormatPr defaultColWidth="9" defaultRowHeight="12.75"/>
  <cols>
    <col min="1" max="1" width="31.62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24"/>
      <c r="B1" s="1206" t="s">
        <v>3003</v>
      </c>
      <c r="C1" s="3683" t="s">
        <v>3004</v>
      </c>
      <c r="D1" s="3684"/>
      <c r="E1" s="3684"/>
      <c r="F1" s="3684"/>
      <c r="G1" s="3684"/>
      <c r="H1" s="3684"/>
      <c r="I1" s="3684"/>
      <c r="J1" s="3684"/>
      <c r="K1" s="3684"/>
      <c r="L1" s="3684"/>
      <c r="M1" s="3684"/>
      <c r="N1" s="3684"/>
      <c r="O1" s="3684"/>
      <c r="P1" s="3684"/>
      <c r="Q1" s="3684"/>
      <c r="R1" s="3684"/>
      <c r="S1" s="3685"/>
      <c r="T1" s="1206" t="s">
        <v>3005</v>
      </c>
    </row>
    <row r="2" spans="1:45" s="707" customFormat="1" ht="38.25">
      <c r="A2" s="2957"/>
      <c r="B2" s="703" t="s">
        <v>3006</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2958"/>
      <c r="B3" s="708"/>
      <c r="C3" s="709">
        <v>0</v>
      </c>
      <c r="D3" s="710">
        <v>300</v>
      </c>
      <c r="E3" s="710">
        <v>600</v>
      </c>
      <c r="F3" s="1700">
        <v>900</v>
      </c>
      <c r="G3" s="1700"/>
      <c r="H3" s="1700"/>
      <c r="I3" s="1700"/>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2959"/>
      <c r="B4" s="1208"/>
      <c r="C4" s="1209">
        <v>99</v>
      </c>
      <c r="D4" s="1210">
        <v>100</v>
      </c>
      <c r="E4" s="1210">
        <v>99</v>
      </c>
      <c r="F4" s="1704">
        <v>98</v>
      </c>
      <c r="G4" s="1704"/>
      <c r="H4" s="1704"/>
      <c r="I4" s="1704"/>
      <c r="J4" s="1704"/>
      <c r="K4" s="1704"/>
      <c r="L4" s="1704"/>
      <c r="M4" s="1705"/>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2960"/>
      <c r="B5" s="1765" t="s">
        <v>3007</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2960"/>
      <c r="B6" s="1118"/>
      <c r="C6" s="1124">
        <v>100</v>
      </c>
      <c r="D6" s="1121">
        <f>C6-$T5</f>
        <v>100</v>
      </c>
      <c r="E6" s="1121">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2960"/>
      <c r="B7" s="1766" t="s">
        <v>3008</v>
      </c>
      <c r="C7" s="1123"/>
      <c r="D7" s="1117"/>
      <c r="E7" s="1117"/>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2960"/>
      <c r="B8" s="1118"/>
      <c r="C8" s="1124">
        <v>100</v>
      </c>
      <c r="D8" s="1121">
        <f>C8-$T7</f>
        <v>100</v>
      </c>
      <c r="E8" s="1121">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2960"/>
      <c r="B9" s="1766" t="s">
        <v>3009</v>
      </c>
      <c r="C9" s="1123"/>
      <c r="D9" s="1117"/>
      <c r="E9" s="1117"/>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2960"/>
      <c r="B10" s="1208"/>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2960"/>
      <c r="B11" s="1765"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2960"/>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2960"/>
      <c r="B13" s="1765"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2960"/>
      <c r="B14" s="1118"/>
      <c r="C14" s="1122"/>
      <c r="D14" s="1119"/>
      <c r="E14" s="1119"/>
      <c r="F14" s="1119"/>
      <c r="G14" s="1119"/>
      <c r="H14" s="1119"/>
      <c r="I14" s="1119"/>
      <c r="J14" s="1119"/>
      <c r="K14" s="1119"/>
      <c r="L14" s="1119"/>
      <c r="M14" s="1227"/>
      <c r="N14" s="1227"/>
      <c r="O14" s="1119"/>
      <c r="P14" s="1119"/>
      <c r="Q14" s="1119"/>
      <c r="R14" s="1119"/>
      <c r="S14" s="1228"/>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2960"/>
      <c r="B15" s="3686" t="s">
        <v>3440</v>
      </c>
      <c r="C15" s="1214" t="s">
        <v>3441</v>
      </c>
      <c r="D15" s="1215" t="s">
        <v>3442</v>
      </c>
      <c r="E15" s="1215" t="s">
        <v>3443</v>
      </c>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2960"/>
      <c r="B16" s="1208"/>
      <c r="C16" s="1209">
        <v>100</v>
      </c>
      <c r="D16" s="1210">
        <v>98</v>
      </c>
      <c r="E16" s="1210">
        <v>98</v>
      </c>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3012</v>
      </c>
      <c r="B17" s="2914" t="s">
        <v>3013</v>
      </c>
      <c r="C17" s="2955" t="s">
        <v>3175</v>
      </c>
      <c r="D17" s="2956" t="s">
        <v>3176</v>
      </c>
      <c r="E17" s="2956" t="s">
        <v>3177</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2961"/>
      <c r="B18" s="1238"/>
      <c r="C18" s="1239">
        <v>100</v>
      </c>
      <c r="D18" s="1240">
        <v>98</v>
      </c>
      <c r="E18" s="1240">
        <v>96</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68"/>
      <c r="B19" s="168"/>
      <c r="C19" s="168"/>
      <c r="D19" s="2915" t="s">
        <v>3014</v>
      </c>
      <c r="E19" s="1788"/>
      <c r="F19" s="1788"/>
      <c r="G19" s="1788"/>
      <c r="H19" s="1276"/>
      <c r="I19" s="168"/>
      <c r="J19" s="168"/>
      <c r="K19" s="168"/>
      <c r="L19" s="168"/>
      <c r="M19" s="168"/>
      <c r="N19" s="168"/>
      <c r="O19" s="168"/>
      <c r="P19" s="168"/>
      <c r="Q19" s="168"/>
      <c r="R19" s="787"/>
      <c r="S19" s="138"/>
    </row>
    <row r="20" spans="1:45" ht="16.5" thickBot="1">
      <c r="A20" s="338" t="s">
        <v>3015</v>
      </c>
      <c r="B20" s="338">
        <f ca="1">IF(D20="——",S22,S22-F20)</f>
        <v>107817</v>
      </c>
      <c r="C20" s="168"/>
      <c r="D20" s="2916" t="s">
        <v>70</v>
      </c>
      <c r="E20" s="1789"/>
      <c r="F20" s="1206" t="e">
        <f ca="1">SUMIF(INDIRECT("'"&amp;H20&amp;"'"&amp;"!A:A"),"承租人权益价值",INDIRECT("'"&amp;H20&amp;"'"&amp;"!c:c"))</f>
        <v>#REF!</v>
      </c>
      <c r="G20" s="1206" t="s">
        <v>3016</v>
      </c>
      <c r="H20" s="2917"/>
      <c r="I20" s="168"/>
      <c r="J20" s="168"/>
      <c r="K20" s="168"/>
      <c r="L20" s="168"/>
      <c r="M20" s="168"/>
      <c r="N20" s="168"/>
      <c r="O20" s="168"/>
      <c r="P20" s="168"/>
      <c r="Q20" s="168"/>
      <c r="R20" s="787"/>
      <c r="S20" s="138"/>
    </row>
    <row r="21" spans="1:45" ht="15.75">
      <c r="A21" s="338" t="s">
        <v>3017</v>
      </c>
      <c r="B21" s="338">
        <f ca="1">R22</f>
        <v>31626</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34091.78</v>
      </c>
      <c r="C22" s="3481" t="s">
        <v>33</v>
      </c>
      <c r="D22" s="3482"/>
      <c r="E22" s="3482"/>
      <c r="F22" s="3482"/>
      <c r="G22" s="3482"/>
      <c r="H22" s="3482"/>
      <c r="I22" s="3482"/>
      <c r="J22" s="3482"/>
      <c r="K22" s="3482"/>
      <c r="L22" s="3482"/>
      <c r="M22" s="3482"/>
      <c r="N22" s="3482"/>
      <c r="O22" s="3482"/>
      <c r="P22" s="3482"/>
      <c r="Q22" s="3682"/>
      <c r="R22" s="715">
        <f ca="1">ROUND(S22*10000/B22,0)</f>
        <v>31626</v>
      </c>
      <c r="S22" s="24">
        <f ca="1">SUM(S24:S10000)</f>
        <v>107817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总楼层</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办公面积明细!B2</f>
        <v>1号楼3层301</v>
      </c>
      <c r="B24" s="717">
        <v>145</v>
      </c>
      <c r="C24" s="718">
        <v>1</v>
      </c>
      <c r="D24" s="719"/>
      <c r="E24" s="718">
        <v>1</v>
      </c>
      <c r="F24" s="719"/>
      <c r="G24" s="718">
        <v>1</v>
      </c>
      <c r="H24" s="719"/>
      <c r="I24" s="718">
        <v>1</v>
      </c>
      <c r="J24" s="719"/>
      <c r="K24" s="718">
        <v>1</v>
      </c>
      <c r="L24" s="719"/>
      <c r="M24" s="718">
        <v>1</v>
      </c>
      <c r="N24" s="719" t="s">
        <v>3444</v>
      </c>
      <c r="O24" s="718">
        <v>1</v>
      </c>
      <c r="P24" s="719" t="s">
        <v>3173</v>
      </c>
      <c r="Q24" s="718">
        <v>1</v>
      </c>
      <c r="R24" s="720">
        <f ca="1">结果表!G20</f>
        <v>30409</v>
      </c>
      <c r="S24" s="718">
        <f t="shared" ref="S24:S54" ca="1" si="11">ROUND(R24*B24/10000,0)</f>
        <v>441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办公面积明细!B3</f>
        <v>1号楼3层302</v>
      </c>
      <c r="B25" s="59">
        <f>办公面积明细!C3</f>
        <v>116.69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t="s">
        <v>3444</v>
      </c>
      <c r="O25" s="24">
        <f>(SUMIF($15:$15,N25,$16:$16)-SUMIF($15:$15,$N$24,$16:$16)+100)/100</f>
        <v>1</v>
      </c>
      <c r="P25" s="719" t="s">
        <v>3173</v>
      </c>
      <c r="Q25" s="24">
        <f>(SUMIF($17:$17,P25,$18:$18)-SUMIF($17:$17,$P$24,$18:$18)+100)/100</f>
        <v>1</v>
      </c>
      <c r="R25" s="715">
        <f ca="1">IF(B25="",0,ROUND($R$24*C25*E25*G25*I25*K25*M25*O25*Q25,0))</f>
        <v>30409</v>
      </c>
      <c r="S25" s="361">
        <f t="shared" ca="1" si="11"/>
        <v>355</v>
      </c>
    </row>
    <row r="26" spans="1:45">
      <c r="A26" s="59" t="str">
        <f>办公面积明细!B4</f>
        <v>1号楼3层303</v>
      </c>
      <c r="B26" s="59">
        <f>办公面积明细!C4</f>
        <v>116.69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t="s">
        <v>3444</v>
      </c>
      <c r="O26" s="24">
        <f t="shared" ref="O26:O89" si="18">(SUMIF($15:$15,N26,$16:$16)-SUMIF($15:$15,$N$24,$16:$16)+100)/100</f>
        <v>1</v>
      </c>
      <c r="P26" s="719" t="s">
        <v>3173</v>
      </c>
      <c r="Q26" s="24">
        <f t="shared" ref="Q26:Q89" si="19">(SUMIF($17:$17,P26,$18:$18)-SUMIF($17:$17,$P$24,$18:$18)+100)/100</f>
        <v>1</v>
      </c>
      <c r="R26" s="715">
        <f t="shared" ref="R26:R89" ca="1" si="20">IF(B26="",0,ROUND($R$24*C26*E26*G26*I26*K26*M26*O26*Q26,0))</f>
        <v>30409</v>
      </c>
      <c r="S26" s="361">
        <f t="shared" ca="1" si="11"/>
        <v>355</v>
      </c>
    </row>
    <row r="27" spans="1:45">
      <c r="A27" s="59" t="str">
        <f>办公面积明细!B5</f>
        <v>1号楼3层304</v>
      </c>
      <c r="B27" s="59">
        <f>办公面积明细!C5</f>
        <v>145</v>
      </c>
      <c r="C27" s="24">
        <f t="shared" si="12"/>
        <v>1</v>
      </c>
      <c r="D27" s="719"/>
      <c r="E27" s="24">
        <f t="shared" si="13"/>
        <v>1</v>
      </c>
      <c r="F27" s="719"/>
      <c r="G27" s="24">
        <f t="shared" si="14"/>
        <v>1</v>
      </c>
      <c r="H27" s="719"/>
      <c r="I27" s="24">
        <f t="shared" si="15"/>
        <v>1</v>
      </c>
      <c r="J27" s="719"/>
      <c r="K27" s="24">
        <f t="shared" si="16"/>
        <v>1</v>
      </c>
      <c r="L27" s="719"/>
      <c r="M27" s="24">
        <f t="shared" si="17"/>
        <v>1</v>
      </c>
      <c r="N27" s="719" t="s">
        <v>3444</v>
      </c>
      <c r="O27" s="24">
        <f t="shared" si="18"/>
        <v>1</v>
      </c>
      <c r="P27" s="719" t="s">
        <v>3173</v>
      </c>
      <c r="Q27" s="24">
        <f t="shared" si="19"/>
        <v>1</v>
      </c>
      <c r="R27" s="715">
        <f t="shared" ca="1" si="20"/>
        <v>30409</v>
      </c>
      <c r="S27" s="361">
        <f t="shared" ca="1" si="11"/>
        <v>441</v>
      </c>
    </row>
    <row r="28" spans="1:45">
      <c r="A28" s="59" t="str">
        <f>办公面积明细!B6</f>
        <v>1号楼3层305</v>
      </c>
      <c r="B28" s="59">
        <f>办公面积明细!C6</f>
        <v>142.47</v>
      </c>
      <c r="C28" s="24">
        <f t="shared" si="12"/>
        <v>1</v>
      </c>
      <c r="D28" s="719"/>
      <c r="E28" s="24">
        <f t="shared" si="13"/>
        <v>1</v>
      </c>
      <c r="F28" s="719"/>
      <c r="G28" s="24">
        <f t="shared" si="14"/>
        <v>1</v>
      </c>
      <c r="H28" s="719"/>
      <c r="I28" s="24">
        <f t="shared" si="15"/>
        <v>1</v>
      </c>
      <c r="J28" s="719"/>
      <c r="K28" s="24">
        <f t="shared" si="16"/>
        <v>1</v>
      </c>
      <c r="L28" s="719"/>
      <c r="M28" s="24">
        <f t="shared" si="17"/>
        <v>1</v>
      </c>
      <c r="N28" s="719" t="s">
        <v>3444</v>
      </c>
      <c r="O28" s="24">
        <f t="shared" si="18"/>
        <v>1</v>
      </c>
      <c r="P28" s="719" t="s">
        <v>3173</v>
      </c>
      <c r="Q28" s="24">
        <f t="shared" si="19"/>
        <v>1</v>
      </c>
      <c r="R28" s="715">
        <f t="shared" ca="1" si="20"/>
        <v>30409</v>
      </c>
      <c r="S28" s="361">
        <f t="shared" ca="1" si="11"/>
        <v>433</v>
      </c>
    </row>
    <row r="29" spans="1:45">
      <c r="A29" s="59" t="str">
        <f>办公面积明细!B7</f>
        <v>1号楼3层306</v>
      </c>
      <c r="B29" s="59">
        <f>办公面积明细!C7</f>
        <v>135.65</v>
      </c>
      <c r="C29" s="24">
        <f t="shared" si="12"/>
        <v>1</v>
      </c>
      <c r="D29" s="719"/>
      <c r="E29" s="24">
        <f t="shared" si="13"/>
        <v>1</v>
      </c>
      <c r="F29" s="719"/>
      <c r="G29" s="24">
        <f t="shared" si="14"/>
        <v>1</v>
      </c>
      <c r="H29" s="719"/>
      <c r="I29" s="24">
        <f t="shared" si="15"/>
        <v>1</v>
      </c>
      <c r="J29" s="719"/>
      <c r="K29" s="24">
        <f t="shared" si="16"/>
        <v>1</v>
      </c>
      <c r="L29" s="719"/>
      <c r="M29" s="24">
        <f t="shared" si="17"/>
        <v>1</v>
      </c>
      <c r="N29" s="719" t="s">
        <v>3444</v>
      </c>
      <c r="O29" s="24">
        <f t="shared" si="18"/>
        <v>1</v>
      </c>
      <c r="P29" s="719" t="s">
        <v>3173</v>
      </c>
      <c r="Q29" s="24">
        <f t="shared" si="19"/>
        <v>1</v>
      </c>
      <c r="R29" s="715">
        <f t="shared" ca="1" si="20"/>
        <v>30409</v>
      </c>
      <c r="S29" s="361">
        <f t="shared" ca="1" si="11"/>
        <v>412</v>
      </c>
    </row>
    <row r="30" spans="1:45">
      <c r="A30" s="59" t="str">
        <f>办公面积明细!B8</f>
        <v>1号楼3层307</v>
      </c>
      <c r="B30" s="59">
        <f>办公面积明细!C8</f>
        <v>95.64</v>
      </c>
      <c r="C30" s="24">
        <f t="shared" si="12"/>
        <v>1</v>
      </c>
      <c r="D30" s="719"/>
      <c r="E30" s="24">
        <f t="shared" si="13"/>
        <v>1</v>
      </c>
      <c r="F30" s="719"/>
      <c r="G30" s="24">
        <f t="shared" si="14"/>
        <v>1</v>
      </c>
      <c r="H30" s="719"/>
      <c r="I30" s="24">
        <f t="shared" si="15"/>
        <v>1</v>
      </c>
      <c r="J30" s="719"/>
      <c r="K30" s="24">
        <f t="shared" si="16"/>
        <v>1</v>
      </c>
      <c r="L30" s="719"/>
      <c r="M30" s="24">
        <f t="shared" si="17"/>
        <v>1</v>
      </c>
      <c r="N30" s="719" t="s">
        <v>3444</v>
      </c>
      <c r="O30" s="24">
        <f t="shared" si="18"/>
        <v>1</v>
      </c>
      <c r="P30" s="719" t="s">
        <v>3173</v>
      </c>
      <c r="Q30" s="24">
        <f t="shared" si="19"/>
        <v>1</v>
      </c>
      <c r="R30" s="715">
        <f t="shared" ca="1" si="20"/>
        <v>30409</v>
      </c>
      <c r="S30" s="361">
        <f t="shared" ca="1" si="11"/>
        <v>291</v>
      </c>
    </row>
    <row r="31" spans="1:45">
      <c r="A31" s="59" t="str">
        <f>办公面积明细!B9</f>
        <v>1号楼3层308</v>
      </c>
      <c r="B31" s="59">
        <f>办公面积明细!C9</f>
        <v>95.64</v>
      </c>
      <c r="C31" s="24">
        <f t="shared" si="12"/>
        <v>1</v>
      </c>
      <c r="D31" s="719"/>
      <c r="E31" s="24">
        <f t="shared" si="13"/>
        <v>1</v>
      </c>
      <c r="F31" s="719"/>
      <c r="G31" s="24">
        <f t="shared" si="14"/>
        <v>1</v>
      </c>
      <c r="H31" s="719"/>
      <c r="I31" s="24">
        <f t="shared" si="15"/>
        <v>1</v>
      </c>
      <c r="J31" s="719"/>
      <c r="K31" s="24">
        <f t="shared" si="16"/>
        <v>1</v>
      </c>
      <c r="L31" s="719"/>
      <c r="M31" s="24">
        <f t="shared" si="17"/>
        <v>1</v>
      </c>
      <c r="N31" s="719" t="s">
        <v>3444</v>
      </c>
      <c r="O31" s="24">
        <f t="shared" si="18"/>
        <v>1</v>
      </c>
      <c r="P31" s="719" t="s">
        <v>3173</v>
      </c>
      <c r="Q31" s="24">
        <f t="shared" si="19"/>
        <v>1</v>
      </c>
      <c r="R31" s="715">
        <f t="shared" ca="1" si="20"/>
        <v>30409</v>
      </c>
      <c r="S31" s="361">
        <f t="shared" ca="1" si="11"/>
        <v>291</v>
      </c>
    </row>
    <row r="32" spans="1:45">
      <c r="A32" s="59" t="str">
        <f>办公面积明细!B10</f>
        <v>1号楼3层309</v>
      </c>
      <c r="B32" s="59">
        <f>办公面积明细!C10</f>
        <v>135.65</v>
      </c>
      <c r="C32" s="24">
        <f t="shared" si="12"/>
        <v>1</v>
      </c>
      <c r="D32" s="719"/>
      <c r="E32" s="24">
        <f t="shared" si="13"/>
        <v>1</v>
      </c>
      <c r="F32" s="719"/>
      <c r="G32" s="24">
        <f t="shared" si="14"/>
        <v>1</v>
      </c>
      <c r="H32" s="719"/>
      <c r="I32" s="24">
        <f t="shared" si="15"/>
        <v>1</v>
      </c>
      <c r="J32" s="719"/>
      <c r="K32" s="24">
        <f t="shared" si="16"/>
        <v>1</v>
      </c>
      <c r="L32" s="719"/>
      <c r="M32" s="24">
        <f t="shared" si="17"/>
        <v>1</v>
      </c>
      <c r="N32" s="719" t="s">
        <v>3444</v>
      </c>
      <c r="O32" s="24">
        <f t="shared" si="18"/>
        <v>1</v>
      </c>
      <c r="P32" s="719" t="s">
        <v>3173</v>
      </c>
      <c r="Q32" s="24">
        <f t="shared" si="19"/>
        <v>1</v>
      </c>
      <c r="R32" s="715">
        <f t="shared" ca="1" si="20"/>
        <v>30409</v>
      </c>
      <c r="S32" s="361">
        <f t="shared" ca="1" si="11"/>
        <v>412</v>
      </c>
    </row>
    <row r="33" spans="1:19">
      <c r="A33" s="59" t="str">
        <f>办公面积明细!B11</f>
        <v>1号楼3层310</v>
      </c>
      <c r="B33" s="59">
        <f>办公面积明细!C11</f>
        <v>118.61</v>
      </c>
      <c r="C33" s="24">
        <f t="shared" si="12"/>
        <v>1</v>
      </c>
      <c r="D33" s="719"/>
      <c r="E33" s="24">
        <f t="shared" si="13"/>
        <v>1</v>
      </c>
      <c r="F33" s="719"/>
      <c r="G33" s="24">
        <f t="shared" si="14"/>
        <v>1</v>
      </c>
      <c r="H33" s="719"/>
      <c r="I33" s="24">
        <f t="shared" si="15"/>
        <v>1</v>
      </c>
      <c r="J33" s="719"/>
      <c r="K33" s="24">
        <f t="shared" si="16"/>
        <v>1</v>
      </c>
      <c r="L33" s="719"/>
      <c r="M33" s="24">
        <f t="shared" si="17"/>
        <v>1</v>
      </c>
      <c r="N33" s="719" t="s">
        <v>3444</v>
      </c>
      <c r="O33" s="24">
        <f t="shared" si="18"/>
        <v>1</v>
      </c>
      <c r="P33" s="719" t="s">
        <v>3173</v>
      </c>
      <c r="Q33" s="24">
        <f t="shared" si="19"/>
        <v>1</v>
      </c>
      <c r="R33" s="715">
        <f t="shared" ca="1" si="20"/>
        <v>30409</v>
      </c>
      <c r="S33" s="361">
        <f t="shared" ca="1" si="11"/>
        <v>361</v>
      </c>
    </row>
    <row r="34" spans="1:19">
      <c r="A34" s="59" t="str">
        <f>办公面积明细!B12</f>
        <v>1号楼4层401</v>
      </c>
      <c r="B34" s="59">
        <f>办公面积明细!C12</f>
        <v>145</v>
      </c>
      <c r="C34" s="24">
        <f t="shared" si="12"/>
        <v>1</v>
      </c>
      <c r="D34" s="719"/>
      <c r="E34" s="24">
        <f t="shared" si="13"/>
        <v>1</v>
      </c>
      <c r="F34" s="719"/>
      <c r="G34" s="24">
        <f t="shared" si="14"/>
        <v>1</v>
      </c>
      <c r="H34" s="719"/>
      <c r="I34" s="24">
        <f t="shared" si="15"/>
        <v>1</v>
      </c>
      <c r="J34" s="719"/>
      <c r="K34" s="24">
        <f t="shared" si="16"/>
        <v>1</v>
      </c>
      <c r="L34" s="719"/>
      <c r="M34" s="24">
        <f t="shared" si="17"/>
        <v>1</v>
      </c>
      <c r="N34" s="719" t="s">
        <v>3444</v>
      </c>
      <c r="O34" s="24">
        <f t="shared" si="18"/>
        <v>1</v>
      </c>
      <c r="P34" s="719" t="s">
        <v>3171</v>
      </c>
      <c r="Q34" s="24">
        <f t="shared" si="19"/>
        <v>1.02</v>
      </c>
      <c r="R34" s="715">
        <f t="shared" ca="1" si="20"/>
        <v>31017</v>
      </c>
      <c r="S34" s="361">
        <f t="shared" ca="1" si="11"/>
        <v>450</v>
      </c>
    </row>
    <row r="35" spans="1:19">
      <c r="A35" s="59" t="str">
        <f>办公面积明细!B13</f>
        <v>1号楼4层402</v>
      </c>
      <c r="B35" s="59">
        <f>办公面积明细!C13</f>
        <v>116.69</v>
      </c>
      <c r="C35" s="24">
        <f t="shared" si="12"/>
        <v>1</v>
      </c>
      <c r="D35" s="719"/>
      <c r="E35" s="24">
        <f t="shared" si="13"/>
        <v>1</v>
      </c>
      <c r="F35" s="719"/>
      <c r="G35" s="24">
        <f t="shared" si="14"/>
        <v>1</v>
      </c>
      <c r="H35" s="719"/>
      <c r="I35" s="24">
        <f t="shared" si="15"/>
        <v>1</v>
      </c>
      <c r="J35" s="719"/>
      <c r="K35" s="24">
        <f t="shared" si="16"/>
        <v>1</v>
      </c>
      <c r="L35" s="719"/>
      <c r="M35" s="24">
        <f t="shared" si="17"/>
        <v>1</v>
      </c>
      <c r="N35" s="719" t="s">
        <v>3444</v>
      </c>
      <c r="O35" s="24">
        <f t="shared" si="18"/>
        <v>1</v>
      </c>
      <c r="P35" s="719" t="s">
        <v>3171</v>
      </c>
      <c r="Q35" s="24">
        <f t="shared" si="19"/>
        <v>1.02</v>
      </c>
      <c r="R35" s="715">
        <f t="shared" ca="1" si="20"/>
        <v>31017</v>
      </c>
      <c r="S35" s="361">
        <f t="shared" ca="1" si="11"/>
        <v>362</v>
      </c>
    </row>
    <row r="36" spans="1:19">
      <c r="A36" s="59" t="str">
        <f>办公面积明细!B14</f>
        <v>1号楼4层403</v>
      </c>
      <c r="B36" s="59">
        <f>办公面积明细!C14</f>
        <v>116.69</v>
      </c>
      <c r="C36" s="24">
        <f t="shared" si="12"/>
        <v>1</v>
      </c>
      <c r="D36" s="719"/>
      <c r="E36" s="24">
        <f t="shared" si="13"/>
        <v>1</v>
      </c>
      <c r="F36" s="719"/>
      <c r="G36" s="24">
        <f t="shared" si="14"/>
        <v>1</v>
      </c>
      <c r="H36" s="719"/>
      <c r="I36" s="24">
        <f t="shared" si="15"/>
        <v>1</v>
      </c>
      <c r="J36" s="719"/>
      <c r="K36" s="24">
        <f t="shared" si="16"/>
        <v>1</v>
      </c>
      <c r="L36" s="719"/>
      <c r="M36" s="24">
        <f t="shared" si="17"/>
        <v>1</v>
      </c>
      <c r="N36" s="719" t="s">
        <v>3444</v>
      </c>
      <c r="O36" s="24">
        <f t="shared" si="18"/>
        <v>1</v>
      </c>
      <c r="P36" s="719" t="s">
        <v>3171</v>
      </c>
      <c r="Q36" s="24">
        <f t="shared" si="19"/>
        <v>1.02</v>
      </c>
      <c r="R36" s="715">
        <f t="shared" ca="1" si="20"/>
        <v>31017</v>
      </c>
      <c r="S36" s="361">
        <f t="shared" ca="1" si="11"/>
        <v>362</v>
      </c>
    </row>
    <row r="37" spans="1:19">
      <c r="A37" s="59" t="str">
        <f>办公面积明细!B15</f>
        <v>1号楼4层404</v>
      </c>
      <c r="B37" s="59">
        <f>办公面积明细!C15</f>
        <v>145</v>
      </c>
      <c r="C37" s="24">
        <f t="shared" si="12"/>
        <v>1</v>
      </c>
      <c r="D37" s="719"/>
      <c r="E37" s="24">
        <f t="shared" si="13"/>
        <v>1</v>
      </c>
      <c r="F37" s="719"/>
      <c r="G37" s="24">
        <f t="shared" si="14"/>
        <v>1</v>
      </c>
      <c r="H37" s="719"/>
      <c r="I37" s="24">
        <f t="shared" si="15"/>
        <v>1</v>
      </c>
      <c r="J37" s="719"/>
      <c r="K37" s="24">
        <f t="shared" si="16"/>
        <v>1</v>
      </c>
      <c r="L37" s="719"/>
      <c r="M37" s="24">
        <f t="shared" si="17"/>
        <v>1</v>
      </c>
      <c r="N37" s="719" t="s">
        <v>3444</v>
      </c>
      <c r="O37" s="24">
        <f t="shared" si="18"/>
        <v>1</v>
      </c>
      <c r="P37" s="719" t="s">
        <v>3171</v>
      </c>
      <c r="Q37" s="24">
        <f t="shared" si="19"/>
        <v>1.02</v>
      </c>
      <c r="R37" s="715">
        <f t="shared" ca="1" si="20"/>
        <v>31017</v>
      </c>
      <c r="S37" s="361">
        <f t="shared" ca="1" si="11"/>
        <v>450</v>
      </c>
    </row>
    <row r="38" spans="1:19">
      <c r="A38" s="59" t="str">
        <f>办公面积明细!B16</f>
        <v>1号楼4层405</v>
      </c>
      <c r="B38" s="59">
        <f>办公面积明细!C16</f>
        <v>142.47</v>
      </c>
      <c r="C38" s="24">
        <f t="shared" si="12"/>
        <v>1</v>
      </c>
      <c r="D38" s="719"/>
      <c r="E38" s="24">
        <f t="shared" si="13"/>
        <v>1</v>
      </c>
      <c r="F38" s="719"/>
      <c r="G38" s="24">
        <f t="shared" si="14"/>
        <v>1</v>
      </c>
      <c r="H38" s="719"/>
      <c r="I38" s="24">
        <f t="shared" si="15"/>
        <v>1</v>
      </c>
      <c r="J38" s="719"/>
      <c r="K38" s="24">
        <f t="shared" si="16"/>
        <v>1</v>
      </c>
      <c r="L38" s="719"/>
      <c r="M38" s="24">
        <f t="shared" si="17"/>
        <v>1</v>
      </c>
      <c r="N38" s="719" t="s">
        <v>3444</v>
      </c>
      <c r="O38" s="24">
        <f t="shared" si="18"/>
        <v>1</v>
      </c>
      <c r="P38" s="719" t="s">
        <v>3171</v>
      </c>
      <c r="Q38" s="24">
        <f t="shared" si="19"/>
        <v>1.02</v>
      </c>
      <c r="R38" s="715">
        <f t="shared" ca="1" si="20"/>
        <v>31017</v>
      </c>
      <c r="S38" s="361">
        <f t="shared" ca="1" si="11"/>
        <v>442</v>
      </c>
    </row>
    <row r="39" spans="1:19">
      <c r="A39" s="59" t="str">
        <f>办公面积明细!B17</f>
        <v>1号楼4层406</v>
      </c>
      <c r="B39" s="59">
        <f>办公面积明细!C17</f>
        <v>135.65</v>
      </c>
      <c r="C39" s="24">
        <f t="shared" si="12"/>
        <v>1</v>
      </c>
      <c r="D39" s="719"/>
      <c r="E39" s="24">
        <f t="shared" si="13"/>
        <v>1</v>
      </c>
      <c r="F39" s="719"/>
      <c r="G39" s="24">
        <f t="shared" si="14"/>
        <v>1</v>
      </c>
      <c r="H39" s="719"/>
      <c r="I39" s="24">
        <f t="shared" si="15"/>
        <v>1</v>
      </c>
      <c r="J39" s="719"/>
      <c r="K39" s="24">
        <f t="shared" si="16"/>
        <v>1</v>
      </c>
      <c r="L39" s="719"/>
      <c r="M39" s="24">
        <f t="shared" si="17"/>
        <v>1</v>
      </c>
      <c r="N39" s="719" t="s">
        <v>3444</v>
      </c>
      <c r="O39" s="24">
        <f t="shared" si="18"/>
        <v>1</v>
      </c>
      <c r="P39" s="719" t="s">
        <v>3171</v>
      </c>
      <c r="Q39" s="24">
        <f t="shared" si="19"/>
        <v>1.02</v>
      </c>
      <c r="R39" s="715">
        <f t="shared" ca="1" si="20"/>
        <v>31017</v>
      </c>
      <c r="S39" s="361">
        <f t="shared" ca="1" si="11"/>
        <v>421</v>
      </c>
    </row>
    <row r="40" spans="1:19">
      <c r="A40" s="59" t="str">
        <f>办公面积明细!B18</f>
        <v>1号楼4层407</v>
      </c>
      <c r="B40" s="59">
        <f>办公面积明细!C18</f>
        <v>95.64</v>
      </c>
      <c r="C40" s="24">
        <f t="shared" si="12"/>
        <v>1</v>
      </c>
      <c r="D40" s="719"/>
      <c r="E40" s="24">
        <f t="shared" si="13"/>
        <v>1</v>
      </c>
      <c r="F40" s="719"/>
      <c r="G40" s="24">
        <f t="shared" si="14"/>
        <v>1</v>
      </c>
      <c r="H40" s="719"/>
      <c r="I40" s="24">
        <f t="shared" si="15"/>
        <v>1</v>
      </c>
      <c r="J40" s="719"/>
      <c r="K40" s="24">
        <f t="shared" si="16"/>
        <v>1</v>
      </c>
      <c r="L40" s="719"/>
      <c r="M40" s="24">
        <f t="shared" si="17"/>
        <v>1</v>
      </c>
      <c r="N40" s="719" t="s">
        <v>3444</v>
      </c>
      <c r="O40" s="24">
        <f t="shared" si="18"/>
        <v>1</v>
      </c>
      <c r="P40" s="719" t="s">
        <v>3171</v>
      </c>
      <c r="Q40" s="24">
        <f t="shared" si="19"/>
        <v>1.02</v>
      </c>
      <c r="R40" s="715">
        <f t="shared" ca="1" si="20"/>
        <v>31017</v>
      </c>
      <c r="S40" s="361">
        <f t="shared" ca="1" si="11"/>
        <v>297</v>
      </c>
    </row>
    <row r="41" spans="1:19">
      <c r="A41" s="59" t="str">
        <f>办公面积明细!B19</f>
        <v>1号楼4层408</v>
      </c>
      <c r="B41" s="59">
        <f>办公面积明细!C19</f>
        <v>95.64</v>
      </c>
      <c r="C41" s="24">
        <f t="shared" si="12"/>
        <v>1</v>
      </c>
      <c r="D41" s="719"/>
      <c r="E41" s="24">
        <f t="shared" si="13"/>
        <v>1</v>
      </c>
      <c r="F41" s="719"/>
      <c r="G41" s="24">
        <f t="shared" si="14"/>
        <v>1</v>
      </c>
      <c r="H41" s="719"/>
      <c r="I41" s="24">
        <f t="shared" si="15"/>
        <v>1</v>
      </c>
      <c r="J41" s="719"/>
      <c r="K41" s="24">
        <f t="shared" si="16"/>
        <v>1</v>
      </c>
      <c r="L41" s="719"/>
      <c r="M41" s="24">
        <f t="shared" si="17"/>
        <v>1</v>
      </c>
      <c r="N41" s="719" t="s">
        <v>3444</v>
      </c>
      <c r="O41" s="24">
        <f t="shared" si="18"/>
        <v>1</v>
      </c>
      <c r="P41" s="719" t="s">
        <v>3171</v>
      </c>
      <c r="Q41" s="24">
        <f t="shared" si="19"/>
        <v>1.02</v>
      </c>
      <c r="R41" s="715">
        <f t="shared" ca="1" si="20"/>
        <v>31017</v>
      </c>
      <c r="S41" s="361">
        <f t="shared" ca="1" si="11"/>
        <v>297</v>
      </c>
    </row>
    <row r="42" spans="1:19">
      <c r="A42" s="59" t="str">
        <f>办公面积明细!B20</f>
        <v>1号楼4层409</v>
      </c>
      <c r="B42" s="59">
        <f>办公面积明细!C20</f>
        <v>135.65</v>
      </c>
      <c r="C42" s="24">
        <f t="shared" si="12"/>
        <v>1</v>
      </c>
      <c r="D42" s="719"/>
      <c r="E42" s="24">
        <f t="shared" si="13"/>
        <v>1</v>
      </c>
      <c r="F42" s="719"/>
      <c r="G42" s="24">
        <f t="shared" si="14"/>
        <v>1</v>
      </c>
      <c r="H42" s="719"/>
      <c r="I42" s="24">
        <f t="shared" si="15"/>
        <v>1</v>
      </c>
      <c r="J42" s="719"/>
      <c r="K42" s="24">
        <f t="shared" si="16"/>
        <v>1</v>
      </c>
      <c r="L42" s="719"/>
      <c r="M42" s="24">
        <f t="shared" si="17"/>
        <v>1</v>
      </c>
      <c r="N42" s="719" t="s">
        <v>3444</v>
      </c>
      <c r="O42" s="24">
        <f t="shared" si="18"/>
        <v>1</v>
      </c>
      <c r="P42" s="719" t="s">
        <v>3171</v>
      </c>
      <c r="Q42" s="24">
        <f t="shared" si="19"/>
        <v>1.02</v>
      </c>
      <c r="R42" s="715">
        <f t="shared" ca="1" si="20"/>
        <v>31017</v>
      </c>
      <c r="S42" s="361">
        <f t="shared" ca="1" si="11"/>
        <v>421</v>
      </c>
    </row>
    <row r="43" spans="1:19">
      <c r="A43" s="59" t="str">
        <f>办公面积明细!B21</f>
        <v>1号楼4层410</v>
      </c>
      <c r="B43" s="59">
        <f>办公面积明细!C21</f>
        <v>118.61</v>
      </c>
      <c r="C43" s="24">
        <f t="shared" si="12"/>
        <v>1</v>
      </c>
      <c r="D43" s="719"/>
      <c r="E43" s="24">
        <f t="shared" si="13"/>
        <v>1</v>
      </c>
      <c r="F43" s="719"/>
      <c r="G43" s="24">
        <f t="shared" si="14"/>
        <v>1</v>
      </c>
      <c r="H43" s="719"/>
      <c r="I43" s="24">
        <f t="shared" si="15"/>
        <v>1</v>
      </c>
      <c r="J43" s="719"/>
      <c r="K43" s="24">
        <f t="shared" si="16"/>
        <v>1</v>
      </c>
      <c r="L43" s="719"/>
      <c r="M43" s="24">
        <f t="shared" si="17"/>
        <v>1</v>
      </c>
      <c r="N43" s="719" t="s">
        <v>3444</v>
      </c>
      <c r="O43" s="24">
        <f t="shared" si="18"/>
        <v>1</v>
      </c>
      <c r="P43" s="719" t="s">
        <v>3171</v>
      </c>
      <c r="Q43" s="24">
        <f t="shared" si="19"/>
        <v>1.02</v>
      </c>
      <c r="R43" s="715">
        <f t="shared" ca="1" si="20"/>
        <v>31017</v>
      </c>
      <c r="S43" s="361">
        <f t="shared" ca="1" si="11"/>
        <v>368</v>
      </c>
    </row>
    <row r="44" spans="1:19">
      <c r="A44" s="59" t="str">
        <f>办公面积明细!B22</f>
        <v>1号楼5层501</v>
      </c>
      <c r="B44" s="59">
        <f>办公面积明细!C22</f>
        <v>145</v>
      </c>
      <c r="C44" s="24">
        <f t="shared" si="12"/>
        <v>1</v>
      </c>
      <c r="D44" s="719"/>
      <c r="E44" s="24">
        <f t="shared" si="13"/>
        <v>1</v>
      </c>
      <c r="F44" s="719"/>
      <c r="G44" s="24">
        <f t="shared" si="14"/>
        <v>1</v>
      </c>
      <c r="H44" s="719"/>
      <c r="I44" s="24">
        <f t="shared" si="15"/>
        <v>1</v>
      </c>
      <c r="J44" s="719"/>
      <c r="K44" s="24">
        <f t="shared" si="16"/>
        <v>1</v>
      </c>
      <c r="L44" s="719"/>
      <c r="M44" s="24">
        <f t="shared" si="17"/>
        <v>1</v>
      </c>
      <c r="N44" s="719" t="s">
        <v>3444</v>
      </c>
      <c r="O44" s="24">
        <f t="shared" si="18"/>
        <v>1</v>
      </c>
      <c r="P44" s="719" t="s">
        <v>3171</v>
      </c>
      <c r="Q44" s="24">
        <f t="shared" si="19"/>
        <v>1.02</v>
      </c>
      <c r="R44" s="715">
        <f t="shared" ca="1" si="20"/>
        <v>31017</v>
      </c>
      <c r="S44" s="361">
        <f t="shared" ca="1" si="11"/>
        <v>450</v>
      </c>
    </row>
    <row r="45" spans="1:19">
      <c r="A45" s="59" t="str">
        <f>办公面积明细!B23</f>
        <v>1号楼5层502</v>
      </c>
      <c r="B45" s="59">
        <f>办公面积明细!C23</f>
        <v>116.69</v>
      </c>
      <c r="C45" s="24">
        <f t="shared" si="12"/>
        <v>1</v>
      </c>
      <c r="D45" s="719"/>
      <c r="E45" s="24">
        <f t="shared" si="13"/>
        <v>1</v>
      </c>
      <c r="F45" s="719"/>
      <c r="G45" s="24">
        <f t="shared" si="14"/>
        <v>1</v>
      </c>
      <c r="H45" s="719"/>
      <c r="I45" s="24">
        <f t="shared" si="15"/>
        <v>1</v>
      </c>
      <c r="J45" s="719"/>
      <c r="K45" s="24">
        <f t="shared" si="16"/>
        <v>1</v>
      </c>
      <c r="L45" s="719"/>
      <c r="M45" s="24">
        <f t="shared" si="17"/>
        <v>1</v>
      </c>
      <c r="N45" s="719" t="s">
        <v>3444</v>
      </c>
      <c r="O45" s="24">
        <f t="shared" si="18"/>
        <v>1</v>
      </c>
      <c r="P45" s="719" t="s">
        <v>3171</v>
      </c>
      <c r="Q45" s="24">
        <f t="shared" si="19"/>
        <v>1.02</v>
      </c>
      <c r="R45" s="715">
        <f t="shared" ca="1" si="20"/>
        <v>31017</v>
      </c>
      <c r="S45" s="361">
        <f t="shared" ca="1" si="11"/>
        <v>362</v>
      </c>
    </row>
    <row r="46" spans="1:19">
      <c r="A46" s="59" t="str">
        <f>办公面积明细!B24</f>
        <v>1号楼5层503</v>
      </c>
      <c r="B46" s="59">
        <f>办公面积明细!C24</f>
        <v>116.69</v>
      </c>
      <c r="C46" s="24">
        <f t="shared" si="12"/>
        <v>1</v>
      </c>
      <c r="D46" s="719"/>
      <c r="E46" s="24">
        <f t="shared" si="13"/>
        <v>1</v>
      </c>
      <c r="F46" s="719"/>
      <c r="G46" s="24">
        <f t="shared" si="14"/>
        <v>1</v>
      </c>
      <c r="H46" s="719"/>
      <c r="I46" s="24">
        <f t="shared" si="15"/>
        <v>1</v>
      </c>
      <c r="J46" s="719"/>
      <c r="K46" s="24">
        <f t="shared" si="16"/>
        <v>1</v>
      </c>
      <c r="L46" s="719"/>
      <c r="M46" s="24">
        <f t="shared" si="17"/>
        <v>1</v>
      </c>
      <c r="N46" s="719" t="s">
        <v>3444</v>
      </c>
      <c r="O46" s="24">
        <f t="shared" si="18"/>
        <v>1</v>
      </c>
      <c r="P46" s="719" t="s">
        <v>3171</v>
      </c>
      <c r="Q46" s="24">
        <f t="shared" si="19"/>
        <v>1.02</v>
      </c>
      <c r="R46" s="715">
        <f t="shared" ca="1" si="20"/>
        <v>31017</v>
      </c>
      <c r="S46" s="361">
        <f t="shared" ca="1" si="11"/>
        <v>362</v>
      </c>
    </row>
    <row r="47" spans="1:19">
      <c r="A47" s="59" t="str">
        <f>办公面积明细!B25</f>
        <v>1号楼5层504</v>
      </c>
      <c r="B47" s="59">
        <f>办公面积明细!C25</f>
        <v>145</v>
      </c>
      <c r="C47" s="24">
        <f t="shared" si="12"/>
        <v>1</v>
      </c>
      <c r="D47" s="719"/>
      <c r="E47" s="24">
        <f t="shared" si="13"/>
        <v>1</v>
      </c>
      <c r="F47" s="719"/>
      <c r="G47" s="24">
        <f t="shared" si="14"/>
        <v>1</v>
      </c>
      <c r="H47" s="719"/>
      <c r="I47" s="24">
        <f t="shared" si="15"/>
        <v>1</v>
      </c>
      <c r="J47" s="719"/>
      <c r="K47" s="24">
        <f t="shared" si="16"/>
        <v>1</v>
      </c>
      <c r="L47" s="719"/>
      <c r="M47" s="24">
        <f t="shared" si="17"/>
        <v>1</v>
      </c>
      <c r="N47" s="719" t="s">
        <v>3444</v>
      </c>
      <c r="O47" s="24">
        <f t="shared" si="18"/>
        <v>1</v>
      </c>
      <c r="P47" s="719" t="s">
        <v>3171</v>
      </c>
      <c r="Q47" s="24">
        <f t="shared" si="19"/>
        <v>1.02</v>
      </c>
      <c r="R47" s="715">
        <f t="shared" ca="1" si="20"/>
        <v>31017</v>
      </c>
      <c r="S47" s="361">
        <f t="shared" ca="1" si="11"/>
        <v>450</v>
      </c>
    </row>
    <row r="48" spans="1:19">
      <c r="A48" s="59" t="str">
        <f>办公面积明细!B26</f>
        <v>1号楼5层505</v>
      </c>
      <c r="B48" s="59">
        <f>办公面积明细!C26</f>
        <v>142.47</v>
      </c>
      <c r="C48" s="24">
        <f t="shared" si="12"/>
        <v>1</v>
      </c>
      <c r="D48" s="719"/>
      <c r="E48" s="24">
        <f t="shared" si="13"/>
        <v>1</v>
      </c>
      <c r="F48" s="719"/>
      <c r="G48" s="24">
        <f t="shared" si="14"/>
        <v>1</v>
      </c>
      <c r="H48" s="719"/>
      <c r="I48" s="24">
        <f t="shared" si="15"/>
        <v>1</v>
      </c>
      <c r="J48" s="719"/>
      <c r="K48" s="24">
        <f t="shared" si="16"/>
        <v>1</v>
      </c>
      <c r="L48" s="719"/>
      <c r="M48" s="24">
        <f t="shared" si="17"/>
        <v>1</v>
      </c>
      <c r="N48" s="719" t="s">
        <v>3444</v>
      </c>
      <c r="O48" s="24">
        <f t="shared" si="18"/>
        <v>1</v>
      </c>
      <c r="P48" s="719" t="s">
        <v>3171</v>
      </c>
      <c r="Q48" s="24">
        <f t="shared" si="19"/>
        <v>1.02</v>
      </c>
      <c r="R48" s="715">
        <f t="shared" ca="1" si="20"/>
        <v>31017</v>
      </c>
      <c r="S48" s="361">
        <f t="shared" ca="1" si="11"/>
        <v>442</v>
      </c>
    </row>
    <row r="49" spans="1:19">
      <c r="A49" s="59" t="str">
        <f>办公面积明细!B27</f>
        <v>1号楼5层506</v>
      </c>
      <c r="B49" s="59">
        <f>办公面积明细!C27</f>
        <v>135.65</v>
      </c>
      <c r="C49" s="24">
        <f t="shared" si="12"/>
        <v>1</v>
      </c>
      <c r="D49" s="719"/>
      <c r="E49" s="24">
        <f t="shared" si="13"/>
        <v>1</v>
      </c>
      <c r="F49" s="719"/>
      <c r="G49" s="24">
        <f t="shared" si="14"/>
        <v>1</v>
      </c>
      <c r="H49" s="719"/>
      <c r="I49" s="24">
        <f t="shared" si="15"/>
        <v>1</v>
      </c>
      <c r="J49" s="719"/>
      <c r="K49" s="24">
        <f t="shared" si="16"/>
        <v>1</v>
      </c>
      <c r="L49" s="719"/>
      <c r="M49" s="24">
        <f t="shared" si="17"/>
        <v>1</v>
      </c>
      <c r="N49" s="719" t="s">
        <v>3444</v>
      </c>
      <c r="O49" s="24">
        <f t="shared" si="18"/>
        <v>1</v>
      </c>
      <c r="P49" s="719" t="s">
        <v>3171</v>
      </c>
      <c r="Q49" s="24">
        <f t="shared" si="19"/>
        <v>1.02</v>
      </c>
      <c r="R49" s="715">
        <f t="shared" ca="1" si="20"/>
        <v>31017</v>
      </c>
      <c r="S49" s="361">
        <f t="shared" ca="1" si="11"/>
        <v>421</v>
      </c>
    </row>
    <row r="50" spans="1:19">
      <c r="A50" s="59" t="str">
        <f>办公面积明细!B28</f>
        <v>1号楼5层507</v>
      </c>
      <c r="B50" s="59">
        <f>办公面积明细!C28</f>
        <v>95.64</v>
      </c>
      <c r="C50" s="24">
        <f t="shared" si="12"/>
        <v>1</v>
      </c>
      <c r="D50" s="719"/>
      <c r="E50" s="24">
        <f t="shared" si="13"/>
        <v>1</v>
      </c>
      <c r="F50" s="719"/>
      <c r="G50" s="24">
        <f t="shared" si="14"/>
        <v>1</v>
      </c>
      <c r="H50" s="719"/>
      <c r="I50" s="24">
        <f t="shared" si="15"/>
        <v>1</v>
      </c>
      <c r="J50" s="719"/>
      <c r="K50" s="24">
        <f t="shared" si="16"/>
        <v>1</v>
      </c>
      <c r="L50" s="719"/>
      <c r="M50" s="24">
        <f t="shared" si="17"/>
        <v>1</v>
      </c>
      <c r="N50" s="719" t="s">
        <v>3444</v>
      </c>
      <c r="O50" s="24">
        <f t="shared" si="18"/>
        <v>1</v>
      </c>
      <c r="P50" s="719" t="s">
        <v>3171</v>
      </c>
      <c r="Q50" s="24">
        <f t="shared" si="19"/>
        <v>1.02</v>
      </c>
      <c r="R50" s="715">
        <f t="shared" ca="1" si="20"/>
        <v>31017</v>
      </c>
      <c r="S50" s="361">
        <f t="shared" ca="1" si="11"/>
        <v>297</v>
      </c>
    </row>
    <row r="51" spans="1:19">
      <c r="A51" s="59" t="str">
        <f>办公面积明细!B29</f>
        <v>1号楼5层508</v>
      </c>
      <c r="B51" s="59">
        <f>办公面积明细!C29</f>
        <v>95.64</v>
      </c>
      <c r="C51" s="24">
        <f t="shared" si="12"/>
        <v>1</v>
      </c>
      <c r="D51" s="719"/>
      <c r="E51" s="24">
        <f t="shared" si="13"/>
        <v>1</v>
      </c>
      <c r="F51" s="719"/>
      <c r="G51" s="24">
        <f t="shared" si="14"/>
        <v>1</v>
      </c>
      <c r="H51" s="719"/>
      <c r="I51" s="24">
        <f t="shared" si="15"/>
        <v>1</v>
      </c>
      <c r="J51" s="719"/>
      <c r="K51" s="24">
        <f t="shared" si="16"/>
        <v>1</v>
      </c>
      <c r="L51" s="719"/>
      <c r="M51" s="24">
        <f t="shared" si="17"/>
        <v>1</v>
      </c>
      <c r="N51" s="719" t="s">
        <v>3444</v>
      </c>
      <c r="O51" s="24">
        <f t="shared" si="18"/>
        <v>1</v>
      </c>
      <c r="P51" s="719" t="s">
        <v>3171</v>
      </c>
      <c r="Q51" s="24">
        <f t="shared" si="19"/>
        <v>1.02</v>
      </c>
      <c r="R51" s="715">
        <f t="shared" ca="1" si="20"/>
        <v>31017</v>
      </c>
      <c r="S51" s="361">
        <f t="shared" ca="1" si="11"/>
        <v>297</v>
      </c>
    </row>
    <row r="52" spans="1:19">
      <c r="A52" s="59" t="str">
        <f>办公面积明细!B30</f>
        <v>1号楼5层509</v>
      </c>
      <c r="B52" s="59">
        <f>办公面积明细!C30</f>
        <v>135.65</v>
      </c>
      <c r="C52" s="24">
        <f t="shared" si="12"/>
        <v>1</v>
      </c>
      <c r="D52" s="719"/>
      <c r="E52" s="24">
        <f t="shared" si="13"/>
        <v>1</v>
      </c>
      <c r="F52" s="719"/>
      <c r="G52" s="24">
        <f t="shared" si="14"/>
        <v>1</v>
      </c>
      <c r="H52" s="719"/>
      <c r="I52" s="24">
        <f t="shared" si="15"/>
        <v>1</v>
      </c>
      <c r="J52" s="719"/>
      <c r="K52" s="24">
        <f t="shared" si="16"/>
        <v>1</v>
      </c>
      <c r="L52" s="719"/>
      <c r="M52" s="24">
        <f t="shared" si="17"/>
        <v>1</v>
      </c>
      <c r="N52" s="719" t="s">
        <v>3444</v>
      </c>
      <c r="O52" s="24">
        <f t="shared" si="18"/>
        <v>1</v>
      </c>
      <c r="P52" s="719" t="s">
        <v>3171</v>
      </c>
      <c r="Q52" s="24">
        <f t="shared" si="19"/>
        <v>1.02</v>
      </c>
      <c r="R52" s="715">
        <f t="shared" ca="1" si="20"/>
        <v>31017</v>
      </c>
      <c r="S52" s="361">
        <f t="shared" ca="1" si="11"/>
        <v>421</v>
      </c>
    </row>
    <row r="53" spans="1:19">
      <c r="A53" s="59" t="str">
        <f>办公面积明细!B31</f>
        <v>1号楼5层510</v>
      </c>
      <c r="B53" s="59">
        <f>办公面积明细!C31</f>
        <v>118.61</v>
      </c>
      <c r="C53" s="24">
        <f t="shared" si="12"/>
        <v>1</v>
      </c>
      <c r="D53" s="719"/>
      <c r="E53" s="24">
        <f t="shared" si="13"/>
        <v>1</v>
      </c>
      <c r="F53" s="719"/>
      <c r="G53" s="24">
        <f t="shared" si="14"/>
        <v>1</v>
      </c>
      <c r="H53" s="719"/>
      <c r="I53" s="24">
        <f t="shared" si="15"/>
        <v>1</v>
      </c>
      <c r="J53" s="719"/>
      <c r="K53" s="24">
        <f t="shared" si="16"/>
        <v>1</v>
      </c>
      <c r="L53" s="719"/>
      <c r="M53" s="24">
        <f t="shared" si="17"/>
        <v>1</v>
      </c>
      <c r="N53" s="719" t="s">
        <v>3444</v>
      </c>
      <c r="O53" s="24">
        <f t="shared" si="18"/>
        <v>1</v>
      </c>
      <c r="P53" s="719" t="s">
        <v>3171</v>
      </c>
      <c r="Q53" s="24">
        <f t="shared" si="19"/>
        <v>1.02</v>
      </c>
      <c r="R53" s="715">
        <f t="shared" ca="1" si="20"/>
        <v>31017</v>
      </c>
      <c r="S53" s="361">
        <f t="shared" ca="1" si="11"/>
        <v>368</v>
      </c>
    </row>
    <row r="54" spans="1:19">
      <c r="A54" s="59" t="str">
        <f>办公面积明细!B32</f>
        <v>1号楼6层601</v>
      </c>
      <c r="B54" s="59">
        <f>办公面积明细!C32</f>
        <v>145</v>
      </c>
      <c r="C54" s="24">
        <f t="shared" si="12"/>
        <v>1</v>
      </c>
      <c r="D54" s="719"/>
      <c r="E54" s="24">
        <f t="shared" si="13"/>
        <v>1</v>
      </c>
      <c r="F54" s="719"/>
      <c r="G54" s="24">
        <f t="shared" si="14"/>
        <v>1</v>
      </c>
      <c r="H54" s="719"/>
      <c r="I54" s="24">
        <f t="shared" si="15"/>
        <v>1</v>
      </c>
      <c r="J54" s="719"/>
      <c r="K54" s="24">
        <f t="shared" si="16"/>
        <v>1</v>
      </c>
      <c r="L54" s="719"/>
      <c r="M54" s="24">
        <f t="shared" si="17"/>
        <v>1</v>
      </c>
      <c r="N54" s="719" t="s">
        <v>3444</v>
      </c>
      <c r="O54" s="24">
        <f t="shared" si="18"/>
        <v>1</v>
      </c>
      <c r="P54" s="719" t="s">
        <v>3171</v>
      </c>
      <c r="Q54" s="24">
        <f t="shared" si="19"/>
        <v>1.02</v>
      </c>
      <c r="R54" s="715">
        <f t="shared" ca="1" si="20"/>
        <v>31017</v>
      </c>
      <c r="S54" s="361">
        <f t="shared" ca="1" si="11"/>
        <v>450</v>
      </c>
    </row>
    <row r="55" spans="1:19">
      <c r="A55" s="59" t="str">
        <f>办公面积明细!B33</f>
        <v>1号楼6层602</v>
      </c>
      <c r="B55" s="59">
        <f>办公面积明细!C33</f>
        <v>116.69</v>
      </c>
      <c r="C55" s="24">
        <f t="shared" si="12"/>
        <v>1</v>
      </c>
      <c r="D55" s="719"/>
      <c r="E55" s="24">
        <f t="shared" si="13"/>
        <v>1</v>
      </c>
      <c r="F55" s="719"/>
      <c r="G55" s="24">
        <f t="shared" si="14"/>
        <v>1</v>
      </c>
      <c r="H55" s="719"/>
      <c r="I55" s="24">
        <f t="shared" si="15"/>
        <v>1</v>
      </c>
      <c r="J55" s="719"/>
      <c r="K55" s="24">
        <f t="shared" si="16"/>
        <v>1</v>
      </c>
      <c r="L55" s="719"/>
      <c r="M55" s="24">
        <f t="shared" si="17"/>
        <v>1</v>
      </c>
      <c r="N55" s="719" t="s">
        <v>3444</v>
      </c>
      <c r="O55" s="24">
        <f t="shared" si="18"/>
        <v>1</v>
      </c>
      <c r="P55" s="719" t="s">
        <v>3171</v>
      </c>
      <c r="Q55" s="24">
        <f t="shared" si="19"/>
        <v>1.02</v>
      </c>
      <c r="R55" s="715">
        <f t="shared" ca="1" si="20"/>
        <v>31017</v>
      </c>
      <c r="S55" s="361">
        <f t="shared" ref="S55:S77" ca="1" si="21">ROUND(R55*B55/10000,0)</f>
        <v>362</v>
      </c>
    </row>
    <row r="56" spans="1:19">
      <c r="A56" s="59" t="str">
        <f>办公面积明细!B34</f>
        <v>1号楼6层603</v>
      </c>
      <c r="B56" s="59">
        <f>办公面积明细!C34</f>
        <v>116.69</v>
      </c>
      <c r="C56" s="24">
        <f t="shared" si="12"/>
        <v>1</v>
      </c>
      <c r="D56" s="719"/>
      <c r="E56" s="24">
        <f t="shared" si="13"/>
        <v>1</v>
      </c>
      <c r="F56" s="719"/>
      <c r="G56" s="24">
        <f t="shared" si="14"/>
        <v>1</v>
      </c>
      <c r="H56" s="719"/>
      <c r="I56" s="24">
        <f t="shared" si="15"/>
        <v>1</v>
      </c>
      <c r="J56" s="719"/>
      <c r="K56" s="24">
        <f t="shared" si="16"/>
        <v>1</v>
      </c>
      <c r="L56" s="719"/>
      <c r="M56" s="24">
        <f t="shared" si="17"/>
        <v>1</v>
      </c>
      <c r="N56" s="719" t="s">
        <v>3444</v>
      </c>
      <c r="O56" s="24">
        <f t="shared" si="18"/>
        <v>1</v>
      </c>
      <c r="P56" s="719" t="s">
        <v>3171</v>
      </c>
      <c r="Q56" s="24">
        <f t="shared" si="19"/>
        <v>1.02</v>
      </c>
      <c r="R56" s="715">
        <f t="shared" ca="1" si="20"/>
        <v>31017</v>
      </c>
      <c r="S56" s="361">
        <f t="shared" ca="1" si="21"/>
        <v>362</v>
      </c>
    </row>
    <row r="57" spans="1:19">
      <c r="A57" s="59" t="str">
        <f>办公面积明细!B35</f>
        <v>1号楼6层604</v>
      </c>
      <c r="B57" s="59">
        <f>办公面积明细!C35</f>
        <v>145</v>
      </c>
      <c r="C57" s="24">
        <f t="shared" si="12"/>
        <v>1</v>
      </c>
      <c r="D57" s="719"/>
      <c r="E57" s="24">
        <f t="shared" si="13"/>
        <v>1</v>
      </c>
      <c r="F57" s="719"/>
      <c r="G57" s="24">
        <f t="shared" si="14"/>
        <v>1</v>
      </c>
      <c r="H57" s="719"/>
      <c r="I57" s="24">
        <f t="shared" si="15"/>
        <v>1</v>
      </c>
      <c r="J57" s="719"/>
      <c r="K57" s="24">
        <f t="shared" si="16"/>
        <v>1</v>
      </c>
      <c r="L57" s="719"/>
      <c r="M57" s="24">
        <f t="shared" si="17"/>
        <v>1</v>
      </c>
      <c r="N57" s="719" t="s">
        <v>3444</v>
      </c>
      <c r="O57" s="24">
        <f t="shared" si="18"/>
        <v>1</v>
      </c>
      <c r="P57" s="719" t="s">
        <v>3171</v>
      </c>
      <c r="Q57" s="24">
        <f t="shared" si="19"/>
        <v>1.02</v>
      </c>
      <c r="R57" s="715">
        <f t="shared" ca="1" si="20"/>
        <v>31017</v>
      </c>
      <c r="S57" s="361">
        <f t="shared" ca="1" si="21"/>
        <v>450</v>
      </c>
    </row>
    <row r="58" spans="1:19">
      <c r="A58" s="59" t="str">
        <f>办公面积明细!B36</f>
        <v>1号楼6层605</v>
      </c>
      <c r="B58" s="59">
        <f>办公面积明细!C36</f>
        <v>142.47</v>
      </c>
      <c r="C58" s="24">
        <f t="shared" si="12"/>
        <v>1</v>
      </c>
      <c r="D58" s="719"/>
      <c r="E58" s="24">
        <f t="shared" si="13"/>
        <v>1</v>
      </c>
      <c r="F58" s="719"/>
      <c r="G58" s="24">
        <f t="shared" si="14"/>
        <v>1</v>
      </c>
      <c r="H58" s="719"/>
      <c r="I58" s="24">
        <f t="shared" si="15"/>
        <v>1</v>
      </c>
      <c r="J58" s="719"/>
      <c r="K58" s="24">
        <f t="shared" si="16"/>
        <v>1</v>
      </c>
      <c r="L58" s="719"/>
      <c r="M58" s="24">
        <f t="shared" si="17"/>
        <v>1</v>
      </c>
      <c r="N58" s="719" t="s">
        <v>3444</v>
      </c>
      <c r="O58" s="24">
        <f t="shared" si="18"/>
        <v>1</v>
      </c>
      <c r="P58" s="719" t="s">
        <v>3171</v>
      </c>
      <c r="Q58" s="24">
        <f t="shared" si="19"/>
        <v>1.02</v>
      </c>
      <c r="R58" s="715">
        <f t="shared" ca="1" si="20"/>
        <v>31017</v>
      </c>
      <c r="S58" s="361">
        <f t="shared" ca="1" si="21"/>
        <v>442</v>
      </c>
    </row>
    <row r="59" spans="1:19">
      <c r="A59" s="59" t="str">
        <f>办公面积明细!B37</f>
        <v>1号楼6层606</v>
      </c>
      <c r="B59" s="59">
        <f>办公面积明细!C37</f>
        <v>135.65</v>
      </c>
      <c r="C59" s="24">
        <f t="shared" si="12"/>
        <v>1</v>
      </c>
      <c r="D59" s="719"/>
      <c r="E59" s="24">
        <f t="shared" si="13"/>
        <v>1</v>
      </c>
      <c r="F59" s="719"/>
      <c r="G59" s="24">
        <f t="shared" si="14"/>
        <v>1</v>
      </c>
      <c r="H59" s="719"/>
      <c r="I59" s="24">
        <f t="shared" si="15"/>
        <v>1</v>
      </c>
      <c r="J59" s="719"/>
      <c r="K59" s="24">
        <f t="shared" si="16"/>
        <v>1</v>
      </c>
      <c r="L59" s="719"/>
      <c r="M59" s="24">
        <f t="shared" si="17"/>
        <v>1</v>
      </c>
      <c r="N59" s="719" t="s">
        <v>3444</v>
      </c>
      <c r="O59" s="24">
        <f t="shared" si="18"/>
        <v>1</v>
      </c>
      <c r="P59" s="719" t="s">
        <v>3171</v>
      </c>
      <c r="Q59" s="24">
        <f t="shared" si="19"/>
        <v>1.02</v>
      </c>
      <c r="R59" s="715">
        <f t="shared" ca="1" si="20"/>
        <v>31017</v>
      </c>
      <c r="S59" s="361">
        <f t="shared" ca="1" si="21"/>
        <v>421</v>
      </c>
    </row>
    <row r="60" spans="1:19">
      <c r="A60" s="59" t="str">
        <f>办公面积明细!B38</f>
        <v>1号楼6层607</v>
      </c>
      <c r="B60" s="59">
        <f>办公面积明细!C38</f>
        <v>95.64</v>
      </c>
      <c r="C60" s="24">
        <f t="shared" si="12"/>
        <v>1</v>
      </c>
      <c r="D60" s="719"/>
      <c r="E60" s="24">
        <f t="shared" si="13"/>
        <v>1</v>
      </c>
      <c r="F60" s="719"/>
      <c r="G60" s="24">
        <f t="shared" si="14"/>
        <v>1</v>
      </c>
      <c r="H60" s="719"/>
      <c r="I60" s="24">
        <f t="shared" si="15"/>
        <v>1</v>
      </c>
      <c r="J60" s="719"/>
      <c r="K60" s="24">
        <f t="shared" si="16"/>
        <v>1</v>
      </c>
      <c r="L60" s="719"/>
      <c r="M60" s="24">
        <f t="shared" si="17"/>
        <v>1</v>
      </c>
      <c r="N60" s="719" t="s">
        <v>3444</v>
      </c>
      <c r="O60" s="24">
        <f t="shared" si="18"/>
        <v>1</v>
      </c>
      <c r="P60" s="719" t="s">
        <v>3171</v>
      </c>
      <c r="Q60" s="24">
        <f t="shared" si="19"/>
        <v>1.02</v>
      </c>
      <c r="R60" s="715">
        <f t="shared" ca="1" si="20"/>
        <v>31017</v>
      </c>
      <c r="S60" s="361">
        <f t="shared" ca="1" si="21"/>
        <v>297</v>
      </c>
    </row>
    <row r="61" spans="1:19">
      <c r="A61" s="59" t="str">
        <f>办公面积明细!B39</f>
        <v>1号楼6层608</v>
      </c>
      <c r="B61" s="59">
        <f>办公面积明细!C39</f>
        <v>95.64</v>
      </c>
      <c r="C61" s="24">
        <f t="shared" si="12"/>
        <v>1</v>
      </c>
      <c r="D61" s="719"/>
      <c r="E61" s="24">
        <f t="shared" si="13"/>
        <v>1</v>
      </c>
      <c r="F61" s="719"/>
      <c r="G61" s="24">
        <f t="shared" si="14"/>
        <v>1</v>
      </c>
      <c r="H61" s="719"/>
      <c r="I61" s="24">
        <f t="shared" si="15"/>
        <v>1</v>
      </c>
      <c r="J61" s="719"/>
      <c r="K61" s="24">
        <f t="shared" si="16"/>
        <v>1</v>
      </c>
      <c r="L61" s="719"/>
      <c r="M61" s="24">
        <f t="shared" si="17"/>
        <v>1</v>
      </c>
      <c r="N61" s="719" t="s">
        <v>3444</v>
      </c>
      <c r="O61" s="24">
        <f t="shared" si="18"/>
        <v>1</v>
      </c>
      <c r="P61" s="719" t="s">
        <v>3171</v>
      </c>
      <c r="Q61" s="24">
        <f t="shared" si="19"/>
        <v>1.02</v>
      </c>
      <c r="R61" s="715">
        <f t="shared" ca="1" si="20"/>
        <v>31017</v>
      </c>
      <c r="S61" s="361">
        <f t="shared" ca="1" si="21"/>
        <v>297</v>
      </c>
    </row>
    <row r="62" spans="1:19">
      <c r="A62" s="59" t="str">
        <f>办公面积明细!B40</f>
        <v>1号楼6层609</v>
      </c>
      <c r="B62" s="59">
        <f>办公面积明细!C40</f>
        <v>135.65</v>
      </c>
      <c r="C62" s="24">
        <f t="shared" si="12"/>
        <v>1</v>
      </c>
      <c r="D62" s="719"/>
      <c r="E62" s="24">
        <f t="shared" si="13"/>
        <v>1</v>
      </c>
      <c r="F62" s="719"/>
      <c r="G62" s="24">
        <f t="shared" si="14"/>
        <v>1</v>
      </c>
      <c r="H62" s="719"/>
      <c r="I62" s="24">
        <f t="shared" si="15"/>
        <v>1</v>
      </c>
      <c r="J62" s="719"/>
      <c r="K62" s="24">
        <f t="shared" si="16"/>
        <v>1</v>
      </c>
      <c r="L62" s="719"/>
      <c r="M62" s="24">
        <f t="shared" si="17"/>
        <v>1</v>
      </c>
      <c r="N62" s="719" t="s">
        <v>3444</v>
      </c>
      <c r="O62" s="24">
        <f t="shared" si="18"/>
        <v>1</v>
      </c>
      <c r="P62" s="719" t="s">
        <v>3171</v>
      </c>
      <c r="Q62" s="24">
        <f t="shared" si="19"/>
        <v>1.02</v>
      </c>
      <c r="R62" s="715">
        <f t="shared" ca="1" si="20"/>
        <v>31017</v>
      </c>
      <c r="S62" s="361">
        <f t="shared" ca="1" si="21"/>
        <v>421</v>
      </c>
    </row>
    <row r="63" spans="1:19">
      <c r="A63" s="59" t="str">
        <f>办公面积明细!B41</f>
        <v>1号楼6层610</v>
      </c>
      <c r="B63" s="59">
        <f>办公面积明细!C41</f>
        <v>118.61</v>
      </c>
      <c r="C63" s="24">
        <f t="shared" si="12"/>
        <v>1</v>
      </c>
      <c r="D63" s="719"/>
      <c r="E63" s="24">
        <f t="shared" si="13"/>
        <v>1</v>
      </c>
      <c r="F63" s="719"/>
      <c r="G63" s="24">
        <f t="shared" si="14"/>
        <v>1</v>
      </c>
      <c r="H63" s="719"/>
      <c r="I63" s="24">
        <f t="shared" si="15"/>
        <v>1</v>
      </c>
      <c r="J63" s="719"/>
      <c r="K63" s="24">
        <f t="shared" si="16"/>
        <v>1</v>
      </c>
      <c r="L63" s="719"/>
      <c r="M63" s="24">
        <f t="shared" si="17"/>
        <v>1</v>
      </c>
      <c r="N63" s="719" t="s">
        <v>3444</v>
      </c>
      <c r="O63" s="24">
        <f t="shared" si="18"/>
        <v>1</v>
      </c>
      <c r="P63" s="719" t="s">
        <v>3171</v>
      </c>
      <c r="Q63" s="24">
        <f t="shared" si="19"/>
        <v>1.02</v>
      </c>
      <c r="R63" s="715">
        <f t="shared" ca="1" si="20"/>
        <v>31017</v>
      </c>
      <c r="S63" s="361">
        <f t="shared" ca="1" si="21"/>
        <v>368</v>
      </c>
    </row>
    <row r="64" spans="1:19">
      <c r="A64" s="59" t="str">
        <f>办公面积明细!B42</f>
        <v>1号楼7层701</v>
      </c>
      <c r="B64" s="59">
        <f>办公面积明细!C42</f>
        <v>145</v>
      </c>
      <c r="C64" s="24">
        <f t="shared" si="12"/>
        <v>1</v>
      </c>
      <c r="D64" s="719"/>
      <c r="E64" s="24">
        <f t="shared" si="13"/>
        <v>1</v>
      </c>
      <c r="F64" s="719"/>
      <c r="G64" s="24">
        <f t="shared" si="14"/>
        <v>1</v>
      </c>
      <c r="H64" s="719"/>
      <c r="I64" s="24">
        <f t="shared" si="15"/>
        <v>1</v>
      </c>
      <c r="J64" s="719"/>
      <c r="K64" s="24">
        <f t="shared" si="16"/>
        <v>1</v>
      </c>
      <c r="L64" s="719"/>
      <c r="M64" s="24">
        <f t="shared" si="17"/>
        <v>1</v>
      </c>
      <c r="N64" s="719" t="s">
        <v>3444</v>
      </c>
      <c r="O64" s="24">
        <f t="shared" si="18"/>
        <v>1</v>
      </c>
      <c r="P64" s="719" t="s">
        <v>3169</v>
      </c>
      <c r="Q64" s="24">
        <f t="shared" si="19"/>
        <v>1.04</v>
      </c>
      <c r="R64" s="715">
        <f t="shared" ca="1" si="20"/>
        <v>31625</v>
      </c>
      <c r="S64" s="361">
        <f t="shared" ca="1" si="21"/>
        <v>459</v>
      </c>
    </row>
    <row r="65" spans="1:19">
      <c r="A65" s="59" t="str">
        <f>办公面积明细!B43</f>
        <v>1号楼7层702</v>
      </c>
      <c r="B65" s="59">
        <f>办公面积明细!C43</f>
        <v>116.69</v>
      </c>
      <c r="C65" s="24">
        <f t="shared" si="12"/>
        <v>1</v>
      </c>
      <c r="D65" s="719"/>
      <c r="E65" s="24">
        <f t="shared" si="13"/>
        <v>1</v>
      </c>
      <c r="F65" s="719"/>
      <c r="G65" s="24">
        <f t="shared" si="14"/>
        <v>1</v>
      </c>
      <c r="H65" s="719"/>
      <c r="I65" s="24">
        <f t="shared" si="15"/>
        <v>1</v>
      </c>
      <c r="J65" s="719"/>
      <c r="K65" s="24">
        <f t="shared" si="16"/>
        <v>1</v>
      </c>
      <c r="L65" s="719"/>
      <c r="M65" s="24">
        <f t="shared" si="17"/>
        <v>1</v>
      </c>
      <c r="N65" s="719" t="s">
        <v>3444</v>
      </c>
      <c r="O65" s="24">
        <f t="shared" si="18"/>
        <v>1</v>
      </c>
      <c r="P65" s="719" t="s">
        <v>3169</v>
      </c>
      <c r="Q65" s="24">
        <f t="shared" si="19"/>
        <v>1.04</v>
      </c>
      <c r="R65" s="715">
        <f t="shared" ca="1" si="20"/>
        <v>31625</v>
      </c>
      <c r="S65" s="361">
        <f t="shared" ca="1" si="21"/>
        <v>369</v>
      </c>
    </row>
    <row r="66" spans="1:19">
      <c r="A66" s="59" t="str">
        <f>办公面积明细!B44</f>
        <v>1号楼7层703</v>
      </c>
      <c r="B66" s="59">
        <f>办公面积明细!C44</f>
        <v>116.69</v>
      </c>
      <c r="C66" s="24">
        <f t="shared" si="12"/>
        <v>1</v>
      </c>
      <c r="D66" s="719"/>
      <c r="E66" s="24">
        <f t="shared" si="13"/>
        <v>1</v>
      </c>
      <c r="F66" s="719"/>
      <c r="G66" s="24">
        <f t="shared" si="14"/>
        <v>1</v>
      </c>
      <c r="H66" s="719"/>
      <c r="I66" s="24">
        <f t="shared" si="15"/>
        <v>1</v>
      </c>
      <c r="J66" s="719"/>
      <c r="K66" s="24">
        <f t="shared" si="16"/>
        <v>1</v>
      </c>
      <c r="L66" s="719"/>
      <c r="M66" s="24">
        <f t="shared" si="17"/>
        <v>1</v>
      </c>
      <c r="N66" s="719" t="s">
        <v>3444</v>
      </c>
      <c r="O66" s="24">
        <f t="shared" si="18"/>
        <v>1</v>
      </c>
      <c r="P66" s="719" t="s">
        <v>3169</v>
      </c>
      <c r="Q66" s="24">
        <f t="shared" si="19"/>
        <v>1.04</v>
      </c>
      <c r="R66" s="715">
        <f t="shared" ca="1" si="20"/>
        <v>31625</v>
      </c>
      <c r="S66" s="361">
        <f t="shared" ca="1" si="21"/>
        <v>369</v>
      </c>
    </row>
    <row r="67" spans="1:19">
      <c r="A67" s="59" t="str">
        <f>办公面积明细!B45</f>
        <v>1号楼7层704</v>
      </c>
      <c r="B67" s="59">
        <f>办公面积明细!C45</f>
        <v>145</v>
      </c>
      <c r="C67" s="24">
        <f t="shared" si="12"/>
        <v>1</v>
      </c>
      <c r="D67" s="719"/>
      <c r="E67" s="24">
        <f t="shared" si="13"/>
        <v>1</v>
      </c>
      <c r="F67" s="719"/>
      <c r="G67" s="24">
        <f t="shared" si="14"/>
        <v>1</v>
      </c>
      <c r="H67" s="719"/>
      <c r="I67" s="24">
        <f t="shared" si="15"/>
        <v>1</v>
      </c>
      <c r="J67" s="719"/>
      <c r="K67" s="24">
        <f t="shared" si="16"/>
        <v>1</v>
      </c>
      <c r="L67" s="719"/>
      <c r="M67" s="24">
        <f t="shared" si="17"/>
        <v>1</v>
      </c>
      <c r="N67" s="719" t="s">
        <v>3444</v>
      </c>
      <c r="O67" s="24">
        <f t="shared" si="18"/>
        <v>1</v>
      </c>
      <c r="P67" s="719" t="s">
        <v>3169</v>
      </c>
      <c r="Q67" s="24">
        <f t="shared" si="19"/>
        <v>1.04</v>
      </c>
      <c r="R67" s="715">
        <f t="shared" ca="1" si="20"/>
        <v>31625</v>
      </c>
      <c r="S67" s="361">
        <f t="shared" ca="1" si="21"/>
        <v>459</v>
      </c>
    </row>
    <row r="68" spans="1:19">
      <c r="A68" s="59" t="str">
        <f>办公面积明细!B46</f>
        <v>1号楼7层705</v>
      </c>
      <c r="B68" s="59">
        <f>办公面积明细!C46</f>
        <v>142.47</v>
      </c>
      <c r="C68" s="24">
        <f t="shared" si="12"/>
        <v>1</v>
      </c>
      <c r="D68" s="719"/>
      <c r="E68" s="24">
        <f t="shared" si="13"/>
        <v>1</v>
      </c>
      <c r="F68" s="719"/>
      <c r="G68" s="24">
        <f t="shared" si="14"/>
        <v>1</v>
      </c>
      <c r="H68" s="719"/>
      <c r="I68" s="24">
        <f t="shared" si="15"/>
        <v>1</v>
      </c>
      <c r="J68" s="719"/>
      <c r="K68" s="24">
        <f t="shared" si="16"/>
        <v>1</v>
      </c>
      <c r="L68" s="719"/>
      <c r="M68" s="24">
        <f t="shared" si="17"/>
        <v>1</v>
      </c>
      <c r="N68" s="719" t="s">
        <v>3444</v>
      </c>
      <c r="O68" s="24">
        <f t="shared" si="18"/>
        <v>1</v>
      </c>
      <c r="P68" s="719" t="s">
        <v>3169</v>
      </c>
      <c r="Q68" s="24">
        <f t="shared" si="19"/>
        <v>1.04</v>
      </c>
      <c r="R68" s="715">
        <f t="shared" ca="1" si="20"/>
        <v>31625</v>
      </c>
      <c r="S68" s="361">
        <f t="shared" ca="1" si="21"/>
        <v>451</v>
      </c>
    </row>
    <row r="69" spans="1:19">
      <c r="A69" s="59" t="str">
        <f>办公面积明细!B47</f>
        <v>1号楼7层706</v>
      </c>
      <c r="B69" s="59">
        <f>办公面积明细!C47</f>
        <v>135.65</v>
      </c>
      <c r="C69" s="24">
        <f t="shared" si="12"/>
        <v>1</v>
      </c>
      <c r="D69" s="719"/>
      <c r="E69" s="24">
        <f t="shared" si="13"/>
        <v>1</v>
      </c>
      <c r="F69" s="719"/>
      <c r="G69" s="24">
        <f t="shared" si="14"/>
        <v>1</v>
      </c>
      <c r="H69" s="719"/>
      <c r="I69" s="24">
        <f t="shared" si="15"/>
        <v>1</v>
      </c>
      <c r="J69" s="719"/>
      <c r="K69" s="24">
        <f t="shared" si="16"/>
        <v>1</v>
      </c>
      <c r="L69" s="719"/>
      <c r="M69" s="24">
        <f t="shared" si="17"/>
        <v>1</v>
      </c>
      <c r="N69" s="719" t="s">
        <v>3444</v>
      </c>
      <c r="O69" s="24">
        <f t="shared" si="18"/>
        <v>1</v>
      </c>
      <c r="P69" s="719" t="s">
        <v>3169</v>
      </c>
      <c r="Q69" s="24">
        <f t="shared" si="19"/>
        <v>1.04</v>
      </c>
      <c r="R69" s="715">
        <f t="shared" ca="1" si="20"/>
        <v>31625</v>
      </c>
      <c r="S69" s="361">
        <f t="shared" ca="1" si="21"/>
        <v>429</v>
      </c>
    </row>
    <row r="70" spans="1:19">
      <c r="A70" s="59" t="str">
        <f>办公面积明细!B48</f>
        <v>1号楼7层707</v>
      </c>
      <c r="B70" s="59">
        <f>办公面积明细!C48</f>
        <v>95.64</v>
      </c>
      <c r="C70" s="24">
        <f t="shared" si="12"/>
        <v>1</v>
      </c>
      <c r="D70" s="719"/>
      <c r="E70" s="24">
        <f t="shared" si="13"/>
        <v>1</v>
      </c>
      <c r="F70" s="719"/>
      <c r="G70" s="24">
        <f t="shared" si="14"/>
        <v>1</v>
      </c>
      <c r="H70" s="719"/>
      <c r="I70" s="24">
        <f t="shared" si="15"/>
        <v>1</v>
      </c>
      <c r="J70" s="719"/>
      <c r="K70" s="24">
        <f t="shared" si="16"/>
        <v>1</v>
      </c>
      <c r="L70" s="719"/>
      <c r="M70" s="24">
        <f t="shared" si="17"/>
        <v>1</v>
      </c>
      <c r="N70" s="719" t="s">
        <v>3444</v>
      </c>
      <c r="O70" s="24">
        <f t="shared" si="18"/>
        <v>1</v>
      </c>
      <c r="P70" s="719" t="s">
        <v>3169</v>
      </c>
      <c r="Q70" s="24">
        <f t="shared" si="19"/>
        <v>1.04</v>
      </c>
      <c r="R70" s="715">
        <f t="shared" ca="1" si="20"/>
        <v>31625</v>
      </c>
      <c r="S70" s="361">
        <f t="shared" ca="1" si="21"/>
        <v>302</v>
      </c>
    </row>
    <row r="71" spans="1:19">
      <c r="A71" s="59" t="str">
        <f>办公面积明细!B49</f>
        <v>1号楼7层708</v>
      </c>
      <c r="B71" s="59">
        <f>办公面积明细!C49</f>
        <v>95.64</v>
      </c>
      <c r="C71" s="24">
        <f t="shared" si="12"/>
        <v>1</v>
      </c>
      <c r="D71" s="719"/>
      <c r="E71" s="24">
        <f t="shared" si="13"/>
        <v>1</v>
      </c>
      <c r="F71" s="719"/>
      <c r="G71" s="24">
        <f t="shared" si="14"/>
        <v>1</v>
      </c>
      <c r="H71" s="719"/>
      <c r="I71" s="24">
        <f t="shared" si="15"/>
        <v>1</v>
      </c>
      <c r="J71" s="719"/>
      <c r="K71" s="24">
        <f t="shared" si="16"/>
        <v>1</v>
      </c>
      <c r="L71" s="719"/>
      <c r="M71" s="24">
        <f t="shared" si="17"/>
        <v>1</v>
      </c>
      <c r="N71" s="719" t="s">
        <v>3444</v>
      </c>
      <c r="O71" s="24">
        <f t="shared" si="18"/>
        <v>1</v>
      </c>
      <c r="P71" s="719" t="s">
        <v>3169</v>
      </c>
      <c r="Q71" s="24">
        <f t="shared" si="19"/>
        <v>1.04</v>
      </c>
      <c r="R71" s="715">
        <f t="shared" ca="1" si="20"/>
        <v>31625</v>
      </c>
      <c r="S71" s="361">
        <f t="shared" ca="1" si="21"/>
        <v>302</v>
      </c>
    </row>
    <row r="72" spans="1:19">
      <c r="A72" s="59" t="str">
        <f>办公面积明细!B50</f>
        <v>1号楼7层709</v>
      </c>
      <c r="B72" s="59">
        <f>办公面积明细!C50</f>
        <v>135.65</v>
      </c>
      <c r="C72" s="24">
        <f t="shared" si="12"/>
        <v>1</v>
      </c>
      <c r="D72" s="719"/>
      <c r="E72" s="24">
        <f t="shared" si="13"/>
        <v>1</v>
      </c>
      <c r="F72" s="719"/>
      <c r="G72" s="24">
        <f t="shared" si="14"/>
        <v>1</v>
      </c>
      <c r="H72" s="719"/>
      <c r="I72" s="24">
        <f t="shared" si="15"/>
        <v>1</v>
      </c>
      <c r="J72" s="719"/>
      <c r="K72" s="24">
        <f t="shared" si="16"/>
        <v>1</v>
      </c>
      <c r="L72" s="719"/>
      <c r="M72" s="24">
        <f t="shared" si="17"/>
        <v>1</v>
      </c>
      <c r="N72" s="719" t="s">
        <v>3444</v>
      </c>
      <c r="O72" s="24">
        <f t="shared" si="18"/>
        <v>1</v>
      </c>
      <c r="P72" s="719" t="s">
        <v>3169</v>
      </c>
      <c r="Q72" s="24">
        <f t="shared" si="19"/>
        <v>1.04</v>
      </c>
      <c r="R72" s="715">
        <f t="shared" ca="1" si="20"/>
        <v>31625</v>
      </c>
      <c r="S72" s="361">
        <f t="shared" ca="1" si="21"/>
        <v>429</v>
      </c>
    </row>
    <row r="73" spans="1:19">
      <c r="A73" s="59" t="str">
        <f>办公面积明细!B51</f>
        <v>1号楼7层710</v>
      </c>
      <c r="B73" s="59">
        <f>办公面积明细!C51</f>
        <v>118.61</v>
      </c>
      <c r="C73" s="24">
        <f t="shared" si="12"/>
        <v>1</v>
      </c>
      <c r="D73" s="719"/>
      <c r="E73" s="24">
        <f t="shared" si="13"/>
        <v>1</v>
      </c>
      <c r="F73" s="719"/>
      <c r="G73" s="24">
        <f t="shared" si="14"/>
        <v>1</v>
      </c>
      <c r="H73" s="719"/>
      <c r="I73" s="24">
        <f t="shared" si="15"/>
        <v>1</v>
      </c>
      <c r="J73" s="719"/>
      <c r="K73" s="24">
        <f t="shared" si="16"/>
        <v>1</v>
      </c>
      <c r="L73" s="719"/>
      <c r="M73" s="24">
        <f t="shared" si="17"/>
        <v>1</v>
      </c>
      <c r="N73" s="719" t="s">
        <v>3444</v>
      </c>
      <c r="O73" s="24">
        <f t="shared" si="18"/>
        <v>1</v>
      </c>
      <c r="P73" s="719" t="s">
        <v>3169</v>
      </c>
      <c r="Q73" s="24">
        <f t="shared" si="19"/>
        <v>1.04</v>
      </c>
      <c r="R73" s="715">
        <f t="shared" ca="1" si="20"/>
        <v>31625</v>
      </c>
      <c r="S73" s="361">
        <f t="shared" ca="1" si="21"/>
        <v>375</v>
      </c>
    </row>
    <row r="74" spans="1:19">
      <c r="A74" s="59" t="str">
        <f>办公面积明细!B52</f>
        <v>1号楼8层801</v>
      </c>
      <c r="B74" s="59">
        <f>办公面积明细!C52</f>
        <v>145</v>
      </c>
      <c r="C74" s="24">
        <f t="shared" si="12"/>
        <v>1</v>
      </c>
      <c r="D74" s="719"/>
      <c r="E74" s="24">
        <f t="shared" si="13"/>
        <v>1</v>
      </c>
      <c r="F74" s="719"/>
      <c r="G74" s="24">
        <f t="shared" si="14"/>
        <v>1</v>
      </c>
      <c r="H74" s="719"/>
      <c r="I74" s="24">
        <f t="shared" si="15"/>
        <v>1</v>
      </c>
      <c r="J74" s="719"/>
      <c r="K74" s="24">
        <f t="shared" si="16"/>
        <v>1</v>
      </c>
      <c r="L74" s="719"/>
      <c r="M74" s="24">
        <f t="shared" si="17"/>
        <v>1</v>
      </c>
      <c r="N74" s="719" t="s">
        <v>3444</v>
      </c>
      <c r="O74" s="24">
        <f t="shared" si="18"/>
        <v>1</v>
      </c>
      <c r="P74" s="719" t="s">
        <v>3169</v>
      </c>
      <c r="Q74" s="24">
        <f t="shared" si="19"/>
        <v>1.04</v>
      </c>
      <c r="R74" s="715">
        <f t="shared" ca="1" si="20"/>
        <v>31625</v>
      </c>
      <c r="S74" s="361">
        <f t="shared" ca="1" si="21"/>
        <v>459</v>
      </c>
    </row>
    <row r="75" spans="1:19">
      <c r="A75" s="59" t="str">
        <f>办公面积明细!B53</f>
        <v>1号楼8层802</v>
      </c>
      <c r="B75" s="59">
        <f>办公面积明细!C53</f>
        <v>116.69</v>
      </c>
      <c r="C75" s="24">
        <f t="shared" si="12"/>
        <v>1</v>
      </c>
      <c r="D75" s="719"/>
      <c r="E75" s="24">
        <f t="shared" si="13"/>
        <v>1</v>
      </c>
      <c r="F75" s="719"/>
      <c r="G75" s="24">
        <f t="shared" si="14"/>
        <v>1</v>
      </c>
      <c r="H75" s="719"/>
      <c r="I75" s="24">
        <f t="shared" si="15"/>
        <v>1</v>
      </c>
      <c r="J75" s="719"/>
      <c r="K75" s="24">
        <f t="shared" si="16"/>
        <v>1</v>
      </c>
      <c r="L75" s="719"/>
      <c r="M75" s="24">
        <f t="shared" si="17"/>
        <v>1</v>
      </c>
      <c r="N75" s="719" t="s">
        <v>3444</v>
      </c>
      <c r="O75" s="24">
        <f t="shared" si="18"/>
        <v>1</v>
      </c>
      <c r="P75" s="719" t="s">
        <v>3169</v>
      </c>
      <c r="Q75" s="24">
        <f t="shared" si="19"/>
        <v>1.04</v>
      </c>
      <c r="R75" s="715">
        <f t="shared" ca="1" si="20"/>
        <v>31625</v>
      </c>
      <c r="S75" s="361">
        <f t="shared" ca="1" si="21"/>
        <v>369</v>
      </c>
    </row>
    <row r="76" spans="1:19">
      <c r="A76" s="59" t="str">
        <f>办公面积明细!B54</f>
        <v>1号楼8层803</v>
      </c>
      <c r="B76" s="59">
        <f>办公面积明细!C54</f>
        <v>116.69</v>
      </c>
      <c r="C76" s="24">
        <f t="shared" si="12"/>
        <v>1</v>
      </c>
      <c r="D76" s="719"/>
      <c r="E76" s="24">
        <f t="shared" si="13"/>
        <v>1</v>
      </c>
      <c r="F76" s="719"/>
      <c r="G76" s="24">
        <f t="shared" si="14"/>
        <v>1</v>
      </c>
      <c r="H76" s="719"/>
      <c r="I76" s="24">
        <f t="shared" si="15"/>
        <v>1</v>
      </c>
      <c r="J76" s="719"/>
      <c r="K76" s="24">
        <f t="shared" si="16"/>
        <v>1</v>
      </c>
      <c r="L76" s="719"/>
      <c r="M76" s="24">
        <f t="shared" si="17"/>
        <v>1</v>
      </c>
      <c r="N76" s="719" t="s">
        <v>3444</v>
      </c>
      <c r="O76" s="24">
        <f t="shared" si="18"/>
        <v>1</v>
      </c>
      <c r="P76" s="719" t="s">
        <v>3169</v>
      </c>
      <c r="Q76" s="24">
        <f t="shared" si="19"/>
        <v>1.04</v>
      </c>
      <c r="R76" s="715">
        <f t="shared" ca="1" si="20"/>
        <v>31625</v>
      </c>
      <c r="S76" s="361">
        <f t="shared" ca="1" si="21"/>
        <v>369</v>
      </c>
    </row>
    <row r="77" spans="1:19">
      <c r="A77" s="59" t="str">
        <f>办公面积明细!B55</f>
        <v>1号楼8层804</v>
      </c>
      <c r="B77" s="59">
        <f>办公面积明细!C55</f>
        <v>145</v>
      </c>
      <c r="C77" s="24">
        <f t="shared" si="12"/>
        <v>1</v>
      </c>
      <c r="D77" s="719"/>
      <c r="E77" s="24">
        <f t="shared" si="13"/>
        <v>1</v>
      </c>
      <c r="F77" s="719"/>
      <c r="G77" s="24">
        <f t="shared" si="14"/>
        <v>1</v>
      </c>
      <c r="H77" s="719"/>
      <c r="I77" s="24">
        <f t="shared" si="15"/>
        <v>1</v>
      </c>
      <c r="J77" s="719"/>
      <c r="K77" s="24">
        <f t="shared" si="16"/>
        <v>1</v>
      </c>
      <c r="L77" s="719"/>
      <c r="M77" s="24">
        <f t="shared" si="17"/>
        <v>1</v>
      </c>
      <c r="N77" s="719" t="s">
        <v>3444</v>
      </c>
      <c r="O77" s="24">
        <f t="shared" si="18"/>
        <v>1</v>
      </c>
      <c r="P77" s="719" t="s">
        <v>3169</v>
      </c>
      <c r="Q77" s="24">
        <f t="shared" si="19"/>
        <v>1.04</v>
      </c>
      <c r="R77" s="715">
        <f t="shared" ca="1" si="20"/>
        <v>31625</v>
      </c>
      <c r="S77" s="361">
        <f t="shared" ca="1" si="21"/>
        <v>459</v>
      </c>
    </row>
    <row r="78" spans="1:19">
      <c r="A78" s="59" t="str">
        <f>办公面积明细!B56</f>
        <v>1号楼8层805</v>
      </c>
      <c r="B78" s="59">
        <f>办公面积明细!C56</f>
        <v>142.47</v>
      </c>
      <c r="C78" s="24">
        <f t="shared" si="12"/>
        <v>1</v>
      </c>
      <c r="D78" s="719"/>
      <c r="E78" s="24">
        <f t="shared" si="13"/>
        <v>1</v>
      </c>
      <c r="F78" s="719"/>
      <c r="G78" s="24">
        <f t="shared" si="14"/>
        <v>1</v>
      </c>
      <c r="H78" s="719"/>
      <c r="I78" s="24">
        <f t="shared" si="15"/>
        <v>1</v>
      </c>
      <c r="J78" s="719"/>
      <c r="K78" s="24">
        <f t="shared" si="16"/>
        <v>1</v>
      </c>
      <c r="L78" s="719"/>
      <c r="M78" s="24">
        <f t="shared" si="17"/>
        <v>1</v>
      </c>
      <c r="N78" s="719" t="s">
        <v>3444</v>
      </c>
      <c r="O78" s="24">
        <f t="shared" si="18"/>
        <v>1</v>
      </c>
      <c r="P78" s="719" t="s">
        <v>3169</v>
      </c>
      <c r="Q78" s="24">
        <f t="shared" si="19"/>
        <v>1.04</v>
      </c>
      <c r="R78" s="715">
        <f t="shared" ca="1" si="20"/>
        <v>31625</v>
      </c>
      <c r="S78" s="361">
        <f t="shared" ref="S78:S122" ca="1" si="22">ROUND(R78*B78/10000,0)</f>
        <v>451</v>
      </c>
    </row>
    <row r="79" spans="1:19">
      <c r="A79" s="59" t="str">
        <f>办公面积明细!B57</f>
        <v>1号楼8层806</v>
      </c>
      <c r="B79" s="59">
        <f>办公面积明细!C57</f>
        <v>135.65</v>
      </c>
      <c r="C79" s="24">
        <f t="shared" si="12"/>
        <v>1</v>
      </c>
      <c r="D79" s="719"/>
      <c r="E79" s="24">
        <f t="shared" si="13"/>
        <v>1</v>
      </c>
      <c r="F79" s="719"/>
      <c r="G79" s="24">
        <f t="shared" si="14"/>
        <v>1</v>
      </c>
      <c r="H79" s="719"/>
      <c r="I79" s="24">
        <f t="shared" si="15"/>
        <v>1</v>
      </c>
      <c r="J79" s="719"/>
      <c r="K79" s="24">
        <f t="shared" si="16"/>
        <v>1</v>
      </c>
      <c r="L79" s="719"/>
      <c r="M79" s="24">
        <f t="shared" si="17"/>
        <v>1</v>
      </c>
      <c r="N79" s="719" t="s">
        <v>3444</v>
      </c>
      <c r="O79" s="24">
        <f t="shared" si="18"/>
        <v>1</v>
      </c>
      <c r="P79" s="719" t="s">
        <v>3169</v>
      </c>
      <c r="Q79" s="24">
        <f t="shared" si="19"/>
        <v>1.04</v>
      </c>
      <c r="R79" s="715">
        <f t="shared" ca="1" si="20"/>
        <v>31625</v>
      </c>
      <c r="S79" s="361">
        <f t="shared" ca="1" si="22"/>
        <v>429</v>
      </c>
    </row>
    <row r="80" spans="1:19">
      <c r="A80" s="59" t="str">
        <f>办公面积明细!B58</f>
        <v>1号楼8层807</v>
      </c>
      <c r="B80" s="59">
        <f>办公面积明细!C58</f>
        <v>95.64</v>
      </c>
      <c r="C80" s="24">
        <f t="shared" si="12"/>
        <v>1</v>
      </c>
      <c r="D80" s="719"/>
      <c r="E80" s="24">
        <f t="shared" si="13"/>
        <v>1</v>
      </c>
      <c r="F80" s="719"/>
      <c r="G80" s="24">
        <f t="shared" si="14"/>
        <v>1</v>
      </c>
      <c r="H80" s="719"/>
      <c r="I80" s="24">
        <f t="shared" si="15"/>
        <v>1</v>
      </c>
      <c r="J80" s="719"/>
      <c r="K80" s="24">
        <f t="shared" si="16"/>
        <v>1</v>
      </c>
      <c r="L80" s="719"/>
      <c r="M80" s="24">
        <f t="shared" si="17"/>
        <v>1</v>
      </c>
      <c r="N80" s="719" t="s">
        <v>3444</v>
      </c>
      <c r="O80" s="24">
        <f t="shared" si="18"/>
        <v>1</v>
      </c>
      <c r="P80" s="719" t="s">
        <v>3169</v>
      </c>
      <c r="Q80" s="24">
        <f t="shared" si="19"/>
        <v>1.04</v>
      </c>
      <c r="R80" s="715">
        <f t="shared" ca="1" si="20"/>
        <v>31625</v>
      </c>
      <c r="S80" s="361">
        <f t="shared" ca="1" si="22"/>
        <v>302</v>
      </c>
    </row>
    <row r="81" spans="1:19">
      <c r="A81" s="59" t="str">
        <f>办公面积明细!B59</f>
        <v>1号楼8层808</v>
      </c>
      <c r="B81" s="59">
        <f>办公面积明细!C59</f>
        <v>95.64</v>
      </c>
      <c r="C81" s="24">
        <f t="shared" si="12"/>
        <v>1</v>
      </c>
      <c r="D81" s="719"/>
      <c r="E81" s="24">
        <f t="shared" si="13"/>
        <v>1</v>
      </c>
      <c r="F81" s="719"/>
      <c r="G81" s="24">
        <f t="shared" si="14"/>
        <v>1</v>
      </c>
      <c r="H81" s="719"/>
      <c r="I81" s="24">
        <f t="shared" si="15"/>
        <v>1</v>
      </c>
      <c r="J81" s="719"/>
      <c r="K81" s="24">
        <f t="shared" si="16"/>
        <v>1</v>
      </c>
      <c r="L81" s="719"/>
      <c r="M81" s="24">
        <f t="shared" si="17"/>
        <v>1</v>
      </c>
      <c r="N81" s="719" t="s">
        <v>3444</v>
      </c>
      <c r="O81" s="24">
        <f t="shared" si="18"/>
        <v>1</v>
      </c>
      <c r="P81" s="719" t="s">
        <v>3169</v>
      </c>
      <c r="Q81" s="24">
        <f t="shared" si="19"/>
        <v>1.04</v>
      </c>
      <c r="R81" s="715">
        <f t="shared" ca="1" si="20"/>
        <v>31625</v>
      </c>
      <c r="S81" s="361">
        <f t="shared" ca="1" si="22"/>
        <v>302</v>
      </c>
    </row>
    <row r="82" spans="1:19">
      <c r="A82" s="59" t="str">
        <f>办公面积明细!B60</f>
        <v>1号楼8层809</v>
      </c>
      <c r="B82" s="59">
        <f>办公面积明细!C60</f>
        <v>135.65</v>
      </c>
      <c r="C82" s="24">
        <f t="shared" si="12"/>
        <v>1</v>
      </c>
      <c r="D82" s="719"/>
      <c r="E82" s="24">
        <f t="shared" si="13"/>
        <v>1</v>
      </c>
      <c r="F82" s="719"/>
      <c r="G82" s="24">
        <f t="shared" si="14"/>
        <v>1</v>
      </c>
      <c r="H82" s="719"/>
      <c r="I82" s="24">
        <f t="shared" si="15"/>
        <v>1</v>
      </c>
      <c r="J82" s="719"/>
      <c r="K82" s="24">
        <f t="shared" si="16"/>
        <v>1</v>
      </c>
      <c r="L82" s="719"/>
      <c r="M82" s="24">
        <f t="shared" si="17"/>
        <v>1</v>
      </c>
      <c r="N82" s="719" t="s">
        <v>3444</v>
      </c>
      <c r="O82" s="24">
        <f t="shared" si="18"/>
        <v>1</v>
      </c>
      <c r="P82" s="719" t="s">
        <v>3169</v>
      </c>
      <c r="Q82" s="24">
        <f t="shared" si="19"/>
        <v>1.04</v>
      </c>
      <c r="R82" s="715">
        <f t="shared" ca="1" si="20"/>
        <v>31625</v>
      </c>
      <c r="S82" s="361">
        <f t="shared" ca="1" si="22"/>
        <v>429</v>
      </c>
    </row>
    <row r="83" spans="1:19">
      <c r="A83" s="59" t="str">
        <f>办公面积明细!B61</f>
        <v>1号楼8层810</v>
      </c>
      <c r="B83" s="59">
        <f>办公面积明细!C61</f>
        <v>118.61</v>
      </c>
      <c r="C83" s="24">
        <f t="shared" si="12"/>
        <v>1</v>
      </c>
      <c r="D83" s="719"/>
      <c r="E83" s="24">
        <f t="shared" si="13"/>
        <v>1</v>
      </c>
      <c r="F83" s="719"/>
      <c r="G83" s="24">
        <f t="shared" si="14"/>
        <v>1</v>
      </c>
      <c r="H83" s="719"/>
      <c r="I83" s="24">
        <f t="shared" si="15"/>
        <v>1</v>
      </c>
      <c r="J83" s="719"/>
      <c r="K83" s="24">
        <f t="shared" si="16"/>
        <v>1</v>
      </c>
      <c r="L83" s="719"/>
      <c r="M83" s="24">
        <f t="shared" si="17"/>
        <v>1</v>
      </c>
      <c r="N83" s="719" t="s">
        <v>3444</v>
      </c>
      <c r="O83" s="24">
        <f t="shared" si="18"/>
        <v>1</v>
      </c>
      <c r="P83" s="719" t="s">
        <v>3169</v>
      </c>
      <c r="Q83" s="24">
        <f t="shared" si="19"/>
        <v>1.04</v>
      </c>
      <c r="R83" s="715">
        <f t="shared" ca="1" si="20"/>
        <v>31625</v>
      </c>
      <c r="S83" s="361">
        <f t="shared" ca="1" si="22"/>
        <v>375</v>
      </c>
    </row>
    <row r="84" spans="1:19">
      <c r="A84" s="59" t="str">
        <f>办公面积明细!B62</f>
        <v>1号楼9层901</v>
      </c>
      <c r="B84" s="59">
        <f>办公面积明细!C62</f>
        <v>116.83</v>
      </c>
      <c r="C84" s="24">
        <f t="shared" si="12"/>
        <v>1</v>
      </c>
      <c r="D84" s="719"/>
      <c r="E84" s="24">
        <f t="shared" si="13"/>
        <v>1</v>
      </c>
      <c r="F84" s="719"/>
      <c r="G84" s="24">
        <f t="shared" si="14"/>
        <v>1</v>
      </c>
      <c r="H84" s="719"/>
      <c r="I84" s="24">
        <f t="shared" si="15"/>
        <v>1</v>
      </c>
      <c r="J84" s="719"/>
      <c r="K84" s="24">
        <f t="shared" si="16"/>
        <v>1</v>
      </c>
      <c r="L84" s="719"/>
      <c r="M84" s="24">
        <f t="shared" si="17"/>
        <v>1</v>
      </c>
      <c r="N84" s="719" t="s">
        <v>3444</v>
      </c>
      <c r="O84" s="24">
        <f t="shared" si="18"/>
        <v>1</v>
      </c>
      <c r="P84" s="719" t="s">
        <v>3169</v>
      </c>
      <c r="Q84" s="24">
        <f t="shared" si="19"/>
        <v>1.04</v>
      </c>
      <c r="R84" s="715">
        <f t="shared" ca="1" si="20"/>
        <v>31625</v>
      </c>
      <c r="S84" s="361">
        <f t="shared" ca="1" si="22"/>
        <v>369</v>
      </c>
    </row>
    <row r="85" spans="1:19">
      <c r="A85" s="59" t="str">
        <f>办公面积明细!B63</f>
        <v>1号楼9层902</v>
      </c>
      <c r="B85" s="59">
        <f>办公面积明细!C63</f>
        <v>135.37</v>
      </c>
      <c r="C85" s="24">
        <f t="shared" si="12"/>
        <v>1</v>
      </c>
      <c r="D85" s="719"/>
      <c r="E85" s="24">
        <f t="shared" si="13"/>
        <v>1</v>
      </c>
      <c r="F85" s="719"/>
      <c r="G85" s="24">
        <f t="shared" si="14"/>
        <v>1</v>
      </c>
      <c r="H85" s="719"/>
      <c r="I85" s="24">
        <f t="shared" si="15"/>
        <v>1</v>
      </c>
      <c r="J85" s="719"/>
      <c r="K85" s="24">
        <f t="shared" si="16"/>
        <v>1</v>
      </c>
      <c r="L85" s="719"/>
      <c r="M85" s="24">
        <f t="shared" si="17"/>
        <v>1</v>
      </c>
      <c r="N85" s="719" t="s">
        <v>3444</v>
      </c>
      <c r="O85" s="24">
        <f t="shared" si="18"/>
        <v>1</v>
      </c>
      <c r="P85" s="719" t="s">
        <v>3169</v>
      </c>
      <c r="Q85" s="24">
        <f t="shared" si="19"/>
        <v>1.04</v>
      </c>
      <c r="R85" s="715">
        <f t="shared" ca="1" si="20"/>
        <v>31625</v>
      </c>
      <c r="S85" s="361">
        <f t="shared" ca="1" si="22"/>
        <v>428</v>
      </c>
    </row>
    <row r="86" spans="1:19">
      <c r="A86" s="59" t="str">
        <f>办公面积明细!B64</f>
        <v>1号楼9层903</v>
      </c>
      <c r="B86" s="59">
        <f>办公面积明细!C64</f>
        <v>95.64</v>
      </c>
      <c r="C86" s="24">
        <f t="shared" si="12"/>
        <v>1</v>
      </c>
      <c r="D86" s="719"/>
      <c r="E86" s="24">
        <f t="shared" si="13"/>
        <v>1</v>
      </c>
      <c r="F86" s="719"/>
      <c r="G86" s="24">
        <f t="shared" si="14"/>
        <v>1</v>
      </c>
      <c r="H86" s="719"/>
      <c r="I86" s="24">
        <f t="shared" si="15"/>
        <v>1</v>
      </c>
      <c r="J86" s="719"/>
      <c r="K86" s="24">
        <f t="shared" si="16"/>
        <v>1</v>
      </c>
      <c r="L86" s="719"/>
      <c r="M86" s="24">
        <f t="shared" si="17"/>
        <v>1</v>
      </c>
      <c r="N86" s="719" t="s">
        <v>3444</v>
      </c>
      <c r="O86" s="24">
        <f t="shared" si="18"/>
        <v>1</v>
      </c>
      <c r="P86" s="719" t="s">
        <v>3169</v>
      </c>
      <c r="Q86" s="24">
        <f t="shared" si="19"/>
        <v>1.04</v>
      </c>
      <c r="R86" s="715">
        <f t="shared" ca="1" si="20"/>
        <v>31625</v>
      </c>
      <c r="S86" s="361">
        <f t="shared" ca="1" si="22"/>
        <v>302</v>
      </c>
    </row>
    <row r="87" spans="1:19">
      <c r="A87" s="59" t="str">
        <f>办公面积明细!B65</f>
        <v>1号楼9层904</v>
      </c>
      <c r="B87" s="59">
        <f>办公面积明细!C65</f>
        <v>95.64</v>
      </c>
      <c r="C87" s="24">
        <f t="shared" si="12"/>
        <v>1</v>
      </c>
      <c r="D87" s="719"/>
      <c r="E87" s="24">
        <f t="shared" si="13"/>
        <v>1</v>
      </c>
      <c r="F87" s="719"/>
      <c r="G87" s="24">
        <f t="shared" si="14"/>
        <v>1</v>
      </c>
      <c r="H87" s="719"/>
      <c r="I87" s="24">
        <f t="shared" si="15"/>
        <v>1</v>
      </c>
      <c r="J87" s="719"/>
      <c r="K87" s="24">
        <f t="shared" si="16"/>
        <v>1</v>
      </c>
      <c r="L87" s="719"/>
      <c r="M87" s="24">
        <f t="shared" si="17"/>
        <v>1</v>
      </c>
      <c r="N87" s="719" t="s">
        <v>3444</v>
      </c>
      <c r="O87" s="24">
        <f t="shared" si="18"/>
        <v>1</v>
      </c>
      <c r="P87" s="719" t="s">
        <v>3169</v>
      </c>
      <c r="Q87" s="24">
        <f t="shared" si="19"/>
        <v>1.04</v>
      </c>
      <c r="R87" s="715">
        <f t="shared" ca="1" si="20"/>
        <v>31625</v>
      </c>
      <c r="S87" s="361">
        <f t="shared" ca="1" si="22"/>
        <v>302</v>
      </c>
    </row>
    <row r="88" spans="1:19">
      <c r="A88" s="59" t="str">
        <f>办公面积明细!B66</f>
        <v>1号楼9层905</v>
      </c>
      <c r="B88" s="59">
        <f>办公面积明细!C66</f>
        <v>135.36000000000001</v>
      </c>
      <c r="C88" s="24">
        <f t="shared" si="12"/>
        <v>1</v>
      </c>
      <c r="D88" s="719"/>
      <c r="E88" s="24">
        <f t="shared" si="13"/>
        <v>1</v>
      </c>
      <c r="F88" s="719"/>
      <c r="G88" s="24">
        <f t="shared" si="14"/>
        <v>1</v>
      </c>
      <c r="H88" s="719"/>
      <c r="I88" s="24">
        <f t="shared" si="15"/>
        <v>1</v>
      </c>
      <c r="J88" s="719"/>
      <c r="K88" s="24">
        <f t="shared" si="16"/>
        <v>1</v>
      </c>
      <c r="L88" s="719"/>
      <c r="M88" s="24">
        <f t="shared" si="17"/>
        <v>1</v>
      </c>
      <c r="N88" s="719" t="s">
        <v>3444</v>
      </c>
      <c r="O88" s="24">
        <f t="shared" si="18"/>
        <v>1</v>
      </c>
      <c r="P88" s="719" t="s">
        <v>3169</v>
      </c>
      <c r="Q88" s="24">
        <f t="shared" si="19"/>
        <v>1.04</v>
      </c>
      <c r="R88" s="715">
        <f t="shared" ca="1" si="20"/>
        <v>31625</v>
      </c>
      <c r="S88" s="361">
        <f t="shared" ca="1" si="22"/>
        <v>428</v>
      </c>
    </row>
    <row r="89" spans="1:19">
      <c r="A89" s="59" t="str">
        <f>办公面积明细!B67</f>
        <v>1号楼9层906</v>
      </c>
      <c r="B89" s="59">
        <f>办公面积明细!C67</f>
        <v>116.83</v>
      </c>
      <c r="C89" s="24">
        <f t="shared" si="12"/>
        <v>1</v>
      </c>
      <c r="D89" s="719"/>
      <c r="E89" s="24">
        <f t="shared" si="13"/>
        <v>1</v>
      </c>
      <c r="F89" s="719"/>
      <c r="G89" s="24">
        <f t="shared" si="14"/>
        <v>1</v>
      </c>
      <c r="H89" s="719"/>
      <c r="I89" s="24">
        <f t="shared" si="15"/>
        <v>1</v>
      </c>
      <c r="J89" s="719"/>
      <c r="K89" s="24">
        <f t="shared" si="16"/>
        <v>1</v>
      </c>
      <c r="L89" s="719"/>
      <c r="M89" s="24">
        <f t="shared" si="17"/>
        <v>1</v>
      </c>
      <c r="N89" s="719" t="s">
        <v>3444</v>
      </c>
      <c r="O89" s="24">
        <f t="shared" si="18"/>
        <v>1</v>
      </c>
      <c r="P89" s="719" t="s">
        <v>3169</v>
      </c>
      <c r="Q89" s="24">
        <f t="shared" si="19"/>
        <v>1.04</v>
      </c>
      <c r="R89" s="715">
        <f t="shared" ca="1" si="20"/>
        <v>31625</v>
      </c>
      <c r="S89" s="361">
        <f t="shared" ca="1" si="22"/>
        <v>369</v>
      </c>
    </row>
    <row r="90" spans="1:19">
      <c r="A90" s="59" t="str">
        <f>办公面积明细!B70</f>
        <v>2号楼3层3单元307</v>
      </c>
      <c r="B90" s="59">
        <f>办公面积明细!C70</f>
        <v>226.86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t="s">
        <v>3445</v>
      </c>
      <c r="O90" s="24">
        <f t="shared" ref="O90:O153" si="29">(SUMIF($15:$15,N90,$16:$16)-SUMIF($15:$15,$N$24,$16:$16)+100)/100</f>
        <v>1</v>
      </c>
      <c r="P90" s="719" t="s">
        <v>3173</v>
      </c>
      <c r="Q90" s="24">
        <f t="shared" ref="Q90:Q153" si="30">(SUMIF($17:$17,P90,$18:$18)-SUMIF($17:$17,$P$24,$18:$18)+100)/100</f>
        <v>1</v>
      </c>
      <c r="R90" s="715">
        <f t="shared" ref="R90:R153" ca="1" si="31">IF(B90="",0,ROUND($R$24*C90*E90*G90*I90*K90*M90*O90*Q90,0))</f>
        <v>30409</v>
      </c>
      <c r="S90" s="361">
        <f t="shared" ca="1" si="22"/>
        <v>690</v>
      </c>
    </row>
    <row r="91" spans="1:19">
      <c r="A91" s="59" t="str">
        <f>办公面积明细!B71</f>
        <v>2号楼3层3单元308</v>
      </c>
      <c r="B91" s="59">
        <f>办公面积明细!C71</f>
        <v>162.05000000000001</v>
      </c>
      <c r="C91" s="24">
        <f t="shared" si="23"/>
        <v>1</v>
      </c>
      <c r="D91" s="719"/>
      <c r="E91" s="24">
        <f t="shared" si="24"/>
        <v>1</v>
      </c>
      <c r="F91" s="719"/>
      <c r="G91" s="24">
        <f t="shared" si="25"/>
        <v>1</v>
      </c>
      <c r="H91" s="719"/>
      <c r="I91" s="24">
        <f t="shared" si="26"/>
        <v>1</v>
      </c>
      <c r="J91" s="719"/>
      <c r="K91" s="24">
        <f t="shared" si="27"/>
        <v>1</v>
      </c>
      <c r="L91" s="719"/>
      <c r="M91" s="24">
        <f t="shared" si="28"/>
        <v>1</v>
      </c>
      <c r="N91" s="719" t="s">
        <v>3445</v>
      </c>
      <c r="O91" s="24">
        <f t="shared" si="29"/>
        <v>1</v>
      </c>
      <c r="P91" s="719" t="s">
        <v>3173</v>
      </c>
      <c r="Q91" s="24">
        <f t="shared" si="30"/>
        <v>1</v>
      </c>
      <c r="R91" s="715">
        <f t="shared" ca="1" si="31"/>
        <v>30409</v>
      </c>
      <c r="S91" s="361">
        <f t="shared" ca="1" si="22"/>
        <v>493</v>
      </c>
    </row>
    <row r="92" spans="1:19">
      <c r="A92" s="59" t="str">
        <f>办公面积明细!B72</f>
        <v>2号楼5层3单元509</v>
      </c>
      <c r="B92" s="59">
        <f>办公面积明细!C72</f>
        <v>237.65</v>
      </c>
      <c r="C92" s="24">
        <f t="shared" si="23"/>
        <v>1</v>
      </c>
      <c r="D92" s="719"/>
      <c r="E92" s="24">
        <f t="shared" si="24"/>
        <v>1</v>
      </c>
      <c r="F92" s="719"/>
      <c r="G92" s="24">
        <f t="shared" si="25"/>
        <v>1</v>
      </c>
      <c r="H92" s="719"/>
      <c r="I92" s="24">
        <f t="shared" si="26"/>
        <v>1</v>
      </c>
      <c r="J92" s="719"/>
      <c r="K92" s="24">
        <f t="shared" si="27"/>
        <v>1</v>
      </c>
      <c r="L92" s="719"/>
      <c r="M92" s="24">
        <f t="shared" si="28"/>
        <v>1</v>
      </c>
      <c r="N92" s="719" t="s">
        <v>3445</v>
      </c>
      <c r="O92" s="24">
        <f t="shared" si="29"/>
        <v>1</v>
      </c>
      <c r="P92" s="719" t="s">
        <v>3171</v>
      </c>
      <c r="Q92" s="24">
        <f t="shared" si="30"/>
        <v>1.02</v>
      </c>
      <c r="R92" s="715">
        <f t="shared" ca="1" si="31"/>
        <v>31017</v>
      </c>
      <c r="S92" s="361">
        <f t="shared" ca="1" si="22"/>
        <v>737</v>
      </c>
    </row>
    <row r="93" spans="1:19">
      <c r="A93" s="59" t="str">
        <f>办公面积明细!B73</f>
        <v>2号楼9层3单元901</v>
      </c>
      <c r="B93" s="59">
        <f>办公面积明细!C73</f>
        <v>365.32</v>
      </c>
      <c r="C93" s="24">
        <f t="shared" si="23"/>
        <v>1.01</v>
      </c>
      <c r="D93" s="719"/>
      <c r="E93" s="24">
        <f t="shared" si="24"/>
        <v>1</v>
      </c>
      <c r="F93" s="719"/>
      <c r="G93" s="24">
        <f t="shared" si="25"/>
        <v>1</v>
      </c>
      <c r="H93" s="719"/>
      <c r="I93" s="24">
        <f t="shared" si="26"/>
        <v>1</v>
      </c>
      <c r="J93" s="719"/>
      <c r="K93" s="24">
        <f t="shared" si="27"/>
        <v>1</v>
      </c>
      <c r="L93" s="719"/>
      <c r="M93" s="24">
        <f t="shared" si="28"/>
        <v>1</v>
      </c>
      <c r="N93" s="719" t="s">
        <v>3445</v>
      </c>
      <c r="O93" s="24">
        <f t="shared" si="29"/>
        <v>1</v>
      </c>
      <c r="P93" s="719" t="s">
        <v>3169</v>
      </c>
      <c r="Q93" s="24">
        <f t="shared" si="30"/>
        <v>1.04</v>
      </c>
      <c r="R93" s="715">
        <f t="shared" ca="1" si="31"/>
        <v>31942</v>
      </c>
      <c r="S93" s="361">
        <f t="shared" ca="1" si="22"/>
        <v>1167</v>
      </c>
    </row>
    <row r="94" spans="1:19">
      <c r="A94" s="59" t="str">
        <f>办公面积明细!B74</f>
        <v>2号楼9层3单元902</v>
      </c>
      <c r="B94" s="59">
        <f>办公面积明细!C74</f>
        <v>175.44</v>
      </c>
      <c r="C94" s="24">
        <f t="shared" si="23"/>
        <v>1</v>
      </c>
      <c r="D94" s="719"/>
      <c r="E94" s="24">
        <f t="shared" si="24"/>
        <v>1</v>
      </c>
      <c r="F94" s="719"/>
      <c r="G94" s="24">
        <f t="shared" si="25"/>
        <v>1</v>
      </c>
      <c r="H94" s="719"/>
      <c r="I94" s="24">
        <f t="shared" si="26"/>
        <v>1</v>
      </c>
      <c r="J94" s="719"/>
      <c r="K94" s="24">
        <f t="shared" si="27"/>
        <v>1</v>
      </c>
      <c r="L94" s="719"/>
      <c r="M94" s="24">
        <f t="shared" si="28"/>
        <v>1</v>
      </c>
      <c r="N94" s="719" t="s">
        <v>3445</v>
      </c>
      <c r="O94" s="24">
        <f t="shared" si="29"/>
        <v>1</v>
      </c>
      <c r="P94" s="719" t="s">
        <v>3169</v>
      </c>
      <c r="Q94" s="24">
        <f t="shared" si="30"/>
        <v>1.04</v>
      </c>
      <c r="R94" s="715">
        <f t="shared" ca="1" si="31"/>
        <v>31625</v>
      </c>
      <c r="S94" s="361">
        <f t="shared" ca="1" si="22"/>
        <v>555</v>
      </c>
    </row>
    <row r="95" spans="1:19">
      <c r="A95" s="59" t="str">
        <f>办公面积明细!B75</f>
        <v>2号楼9层3单元903</v>
      </c>
      <c r="B95" s="59">
        <f>办公面积明细!C75</f>
        <v>125.94</v>
      </c>
      <c r="C95" s="24">
        <f t="shared" si="23"/>
        <v>1</v>
      </c>
      <c r="D95" s="719"/>
      <c r="E95" s="24">
        <f t="shared" si="24"/>
        <v>1</v>
      </c>
      <c r="F95" s="719"/>
      <c r="G95" s="24">
        <f t="shared" si="25"/>
        <v>1</v>
      </c>
      <c r="H95" s="719"/>
      <c r="I95" s="24">
        <f t="shared" si="26"/>
        <v>1</v>
      </c>
      <c r="J95" s="719"/>
      <c r="K95" s="24">
        <f t="shared" si="27"/>
        <v>1</v>
      </c>
      <c r="L95" s="719"/>
      <c r="M95" s="24">
        <f t="shared" si="28"/>
        <v>1</v>
      </c>
      <c r="N95" s="719" t="s">
        <v>3445</v>
      </c>
      <c r="O95" s="24">
        <f t="shared" si="29"/>
        <v>1</v>
      </c>
      <c r="P95" s="719" t="s">
        <v>3169</v>
      </c>
      <c r="Q95" s="24">
        <f t="shared" si="30"/>
        <v>1.04</v>
      </c>
      <c r="R95" s="715">
        <f t="shared" ca="1" si="31"/>
        <v>31625</v>
      </c>
      <c r="S95" s="361">
        <f t="shared" ca="1" si="22"/>
        <v>398</v>
      </c>
    </row>
    <row r="96" spans="1:19">
      <c r="A96" s="59" t="str">
        <f>办公面积明细!B76</f>
        <v>2号楼9层3单元904</v>
      </c>
      <c r="B96" s="59">
        <f>办公面积明细!C76</f>
        <v>272.33</v>
      </c>
      <c r="C96" s="24">
        <f t="shared" si="23"/>
        <v>1</v>
      </c>
      <c r="D96" s="719"/>
      <c r="E96" s="24">
        <f t="shared" si="24"/>
        <v>1</v>
      </c>
      <c r="F96" s="719"/>
      <c r="G96" s="24">
        <f t="shared" si="25"/>
        <v>1</v>
      </c>
      <c r="H96" s="719"/>
      <c r="I96" s="24">
        <f t="shared" si="26"/>
        <v>1</v>
      </c>
      <c r="J96" s="719"/>
      <c r="K96" s="24">
        <f t="shared" si="27"/>
        <v>1</v>
      </c>
      <c r="L96" s="719"/>
      <c r="M96" s="24">
        <f t="shared" si="28"/>
        <v>1</v>
      </c>
      <c r="N96" s="719" t="s">
        <v>3445</v>
      </c>
      <c r="O96" s="24">
        <f t="shared" si="29"/>
        <v>1</v>
      </c>
      <c r="P96" s="719" t="s">
        <v>3169</v>
      </c>
      <c r="Q96" s="24">
        <f t="shared" si="30"/>
        <v>1.04</v>
      </c>
      <c r="R96" s="715">
        <f t="shared" ca="1" si="31"/>
        <v>31625</v>
      </c>
      <c r="S96" s="361">
        <f t="shared" ca="1" si="22"/>
        <v>861</v>
      </c>
    </row>
    <row r="97" spans="1:19">
      <c r="A97" s="59" t="str">
        <f>办公面积明细!B77</f>
        <v>2号楼9层3单元905</v>
      </c>
      <c r="B97" s="59">
        <f>办公面积明细!C77</f>
        <v>146.54</v>
      </c>
      <c r="C97" s="24">
        <f t="shared" si="23"/>
        <v>1</v>
      </c>
      <c r="D97" s="719"/>
      <c r="E97" s="24">
        <f t="shared" si="24"/>
        <v>1</v>
      </c>
      <c r="F97" s="719"/>
      <c r="G97" s="24">
        <f t="shared" si="25"/>
        <v>1</v>
      </c>
      <c r="H97" s="719"/>
      <c r="I97" s="24">
        <f t="shared" si="26"/>
        <v>1</v>
      </c>
      <c r="J97" s="719"/>
      <c r="K97" s="24">
        <f t="shared" si="27"/>
        <v>1</v>
      </c>
      <c r="L97" s="719"/>
      <c r="M97" s="24">
        <f t="shared" si="28"/>
        <v>1</v>
      </c>
      <c r="N97" s="719" t="s">
        <v>3445</v>
      </c>
      <c r="O97" s="24">
        <f t="shared" si="29"/>
        <v>1</v>
      </c>
      <c r="P97" s="719" t="s">
        <v>3169</v>
      </c>
      <c r="Q97" s="24">
        <f t="shared" si="30"/>
        <v>1.04</v>
      </c>
      <c r="R97" s="715">
        <f t="shared" ca="1" si="31"/>
        <v>31625</v>
      </c>
      <c r="S97" s="361">
        <f t="shared" ca="1" si="22"/>
        <v>463</v>
      </c>
    </row>
    <row r="98" spans="1:19">
      <c r="A98" s="59" t="str">
        <f>办公面积明细!B78</f>
        <v>2号楼9层3单元906</v>
      </c>
      <c r="B98" s="59">
        <f>办公面积明细!C78</f>
        <v>301.83</v>
      </c>
      <c r="C98" s="24">
        <f t="shared" si="23"/>
        <v>1.01</v>
      </c>
      <c r="D98" s="719"/>
      <c r="E98" s="24">
        <f t="shared" si="24"/>
        <v>1</v>
      </c>
      <c r="F98" s="719"/>
      <c r="G98" s="24">
        <f t="shared" si="25"/>
        <v>1</v>
      </c>
      <c r="H98" s="719"/>
      <c r="I98" s="24">
        <f t="shared" si="26"/>
        <v>1</v>
      </c>
      <c r="J98" s="719"/>
      <c r="K98" s="24">
        <f t="shared" si="27"/>
        <v>1</v>
      </c>
      <c r="L98" s="719"/>
      <c r="M98" s="24">
        <f t="shared" si="28"/>
        <v>1</v>
      </c>
      <c r="N98" s="719" t="s">
        <v>3445</v>
      </c>
      <c r="O98" s="24">
        <f t="shared" si="29"/>
        <v>1</v>
      </c>
      <c r="P98" s="719" t="s">
        <v>3169</v>
      </c>
      <c r="Q98" s="24">
        <f t="shared" si="30"/>
        <v>1.04</v>
      </c>
      <c r="R98" s="715">
        <f t="shared" ca="1" si="31"/>
        <v>31942</v>
      </c>
      <c r="S98" s="361">
        <f t="shared" ca="1" si="22"/>
        <v>964</v>
      </c>
    </row>
    <row r="99" spans="1:19">
      <c r="A99" s="59" t="str">
        <f>办公面积明细!B79</f>
        <v>2号楼9层3单元907</v>
      </c>
      <c r="B99" s="59">
        <f>办公面积明细!C79</f>
        <v>290.98</v>
      </c>
      <c r="C99" s="24">
        <f t="shared" si="23"/>
        <v>1</v>
      </c>
      <c r="D99" s="719"/>
      <c r="E99" s="24">
        <f t="shared" si="24"/>
        <v>1</v>
      </c>
      <c r="F99" s="719"/>
      <c r="G99" s="24">
        <f t="shared" si="25"/>
        <v>1</v>
      </c>
      <c r="H99" s="719"/>
      <c r="I99" s="24">
        <f t="shared" si="26"/>
        <v>1</v>
      </c>
      <c r="J99" s="719"/>
      <c r="K99" s="24">
        <f t="shared" si="27"/>
        <v>1</v>
      </c>
      <c r="L99" s="719"/>
      <c r="M99" s="24">
        <f t="shared" si="28"/>
        <v>1</v>
      </c>
      <c r="N99" s="719" t="s">
        <v>3445</v>
      </c>
      <c r="O99" s="24">
        <f t="shared" si="29"/>
        <v>1</v>
      </c>
      <c r="P99" s="719" t="s">
        <v>3169</v>
      </c>
      <c r="Q99" s="24">
        <f t="shared" si="30"/>
        <v>1.04</v>
      </c>
      <c r="R99" s="715">
        <f t="shared" ca="1" si="31"/>
        <v>31625</v>
      </c>
      <c r="S99" s="361">
        <f t="shared" ca="1" si="22"/>
        <v>920</v>
      </c>
    </row>
    <row r="100" spans="1:19">
      <c r="A100" s="59" t="str">
        <f>办公面积明细!B80</f>
        <v>2号楼9层3单元908</v>
      </c>
      <c r="B100" s="59">
        <f>办公面积明细!C80</f>
        <v>145.68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t="s">
        <v>3445</v>
      </c>
      <c r="O100" s="24">
        <f t="shared" si="29"/>
        <v>1</v>
      </c>
      <c r="P100" s="719" t="s">
        <v>3169</v>
      </c>
      <c r="Q100" s="24">
        <f t="shared" si="30"/>
        <v>1.04</v>
      </c>
      <c r="R100" s="715">
        <f t="shared" ca="1" si="31"/>
        <v>31625</v>
      </c>
      <c r="S100" s="361">
        <f t="shared" ca="1" si="22"/>
        <v>461</v>
      </c>
    </row>
    <row r="101" spans="1:19">
      <c r="A101" s="59" t="str">
        <f>办公面积明细!B81</f>
        <v>2号楼9层3单元909</v>
      </c>
      <c r="B101" s="59">
        <f>办公面积明细!C81</f>
        <v>245.34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t="s">
        <v>3445</v>
      </c>
      <c r="O101" s="24">
        <f t="shared" si="29"/>
        <v>1</v>
      </c>
      <c r="P101" s="719" t="s">
        <v>3169</v>
      </c>
      <c r="Q101" s="24">
        <f t="shared" si="30"/>
        <v>1.04</v>
      </c>
      <c r="R101" s="715">
        <f t="shared" ca="1" si="31"/>
        <v>31625</v>
      </c>
      <c r="S101" s="361">
        <f t="shared" ca="1" si="22"/>
        <v>776</v>
      </c>
    </row>
    <row r="102" spans="1:19">
      <c r="A102" s="59" t="str">
        <f>办公面积明细!B82</f>
        <v>2号楼10层3单元1001</v>
      </c>
      <c r="B102" s="59">
        <f>办公面积明细!C82</f>
        <v>365.32</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t="s">
        <v>3445</v>
      </c>
      <c r="O102" s="24">
        <f t="shared" si="29"/>
        <v>1</v>
      </c>
      <c r="P102" s="719" t="s">
        <v>3169</v>
      </c>
      <c r="Q102" s="24">
        <f t="shared" si="30"/>
        <v>1.04</v>
      </c>
      <c r="R102" s="715">
        <f t="shared" ca="1" si="31"/>
        <v>31942</v>
      </c>
      <c r="S102" s="361">
        <f t="shared" ca="1" si="22"/>
        <v>1167</v>
      </c>
    </row>
    <row r="103" spans="1:19">
      <c r="A103" s="59" t="str">
        <f>办公面积明细!B83</f>
        <v>2号楼10层3单元1002</v>
      </c>
      <c r="B103" s="59">
        <f>办公面积明细!C83</f>
        <v>175.44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t="s">
        <v>3445</v>
      </c>
      <c r="O103" s="24">
        <f t="shared" si="29"/>
        <v>1</v>
      </c>
      <c r="P103" s="719" t="s">
        <v>3169</v>
      </c>
      <c r="Q103" s="24">
        <f t="shared" si="30"/>
        <v>1.04</v>
      </c>
      <c r="R103" s="715">
        <f t="shared" ca="1" si="31"/>
        <v>31625</v>
      </c>
      <c r="S103" s="361">
        <f t="shared" ca="1" si="22"/>
        <v>555</v>
      </c>
    </row>
    <row r="104" spans="1:19">
      <c r="A104" s="59" t="str">
        <f>办公面积明细!B84</f>
        <v>2号楼10层3单元1003</v>
      </c>
      <c r="B104" s="59">
        <f>办公面积明细!C84</f>
        <v>125.94</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t="s">
        <v>3445</v>
      </c>
      <c r="O104" s="24">
        <f t="shared" si="29"/>
        <v>1</v>
      </c>
      <c r="P104" s="719" t="s">
        <v>3169</v>
      </c>
      <c r="Q104" s="24">
        <f t="shared" si="30"/>
        <v>1.04</v>
      </c>
      <c r="R104" s="715">
        <f t="shared" ca="1" si="31"/>
        <v>31625</v>
      </c>
      <c r="S104" s="361">
        <f t="shared" ca="1" si="22"/>
        <v>398</v>
      </c>
    </row>
    <row r="105" spans="1:19">
      <c r="A105" s="59" t="str">
        <f>办公面积明细!B85</f>
        <v>2号楼10层3单元1004</v>
      </c>
      <c r="B105" s="59">
        <f>办公面积明细!C85</f>
        <v>105.27</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t="s">
        <v>3445</v>
      </c>
      <c r="O105" s="24">
        <f t="shared" si="29"/>
        <v>1</v>
      </c>
      <c r="P105" s="719" t="s">
        <v>3169</v>
      </c>
      <c r="Q105" s="24">
        <f t="shared" si="30"/>
        <v>1.04</v>
      </c>
      <c r="R105" s="715">
        <f t="shared" ca="1" si="31"/>
        <v>31625</v>
      </c>
      <c r="S105" s="361">
        <f t="shared" ca="1" si="22"/>
        <v>333</v>
      </c>
    </row>
    <row r="106" spans="1:19">
      <c r="A106" s="59" t="str">
        <f>办公面积明细!B86</f>
        <v>2号楼10层3单元1005</v>
      </c>
      <c r="B106" s="59">
        <f>办公面积明细!C86</f>
        <v>314.12</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t="s">
        <v>3445</v>
      </c>
      <c r="O106" s="24">
        <f t="shared" si="29"/>
        <v>1</v>
      </c>
      <c r="P106" s="719" t="s">
        <v>3169</v>
      </c>
      <c r="Q106" s="24">
        <f t="shared" si="30"/>
        <v>1.04</v>
      </c>
      <c r="R106" s="715">
        <f t="shared" ca="1" si="31"/>
        <v>31942</v>
      </c>
      <c r="S106" s="361">
        <f t="shared" ca="1" si="22"/>
        <v>1003</v>
      </c>
    </row>
    <row r="107" spans="1:19">
      <c r="A107" s="59" t="str">
        <f>办公面积明细!B87</f>
        <v>2号楼10层3单元1006</v>
      </c>
      <c r="B107" s="59">
        <f>办公面积明细!C87</f>
        <v>155.63</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t="s">
        <v>3445</v>
      </c>
      <c r="O107" s="24">
        <f t="shared" si="29"/>
        <v>1</v>
      </c>
      <c r="P107" s="719" t="s">
        <v>3169</v>
      </c>
      <c r="Q107" s="24">
        <f t="shared" si="30"/>
        <v>1.04</v>
      </c>
      <c r="R107" s="715">
        <f t="shared" ca="1" si="31"/>
        <v>31625</v>
      </c>
      <c r="S107" s="361">
        <f t="shared" ca="1" si="22"/>
        <v>492</v>
      </c>
    </row>
    <row r="108" spans="1:19">
      <c r="A108" s="59" t="str">
        <f>办公面积明细!B88</f>
        <v>2号楼10层3单元1007</v>
      </c>
      <c r="B108" s="59">
        <f>办公面积明细!C88</f>
        <v>245.34</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t="s">
        <v>3445</v>
      </c>
      <c r="O108" s="24">
        <f t="shared" si="29"/>
        <v>1</v>
      </c>
      <c r="P108" s="719" t="s">
        <v>3169</v>
      </c>
      <c r="Q108" s="24">
        <f t="shared" si="30"/>
        <v>1.04</v>
      </c>
      <c r="R108" s="715">
        <f t="shared" ca="1" si="31"/>
        <v>31625</v>
      </c>
      <c r="S108" s="361">
        <f t="shared" ca="1" si="22"/>
        <v>776</v>
      </c>
    </row>
    <row r="109" spans="1:19">
      <c r="A109" s="2962" t="str">
        <f>办公面积明细!B91</f>
        <v>4号楼3层2单元301</v>
      </c>
      <c r="B109" s="59">
        <f>办公面积明细!C91</f>
        <v>607.91999999999996</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t="s">
        <v>3446</v>
      </c>
      <c r="O109" s="24">
        <f t="shared" si="29"/>
        <v>1.02</v>
      </c>
      <c r="P109" s="719" t="s">
        <v>3173</v>
      </c>
      <c r="Q109" s="24">
        <f t="shared" si="30"/>
        <v>1</v>
      </c>
      <c r="R109" s="715">
        <f t="shared" ca="1" si="31"/>
        <v>31017</v>
      </c>
      <c r="S109" s="361">
        <f t="shared" ca="1" si="22"/>
        <v>1886</v>
      </c>
    </row>
    <row r="110" spans="1:19">
      <c r="A110" s="2962" t="str">
        <f>办公面积明细!B92</f>
        <v>4号楼4层2单元401</v>
      </c>
      <c r="B110" s="59">
        <f>办公面积明细!C92</f>
        <v>608.79</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t="s">
        <v>3446</v>
      </c>
      <c r="O110" s="24">
        <f t="shared" si="29"/>
        <v>1.02</v>
      </c>
      <c r="P110" s="719" t="s">
        <v>3173</v>
      </c>
      <c r="Q110" s="24">
        <f t="shared" si="30"/>
        <v>1</v>
      </c>
      <c r="R110" s="715">
        <f t="shared" ca="1" si="31"/>
        <v>31017</v>
      </c>
      <c r="S110" s="361">
        <f t="shared" ca="1" si="22"/>
        <v>1888</v>
      </c>
    </row>
    <row r="111" spans="1:19">
      <c r="A111" s="2962" t="str">
        <f>办公面积明细!B93</f>
        <v>4号楼5层2单元501</v>
      </c>
      <c r="B111" s="59">
        <f>办公面积明细!C93</f>
        <v>607.99</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t="s">
        <v>3446</v>
      </c>
      <c r="O111" s="24">
        <f t="shared" si="29"/>
        <v>1.02</v>
      </c>
      <c r="P111" s="719" t="s">
        <v>3171</v>
      </c>
      <c r="Q111" s="24">
        <f t="shared" si="30"/>
        <v>1.02</v>
      </c>
      <c r="R111" s="715">
        <f t="shared" ca="1" si="31"/>
        <v>31638</v>
      </c>
      <c r="S111" s="361">
        <f t="shared" ca="1" si="22"/>
        <v>1924</v>
      </c>
    </row>
    <row r="112" spans="1:19">
      <c r="A112" s="2962" t="str">
        <f>办公面积明细!B94</f>
        <v>4号楼6层2单元601</v>
      </c>
      <c r="B112" s="59">
        <f>办公面积明细!C94</f>
        <v>608.79</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t="s">
        <v>3446</v>
      </c>
      <c r="O112" s="24">
        <f t="shared" si="29"/>
        <v>1.02</v>
      </c>
      <c r="P112" s="719" t="s">
        <v>3171</v>
      </c>
      <c r="Q112" s="24">
        <f t="shared" si="30"/>
        <v>1.02</v>
      </c>
      <c r="R112" s="715">
        <f t="shared" ca="1" si="31"/>
        <v>31638</v>
      </c>
      <c r="S112" s="361">
        <f t="shared" ca="1" si="22"/>
        <v>1926</v>
      </c>
    </row>
    <row r="113" spans="1:19">
      <c r="A113" s="2962" t="str">
        <f>办公面积明细!B95</f>
        <v>4号楼7层2单元701</v>
      </c>
      <c r="B113" s="59">
        <f>办公面积明细!C95</f>
        <v>608.79</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t="s">
        <v>3446</v>
      </c>
      <c r="O113" s="24">
        <f t="shared" si="29"/>
        <v>1.02</v>
      </c>
      <c r="P113" s="719" t="s">
        <v>3171</v>
      </c>
      <c r="Q113" s="24">
        <f t="shared" si="30"/>
        <v>1.02</v>
      </c>
      <c r="R113" s="715">
        <f t="shared" ca="1" si="31"/>
        <v>31638</v>
      </c>
      <c r="S113" s="361">
        <f t="shared" ca="1" si="22"/>
        <v>1926</v>
      </c>
    </row>
    <row r="114" spans="1:19">
      <c r="A114" s="2962" t="str">
        <f>办公面积明细!B96</f>
        <v>4号楼8层2单元801</v>
      </c>
      <c r="B114" s="59">
        <f>办公面积明细!C96</f>
        <v>445.28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t="s">
        <v>3446</v>
      </c>
      <c r="O114" s="24">
        <f t="shared" si="29"/>
        <v>1.02</v>
      </c>
      <c r="P114" s="719" t="s">
        <v>3171</v>
      </c>
      <c r="Q114" s="24">
        <f t="shared" si="30"/>
        <v>1.02</v>
      </c>
      <c r="R114" s="715">
        <f t="shared" ca="1" si="31"/>
        <v>31954</v>
      </c>
      <c r="S114" s="361">
        <f t="shared" ca="1" si="22"/>
        <v>1423</v>
      </c>
    </row>
    <row r="115" spans="1:19">
      <c r="A115" s="2962" t="str">
        <f>办公面积明细!B97</f>
        <v>4号楼3层3单元301</v>
      </c>
      <c r="B115" s="59">
        <f>办公面积明细!C97</f>
        <v>183.69</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t="s">
        <v>3446</v>
      </c>
      <c r="O115" s="24">
        <f t="shared" si="29"/>
        <v>1.02</v>
      </c>
      <c r="P115" s="719" t="s">
        <v>3173</v>
      </c>
      <c r="Q115" s="24">
        <f t="shared" si="30"/>
        <v>1</v>
      </c>
      <c r="R115" s="715">
        <f t="shared" ca="1" si="31"/>
        <v>31017</v>
      </c>
      <c r="S115" s="361">
        <f t="shared" ca="1" si="22"/>
        <v>570</v>
      </c>
    </row>
    <row r="116" spans="1:19">
      <c r="A116" s="2962" t="str">
        <f>办公面积明细!B98</f>
        <v>4号楼3层3单元302</v>
      </c>
      <c r="B116" s="59">
        <f>办公面积明细!C98</f>
        <v>140.68</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t="s">
        <v>3446</v>
      </c>
      <c r="O116" s="24">
        <f t="shared" si="29"/>
        <v>1.02</v>
      </c>
      <c r="P116" s="719" t="s">
        <v>3173</v>
      </c>
      <c r="Q116" s="24">
        <f t="shared" si="30"/>
        <v>1</v>
      </c>
      <c r="R116" s="715">
        <f t="shared" ca="1" si="31"/>
        <v>31017</v>
      </c>
      <c r="S116" s="361">
        <f t="shared" ca="1" si="22"/>
        <v>436</v>
      </c>
    </row>
    <row r="117" spans="1:19">
      <c r="A117" s="2962" t="str">
        <f>办公面积明细!B99</f>
        <v>4号楼3层3单元303</v>
      </c>
      <c r="B117" s="59">
        <f>办公面积明细!C99</f>
        <v>112.36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t="s">
        <v>3446</v>
      </c>
      <c r="O117" s="24">
        <f t="shared" si="29"/>
        <v>1.02</v>
      </c>
      <c r="P117" s="719" t="s">
        <v>3173</v>
      </c>
      <c r="Q117" s="24">
        <f t="shared" si="30"/>
        <v>1</v>
      </c>
      <c r="R117" s="715">
        <f t="shared" ca="1" si="31"/>
        <v>31017</v>
      </c>
      <c r="S117" s="361">
        <f t="shared" ca="1" si="22"/>
        <v>349</v>
      </c>
    </row>
    <row r="118" spans="1:19">
      <c r="A118" s="2962" t="str">
        <f>办公面积明细!B100</f>
        <v>4号楼3层3单元304</v>
      </c>
      <c r="B118" s="59">
        <f>办公面积明细!C100</f>
        <v>93.26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t="s">
        <v>3446</v>
      </c>
      <c r="O118" s="24">
        <f t="shared" si="29"/>
        <v>1.02</v>
      </c>
      <c r="P118" s="719" t="s">
        <v>3173</v>
      </c>
      <c r="Q118" s="24">
        <f t="shared" si="30"/>
        <v>1</v>
      </c>
      <c r="R118" s="715">
        <f t="shared" ca="1" si="31"/>
        <v>31017</v>
      </c>
      <c r="S118" s="361">
        <f t="shared" ca="1" si="22"/>
        <v>289</v>
      </c>
    </row>
    <row r="119" spans="1:19">
      <c r="A119" s="2962" t="str">
        <f>办公面积明细!B101</f>
        <v>4号楼3层3单元305</v>
      </c>
      <c r="B119" s="59">
        <f>办公面积明细!C101</f>
        <v>381.76</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t="s">
        <v>3446</v>
      </c>
      <c r="O119" s="24">
        <f t="shared" si="29"/>
        <v>1.02</v>
      </c>
      <c r="P119" s="719" t="s">
        <v>3173</v>
      </c>
      <c r="Q119" s="24">
        <f t="shared" si="30"/>
        <v>1</v>
      </c>
      <c r="R119" s="715">
        <f t="shared" ca="1" si="31"/>
        <v>31327</v>
      </c>
      <c r="S119" s="361">
        <f t="shared" ca="1" si="22"/>
        <v>1196</v>
      </c>
    </row>
    <row r="120" spans="1:19">
      <c r="A120" s="2962" t="str">
        <f>办公面积明细!B102</f>
        <v>4号楼3层3单元306</v>
      </c>
      <c r="B120" s="59">
        <f>办公面积明细!C102</f>
        <v>423.44</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t="s">
        <v>3446</v>
      </c>
      <c r="O120" s="24">
        <f t="shared" si="29"/>
        <v>1.02</v>
      </c>
      <c r="P120" s="719" t="s">
        <v>3173</v>
      </c>
      <c r="Q120" s="24">
        <f t="shared" si="30"/>
        <v>1</v>
      </c>
      <c r="R120" s="715">
        <f t="shared" ca="1" si="31"/>
        <v>31327</v>
      </c>
      <c r="S120" s="361">
        <f t="shared" ca="1" si="22"/>
        <v>1327</v>
      </c>
    </row>
    <row r="121" spans="1:19">
      <c r="A121" s="2962" t="str">
        <f>办公面积明细!B103</f>
        <v>4号楼3层3单元307</v>
      </c>
      <c r="B121" s="59">
        <f>办公面积明细!C103</f>
        <v>227.29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t="s">
        <v>3446</v>
      </c>
      <c r="O121" s="24">
        <f t="shared" si="29"/>
        <v>1.02</v>
      </c>
      <c r="P121" s="719" t="s">
        <v>3173</v>
      </c>
      <c r="Q121" s="24">
        <f t="shared" si="30"/>
        <v>1</v>
      </c>
      <c r="R121" s="715">
        <f t="shared" ca="1" si="31"/>
        <v>31017</v>
      </c>
      <c r="S121" s="361">
        <f t="shared" ca="1" si="22"/>
        <v>705</v>
      </c>
    </row>
    <row r="122" spans="1:19">
      <c r="A122" s="2962" t="str">
        <f>办公面积明细!B104</f>
        <v>4号楼3层3单元308</v>
      </c>
      <c r="B122" s="59">
        <f>办公面积明细!C104</f>
        <v>117.62</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t="s">
        <v>3446</v>
      </c>
      <c r="O122" s="24">
        <f t="shared" si="29"/>
        <v>1.02</v>
      </c>
      <c r="P122" s="719" t="s">
        <v>3173</v>
      </c>
      <c r="Q122" s="24">
        <f t="shared" si="30"/>
        <v>1</v>
      </c>
      <c r="R122" s="715">
        <f t="shared" ca="1" si="31"/>
        <v>31017</v>
      </c>
      <c r="S122" s="361">
        <f t="shared" ca="1" si="22"/>
        <v>365</v>
      </c>
    </row>
    <row r="123" spans="1:19">
      <c r="A123" s="2962" t="str">
        <f>办公面积明细!B105</f>
        <v>4号楼3层3单元309</v>
      </c>
      <c r="B123" s="59">
        <f>办公面积明细!C105</f>
        <v>234.73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t="s">
        <v>3446</v>
      </c>
      <c r="O123" s="24">
        <f t="shared" si="29"/>
        <v>1.02</v>
      </c>
      <c r="P123" s="719" t="s">
        <v>3173</v>
      </c>
      <c r="Q123" s="24">
        <f t="shared" si="30"/>
        <v>1</v>
      </c>
      <c r="R123" s="715">
        <f t="shared" ca="1" si="31"/>
        <v>31017</v>
      </c>
      <c r="S123" s="361">
        <f t="shared" ref="S123:S186" ca="1" si="32">ROUND(R123*B123/10000,0)</f>
        <v>728</v>
      </c>
    </row>
    <row r="124" spans="1:19">
      <c r="A124" s="2962" t="str">
        <f>办公面积明细!B106</f>
        <v>4号楼4层3单元401</v>
      </c>
      <c r="B124" s="59">
        <f>办公面积明细!C106</f>
        <v>182.41</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t="s">
        <v>3446</v>
      </c>
      <c r="O124" s="24">
        <f t="shared" si="29"/>
        <v>1.02</v>
      </c>
      <c r="P124" s="719" t="s">
        <v>3173</v>
      </c>
      <c r="Q124" s="24">
        <f t="shared" si="30"/>
        <v>1</v>
      </c>
      <c r="R124" s="715">
        <f t="shared" ca="1" si="31"/>
        <v>31017</v>
      </c>
      <c r="S124" s="361">
        <f t="shared" ca="1" si="32"/>
        <v>566</v>
      </c>
    </row>
    <row r="125" spans="1:19">
      <c r="A125" s="2962" t="str">
        <f>办公面积明细!B107</f>
        <v>4号楼4层3单元402</v>
      </c>
      <c r="B125" s="59">
        <f>办公面积明细!C107</f>
        <v>140.68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t="s">
        <v>3446</v>
      </c>
      <c r="O125" s="24">
        <f t="shared" si="29"/>
        <v>1.02</v>
      </c>
      <c r="P125" s="719" t="s">
        <v>3173</v>
      </c>
      <c r="Q125" s="24">
        <f t="shared" si="30"/>
        <v>1</v>
      </c>
      <c r="R125" s="715">
        <f t="shared" ca="1" si="31"/>
        <v>31017</v>
      </c>
      <c r="S125" s="361">
        <f t="shared" ca="1" si="32"/>
        <v>436</v>
      </c>
    </row>
    <row r="126" spans="1:19">
      <c r="A126" s="2962" t="str">
        <f>办公面积明细!B108</f>
        <v>4号楼4层3单元403</v>
      </c>
      <c r="B126" s="59">
        <f>办公面积明细!C108</f>
        <v>112.36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t="s">
        <v>3446</v>
      </c>
      <c r="O126" s="24">
        <f t="shared" si="29"/>
        <v>1.02</v>
      </c>
      <c r="P126" s="719" t="s">
        <v>3173</v>
      </c>
      <c r="Q126" s="24">
        <f t="shared" si="30"/>
        <v>1</v>
      </c>
      <c r="R126" s="715">
        <f t="shared" ca="1" si="31"/>
        <v>31017</v>
      </c>
      <c r="S126" s="361">
        <f t="shared" ca="1" si="32"/>
        <v>349</v>
      </c>
    </row>
    <row r="127" spans="1:19">
      <c r="A127" s="2962" t="str">
        <f>办公面积明细!B109</f>
        <v>4号楼4层3单元404</v>
      </c>
      <c r="B127" s="59">
        <f>办公面积明细!C109</f>
        <v>93.26</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t="s">
        <v>3446</v>
      </c>
      <c r="O127" s="24">
        <f t="shared" si="29"/>
        <v>1.02</v>
      </c>
      <c r="P127" s="719" t="s">
        <v>3173</v>
      </c>
      <c r="Q127" s="24">
        <f t="shared" si="30"/>
        <v>1</v>
      </c>
      <c r="R127" s="715">
        <f t="shared" ca="1" si="31"/>
        <v>31017</v>
      </c>
      <c r="S127" s="361">
        <f t="shared" ca="1" si="32"/>
        <v>289</v>
      </c>
    </row>
    <row r="128" spans="1:19">
      <c r="A128" s="2962" t="str">
        <f>办公面积明细!B110</f>
        <v>4号楼4层3单元405</v>
      </c>
      <c r="B128" s="59">
        <f>办公面积明细!C110</f>
        <v>251.59</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t="s">
        <v>3446</v>
      </c>
      <c r="O128" s="24">
        <f t="shared" si="29"/>
        <v>1.02</v>
      </c>
      <c r="P128" s="719" t="s">
        <v>3173</v>
      </c>
      <c r="Q128" s="24">
        <f t="shared" si="30"/>
        <v>1</v>
      </c>
      <c r="R128" s="715">
        <f t="shared" ca="1" si="31"/>
        <v>31017</v>
      </c>
      <c r="S128" s="361">
        <f t="shared" ca="1" si="32"/>
        <v>780</v>
      </c>
    </row>
    <row r="129" spans="1:19">
      <c r="A129" s="2962" t="str">
        <f>办公面积明细!B111</f>
        <v>4号楼4层3单元406</v>
      </c>
      <c r="B129" s="59">
        <f>办公面积明细!C111</f>
        <v>282.94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t="s">
        <v>3446</v>
      </c>
      <c r="O129" s="24">
        <f t="shared" si="29"/>
        <v>1.02</v>
      </c>
      <c r="P129" s="719" t="s">
        <v>3173</v>
      </c>
      <c r="Q129" s="24">
        <f t="shared" si="30"/>
        <v>1</v>
      </c>
      <c r="R129" s="715">
        <f t="shared" ca="1" si="31"/>
        <v>31017</v>
      </c>
      <c r="S129" s="361">
        <f t="shared" ca="1" si="32"/>
        <v>878</v>
      </c>
    </row>
    <row r="130" spans="1:19">
      <c r="A130" s="2962" t="str">
        <f>办公面积明细!B112</f>
        <v>4号楼4层3单元407</v>
      </c>
      <c r="B130" s="59">
        <f>办公面积明细!C112</f>
        <v>227.29</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t="s">
        <v>3446</v>
      </c>
      <c r="O130" s="24">
        <f t="shared" si="29"/>
        <v>1.02</v>
      </c>
      <c r="P130" s="719" t="s">
        <v>3173</v>
      </c>
      <c r="Q130" s="24">
        <f t="shared" si="30"/>
        <v>1</v>
      </c>
      <c r="R130" s="715">
        <f t="shared" ca="1" si="31"/>
        <v>31017</v>
      </c>
      <c r="S130" s="361">
        <f t="shared" ca="1" si="32"/>
        <v>705</v>
      </c>
    </row>
    <row r="131" spans="1:19">
      <c r="A131" s="2962" t="str">
        <f>办公面积明细!B113</f>
        <v>4号楼4层3单元408</v>
      </c>
      <c r="B131" s="59">
        <f>办公面积明细!C113</f>
        <v>117.62</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t="s">
        <v>3446</v>
      </c>
      <c r="O131" s="24">
        <f t="shared" si="29"/>
        <v>1.02</v>
      </c>
      <c r="P131" s="719" t="s">
        <v>3173</v>
      </c>
      <c r="Q131" s="24">
        <f t="shared" si="30"/>
        <v>1</v>
      </c>
      <c r="R131" s="715">
        <f t="shared" ca="1" si="31"/>
        <v>31017</v>
      </c>
      <c r="S131" s="361">
        <f t="shared" ca="1" si="32"/>
        <v>365</v>
      </c>
    </row>
    <row r="132" spans="1:19">
      <c r="A132" s="2962" t="str">
        <f>办公面积明细!B114</f>
        <v>4号楼4层3单元409</v>
      </c>
      <c r="B132" s="59">
        <f>办公面积明细!C114</f>
        <v>234.4</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t="s">
        <v>3446</v>
      </c>
      <c r="O132" s="24">
        <f t="shared" si="29"/>
        <v>1.02</v>
      </c>
      <c r="P132" s="719" t="s">
        <v>3173</v>
      </c>
      <c r="Q132" s="24">
        <f t="shared" si="30"/>
        <v>1</v>
      </c>
      <c r="R132" s="715">
        <f t="shared" ca="1" si="31"/>
        <v>31017</v>
      </c>
      <c r="S132" s="361">
        <f t="shared" ca="1" si="32"/>
        <v>727</v>
      </c>
    </row>
    <row r="133" spans="1:19">
      <c r="A133" s="2962" t="str">
        <f>办公面积明细!B115</f>
        <v>4号楼5层3单元501</v>
      </c>
      <c r="B133" s="59">
        <f>办公面积明细!C115</f>
        <v>182.41</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t="s">
        <v>3446</v>
      </c>
      <c r="O133" s="24">
        <f t="shared" si="29"/>
        <v>1.02</v>
      </c>
      <c r="P133" s="719" t="s">
        <v>3171</v>
      </c>
      <c r="Q133" s="24">
        <f t="shared" si="30"/>
        <v>1.02</v>
      </c>
      <c r="R133" s="715">
        <f t="shared" ca="1" si="31"/>
        <v>31638</v>
      </c>
      <c r="S133" s="361">
        <f t="shared" ca="1" si="32"/>
        <v>577</v>
      </c>
    </row>
    <row r="134" spans="1:19">
      <c r="A134" s="2962" t="str">
        <f>办公面积明细!B116</f>
        <v>4号楼5层3单元502</v>
      </c>
      <c r="B134" s="59">
        <f>办公面积明细!C116</f>
        <v>140.68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t="s">
        <v>3446</v>
      </c>
      <c r="O134" s="24">
        <f t="shared" si="29"/>
        <v>1.02</v>
      </c>
      <c r="P134" s="719" t="s">
        <v>3171</v>
      </c>
      <c r="Q134" s="24">
        <f t="shared" si="30"/>
        <v>1.02</v>
      </c>
      <c r="R134" s="715">
        <f t="shared" ca="1" si="31"/>
        <v>31638</v>
      </c>
      <c r="S134" s="361">
        <f t="shared" ca="1" si="32"/>
        <v>445</v>
      </c>
    </row>
    <row r="135" spans="1:19">
      <c r="A135" s="2962" t="str">
        <f>办公面积明细!B117</f>
        <v>4号楼5层3单元503</v>
      </c>
      <c r="B135" s="59">
        <f>办公面积明细!C117</f>
        <v>112.36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t="s">
        <v>3446</v>
      </c>
      <c r="O135" s="24">
        <f t="shared" si="29"/>
        <v>1.02</v>
      </c>
      <c r="P135" s="719" t="s">
        <v>3171</v>
      </c>
      <c r="Q135" s="24">
        <f t="shared" si="30"/>
        <v>1.02</v>
      </c>
      <c r="R135" s="715">
        <f t="shared" ca="1" si="31"/>
        <v>31638</v>
      </c>
      <c r="S135" s="361">
        <f t="shared" ca="1" si="32"/>
        <v>355</v>
      </c>
    </row>
    <row r="136" spans="1:19">
      <c r="A136" s="2962" t="str">
        <f>办公面积明细!B118</f>
        <v>4号楼5层3单元504</v>
      </c>
      <c r="B136" s="59">
        <f>办公面积明细!C118</f>
        <v>93.19</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t="s">
        <v>3446</v>
      </c>
      <c r="O136" s="24">
        <f t="shared" si="29"/>
        <v>1.02</v>
      </c>
      <c r="P136" s="719" t="s">
        <v>3171</v>
      </c>
      <c r="Q136" s="24">
        <f t="shared" si="30"/>
        <v>1.02</v>
      </c>
      <c r="R136" s="715">
        <f t="shared" ca="1" si="31"/>
        <v>31638</v>
      </c>
      <c r="S136" s="361">
        <f t="shared" ca="1" si="32"/>
        <v>295</v>
      </c>
    </row>
    <row r="137" spans="1:19">
      <c r="A137" s="2962" t="str">
        <f>办公面积明细!B119</f>
        <v>4号楼5层3单元505</v>
      </c>
      <c r="B137" s="59">
        <f>办公面积明细!C119</f>
        <v>381.82</v>
      </c>
      <c r="C137" s="24">
        <f t="shared" si="23"/>
        <v>1.01</v>
      </c>
      <c r="D137" s="719"/>
      <c r="E137" s="24">
        <f t="shared" si="24"/>
        <v>1</v>
      </c>
      <c r="F137" s="719"/>
      <c r="G137" s="24">
        <f t="shared" si="25"/>
        <v>1</v>
      </c>
      <c r="H137" s="719"/>
      <c r="I137" s="24">
        <f t="shared" si="26"/>
        <v>1</v>
      </c>
      <c r="J137" s="719"/>
      <c r="K137" s="24">
        <f t="shared" si="27"/>
        <v>1</v>
      </c>
      <c r="L137" s="719"/>
      <c r="M137" s="24">
        <f t="shared" si="28"/>
        <v>1</v>
      </c>
      <c r="N137" s="719" t="s">
        <v>3446</v>
      </c>
      <c r="O137" s="24">
        <f t="shared" si="29"/>
        <v>1.02</v>
      </c>
      <c r="P137" s="719" t="s">
        <v>3171</v>
      </c>
      <c r="Q137" s="24">
        <f t="shared" si="30"/>
        <v>1.02</v>
      </c>
      <c r="R137" s="715">
        <f t="shared" ca="1" si="31"/>
        <v>31954</v>
      </c>
      <c r="S137" s="361">
        <f t="shared" ca="1" si="32"/>
        <v>1220</v>
      </c>
    </row>
    <row r="138" spans="1:19">
      <c r="A138" s="2962" t="str">
        <f>办公面积明细!B120</f>
        <v>4号楼5层3单元506</v>
      </c>
      <c r="B138" s="59">
        <f>办公面积明细!C120</f>
        <v>423.44</v>
      </c>
      <c r="C138" s="24">
        <f t="shared" si="23"/>
        <v>1.01</v>
      </c>
      <c r="D138" s="719"/>
      <c r="E138" s="24">
        <f t="shared" si="24"/>
        <v>1</v>
      </c>
      <c r="F138" s="719"/>
      <c r="G138" s="24">
        <f t="shared" si="25"/>
        <v>1</v>
      </c>
      <c r="H138" s="719"/>
      <c r="I138" s="24">
        <f t="shared" si="26"/>
        <v>1</v>
      </c>
      <c r="J138" s="719"/>
      <c r="K138" s="24">
        <f t="shared" si="27"/>
        <v>1</v>
      </c>
      <c r="L138" s="719"/>
      <c r="M138" s="24">
        <f t="shared" si="28"/>
        <v>1</v>
      </c>
      <c r="N138" s="719" t="s">
        <v>3446</v>
      </c>
      <c r="O138" s="24">
        <f t="shared" si="29"/>
        <v>1.02</v>
      </c>
      <c r="P138" s="719" t="s">
        <v>3171</v>
      </c>
      <c r="Q138" s="24">
        <f t="shared" si="30"/>
        <v>1.02</v>
      </c>
      <c r="R138" s="715">
        <f t="shared" ca="1" si="31"/>
        <v>31954</v>
      </c>
      <c r="S138" s="361">
        <f t="shared" ca="1" si="32"/>
        <v>1353</v>
      </c>
    </row>
    <row r="139" spans="1:19">
      <c r="A139" s="2962" t="str">
        <f>办公面积明细!B121</f>
        <v>4号楼5层3单元507</v>
      </c>
      <c r="B139" s="59">
        <f>办公面积明细!C121</f>
        <v>227.29</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t="s">
        <v>3446</v>
      </c>
      <c r="O139" s="24">
        <f t="shared" si="29"/>
        <v>1.02</v>
      </c>
      <c r="P139" s="719" t="s">
        <v>3171</v>
      </c>
      <c r="Q139" s="24">
        <f t="shared" si="30"/>
        <v>1.02</v>
      </c>
      <c r="R139" s="715">
        <f t="shared" ca="1" si="31"/>
        <v>31638</v>
      </c>
      <c r="S139" s="361">
        <f t="shared" ca="1" si="32"/>
        <v>719</v>
      </c>
    </row>
    <row r="140" spans="1:19">
      <c r="A140" s="2962" t="str">
        <f>办公面积明细!B122</f>
        <v>4号楼5层3单元508</v>
      </c>
      <c r="B140" s="59">
        <f>办公面积明细!C122</f>
        <v>117.62</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t="s">
        <v>3446</v>
      </c>
      <c r="O140" s="24">
        <f t="shared" si="29"/>
        <v>1.02</v>
      </c>
      <c r="P140" s="719" t="s">
        <v>3171</v>
      </c>
      <c r="Q140" s="24">
        <f t="shared" si="30"/>
        <v>1.02</v>
      </c>
      <c r="R140" s="715">
        <f t="shared" ca="1" si="31"/>
        <v>31638</v>
      </c>
      <c r="S140" s="361">
        <f t="shared" ca="1" si="32"/>
        <v>372</v>
      </c>
    </row>
    <row r="141" spans="1:19">
      <c r="A141" s="2962" t="str">
        <f>办公面积明细!B123</f>
        <v>4号楼5层3单元509</v>
      </c>
      <c r="B141" s="59">
        <f>办公面积明细!C123</f>
        <v>234.4</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t="s">
        <v>3446</v>
      </c>
      <c r="O141" s="24">
        <f t="shared" si="29"/>
        <v>1.02</v>
      </c>
      <c r="P141" s="719" t="s">
        <v>3171</v>
      </c>
      <c r="Q141" s="24">
        <f t="shared" si="30"/>
        <v>1.02</v>
      </c>
      <c r="R141" s="715">
        <f t="shared" ca="1" si="31"/>
        <v>31638</v>
      </c>
      <c r="S141" s="361">
        <f t="shared" ca="1" si="32"/>
        <v>742</v>
      </c>
    </row>
    <row r="142" spans="1:19">
      <c r="A142" s="2962" t="str">
        <f>办公面积明细!B124</f>
        <v>4号楼6层3单元601</v>
      </c>
      <c r="B142" s="59">
        <f>办公面积明细!C124</f>
        <v>182.41</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t="s">
        <v>3446</v>
      </c>
      <c r="O142" s="24">
        <f t="shared" si="29"/>
        <v>1.02</v>
      </c>
      <c r="P142" s="719" t="s">
        <v>3171</v>
      </c>
      <c r="Q142" s="24">
        <f t="shared" si="30"/>
        <v>1.02</v>
      </c>
      <c r="R142" s="715">
        <f t="shared" ca="1" si="31"/>
        <v>31638</v>
      </c>
      <c r="S142" s="361">
        <f t="shared" ca="1" si="32"/>
        <v>577</v>
      </c>
    </row>
    <row r="143" spans="1:19">
      <c r="A143" s="2962" t="str">
        <f>办公面积明细!B125</f>
        <v>4号楼6层3单元602</v>
      </c>
      <c r="B143" s="59">
        <f>办公面积明细!C125</f>
        <v>140.68</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t="s">
        <v>3446</v>
      </c>
      <c r="O143" s="24">
        <f t="shared" si="29"/>
        <v>1.02</v>
      </c>
      <c r="P143" s="719" t="s">
        <v>3171</v>
      </c>
      <c r="Q143" s="24">
        <f t="shared" si="30"/>
        <v>1.02</v>
      </c>
      <c r="R143" s="715">
        <f t="shared" ca="1" si="31"/>
        <v>31638</v>
      </c>
      <c r="S143" s="361">
        <f t="shared" ca="1" si="32"/>
        <v>445</v>
      </c>
    </row>
    <row r="144" spans="1:19">
      <c r="A144" s="2962" t="str">
        <f>办公面积明细!B126</f>
        <v>4号楼6层3单元603</v>
      </c>
      <c r="B144" s="59">
        <f>办公面积明细!C126</f>
        <v>112.36</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t="s">
        <v>3446</v>
      </c>
      <c r="O144" s="24">
        <f t="shared" si="29"/>
        <v>1.02</v>
      </c>
      <c r="P144" s="719" t="s">
        <v>3171</v>
      </c>
      <c r="Q144" s="24">
        <f t="shared" si="30"/>
        <v>1.02</v>
      </c>
      <c r="R144" s="715">
        <f t="shared" ca="1" si="31"/>
        <v>31638</v>
      </c>
      <c r="S144" s="361">
        <f t="shared" ca="1" si="32"/>
        <v>355</v>
      </c>
    </row>
    <row r="145" spans="1:19">
      <c r="A145" s="2962" t="str">
        <f>办公面积明细!B127</f>
        <v>4号楼6层3单元604</v>
      </c>
      <c r="B145" s="59">
        <f>办公面积明细!C127</f>
        <v>93.19</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t="s">
        <v>3446</v>
      </c>
      <c r="O145" s="24">
        <f t="shared" si="29"/>
        <v>1.02</v>
      </c>
      <c r="P145" s="719" t="s">
        <v>3171</v>
      </c>
      <c r="Q145" s="24">
        <f t="shared" si="30"/>
        <v>1.02</v>
      </c>
      <c r="R145" s="715">
        <f t="shared" ca="1" si="31"/>
        <v>31638</v>
      </c>
      <c r="S145" s="361">
        <f t="shared" ca="1" si="32"/>
        <v>295</v>
      </c>
    </row>
    <row r="146" spans="1:19">
      <c r="A146" s="2962" t="str">
        <f>办公面积明细!B128</f>
        <v>4号楼6层3单元605</v>
      </c>
      <c r="B146" s="59">
        <f>办公面积明细!C128</f>
        <v>251.66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t="s">
        <v>3446</v>
      </c>
      <c r="O146" s="24">
        <f t="shared" si="29"/>
        <v>1.02</v>
      </c>
      <c r="P146" s="719" t="s">
        <v>3171</v>
      </c>
      <c r="Q146" s="24">
        <f t="shared" si="30"/>
        <v>1.02</v>
      </c>
      <c r="R146" s="715">
        <f t="shared" ca="1" si="31"/>
        <v>31638</v>
      </c>
      <c r="S146" s="361">
        <f t="shared" ca="1" si="32"/>
        <v>796</v>
      </c>
    </row>
    <row r="147" spans="1:19">
      <c r="A147" s="2962" t="str">
        <f>办公面积明细!B129</f>
        <v>4号楼6层3单元606</v>
      </c>
      <c r="B147" s="59">
        <f>办公面积明细!C129</f>
        <v>282.94</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t="s">
        <v>3446</v>
      </c>
      <c r="O147" s="24">
        <f t="shared" si="29"/>
        <v>1.02</v>
      </c>
      <c r="P147" s="719" t="s">
        <v>3171</v>
      </c>
      <c r="Q147" s="24">
        <f t="shared" si="30"/>
        <v>1.02</v>
      </c>
      <c r="R147" s="715">
        <f t="shared" ca="1" si="31"/>
        <v>31638</v>
      </c>
      <c r="S147" s="361">
        <f t="shared" ca="1" si="32"/>
        <v>895</v>
      </c>
    </row>
    <row r="148" spans="1:19">
      <c r="A148" s="2962" t="str">
        <f>办公面积明细!B130</f>
        <v>4号楼6层3单元607</v>
      </c>
      <c r="B148" s="59">
        <f>办公面积明细!C130</f>
        <v>227.29</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t="s">
        <v>3446</v>
      </c>
      <c r="O148" s="24">
        <f t="shared" si="29"/>
        <v>1.02</v>
      </c>
      <c r="P148" s="719" t="s">
        <v>3171</v>
      </c>
      <c r="Q148" s="24">
        <f t="shared" si="30"/>
        <v>1.02</v>
      </c>
      <c r="R148" s="715">
        <f t="shared" ca="1" si="31"/>
        <v>31638</v>
      </c>
      <c r="S148" s="361">
        <f t="shared" ca="1" si="32"/>
        <v>719</v>
      </c>
    </row>
    <row r="149" spans="1:19">
      <c r="A149" s="2962" t="str">
        <f>办公面积明细!B131</f>
        <v>4号楼6层3单元608</v>
      </c>
      <c r="B149" s="59">
        <f>办公面积明细!C131</f>
        <v>117.62</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t="s">
        <v>3446</v>
      </c>
      <c r="O149" s="24">
        <f t="shared" si="29"/>
        <v>1.02</v>
      </c>
      <c r="P149" s="719" t="s">
        <v>3171</v>
      </c>
      <c r="Q149" s="24">
        <f t="shared" si="30"/>
        <v>1.02</v>
      </c>
      <c r="R149" s="715">
        <f t="shared" ca="1" si="31"/>
        <v>31638</v>
      </c>
      <c r="S149" s="361">
        <f t="shared" ca="1" si="32"/>
        <v>372</v>
      </c>
    </row>
    <row r="150" spans="1:19">
      <c r="A150" s="2962" t="str">
        <f>办公面积明细!B132</f>
        <v>4号楼6层3单元609</v>
      </c>
      <c r="B150" s="59">
        <f>办公面积明细!C132</f>
        <v>234.4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t="s">
        <v>3446</v>
      </c>
      <c r="O150" s="24">
        <f t="shared" si="29"/>
        <v>1.02</v>
      </c>
      <c r="P150" s="719" t="s">
        <v>3171</v>
      </c>
      <c r="Q150" s="24">
        <f t="shared" si="30"/>
        <v>1.02</v>
      </c>
      <c r="R150" s="715">
        <f t="shared" ca="1" si="31"/>
        <v>31638</v>
      </c>
      <c r="S150" s="361">
        <f t="shared" ca="1" si="32"/>
        <v>742</v>
      </c>
    </row>
    <row r="151" spans="1:19">
      <c r="A151" s="2962" t="str">
        <f>办公面积明细!B133</f>
        <v>4号楼7层3单元701</v>
      </c>
      <c r="B151" s="59">
        <f>办公面积明细!C133</f>
        <v>182.41</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t="s">
        <v>3446</v>
      </c>
      <c r="O151" s="24">
        <f t="shared" si="29"/>
        <v>1.02</v>
      </c>
      <c r="P151" s="719" t="s">
        <v>3171</v>
      </c>
      <c r="Q151" s="24">
        <f t="shared" si="30"/>
        <v>1.02</v>
      </c>
      <c r="R151" s="715">
        <f t="shared" ca="1" si="31"/>
        <v>31638</v>
      </c>
      <c r="S151" s="361">
        <f t="shared" ca="1" si="32"/>
        <v>577</v>
      </c>
    </row>
    <row r="152" spans="1:19">
      <c r="A152" s="2962" t="str">
        <f>办公面积明细!B134</f>
        <v>4号楼7层3单元702</v>
      </c>
      <c r="B152" s="59">
        <f>办公面积明细!C134</f>
        <v>140.68</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t="s">
        <v>3446</v>
      </c>
      <c r="O152" s="24">
        <f t="shared" si="29"/>
        <v>1.02</v>
      </c>
      <c r="P152" s="719" t="s">
        <v>3171</v>
      </c>
      <c r="Q152" s="24">
        <f t="shared" si="30"/>
        <v>1.02</v>
      </c>
      <c r="R152" s="715">
        <f t="shared" ca="1" si="31"/>
        <v>31638</v>
      </c>
      <c r="S152" s="361">
        <f t="shared" ca="1" si="32"/>
        <v>445</v>
      </c>
    </row>
    <row r="153" spans="1:19">
      <c r="A153" s="2962" t="str">
        <f>办公面积明细!B135</f>
        <v>4号楼7层3单元703</v>
      </c>
      <c r="B153" s="59">
        <f>办公面积明细!C135</f>
        <v>112.36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t="s">
        <v>3446</v>
      </c>
      <c r="O153" s="24">
        <f t="shared" si="29"/>
        <v>1.02</v>
      </c>
      <c r="P153" s="719" t="s">
        <v>3171</v>
      </c>
      <c r="Q153" s="24">
        <f t="shared" si="30"/>
        <v>1.02</v>
      </c>
      <c r="R153" s="715">
        <f t="shared" ca="1" si="31"/>
        <v>31638</v>
      </c>
      <c r="S153" s="361">
        <f t="shared" ca="1" si="32"/>
        <v>355</v>
      </c>
    </row>
    <row r="154" spans="1:19">
      <c r="A154" s="2962" t="str">
        <f>办公面积明细!B136</f>
        <v>4号楼7层3单元704</v>
      </c>
      <c r="B154" s="59">
        <f>办公面积明细!C136</f>
        <v>95</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t="s">
        <v>3446</v>
      </c>
      <c r="O154" s="24">
        <f t="shared" ref="O154:O217" si="39">(SUMIF($15:$15,N154,$16:$16)-SUMIF($15:$15,$N$24,$16:$16)+100)/100</f>
        <v>1.02</v>
      </c>
      <c r="P154" s="719" t="s">
        <v>3171</v>
      </c>
      <c r="Q154" s="24">
        <f t="shared" ref="Q154:Q217" si="40">(SUMIF($17:$17,P154,$18:$18)-SUMIF($17:$17,$P$24,$18:$18)+100)/100</f>
        <v>1.02</v>
      </c>
      <c r="R154" s="715">
        <f t="shared" ref="R154:R217" ca="1" si="41">IF(B154="",0,ROUND($R$24*C154*E154*G154*I154*K154*M154*O154*Q154,0))</f>
        <v>31638</v>
      </c>
      <c r="S154" s="361">
        <f t="shared" ca="1" si="32"/>
        <v>301</v>
      </c>
    </row>
    <row r="155" spans="1:19">
      <c r="A155" s="2962" t="str">
        <f>办公面积明细!B137</f>
        <v>4号楼7层3单元705</v>
      </c>
      <c r="B155" s="59">
        <f>办公面积明细!C137</f>
        <v>207.12</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t="s">
        <v>3446</v>
      </c>
      <c r="O155" s="24">
        <f t="shared" si="39"/>
        <v>1.02</v>
      </c>
      <c r="P155" s="719" t="s">
        <v>3171</v>
      </c>
      <c r="Q155" s="24">
        <f t="shared" si="40"/>
        <v>1.02</v>
      </c>
      <c r="R155" s="715">
        <f t="shared" ca="1" si="41"/>
        <v>31638</v>
      </c>
      <c r="S155" s="361">
        <f t="shared" ca="1" si="32"/>
        <v>655</v>
      </c>
    </row>
    <row r="156" spans="1:19">
      <c r="A156" s="2962" t="str">
        <f>办公面积明细!B138</f>
        <v>4号楼7层3单元706</v>
      </c>
      <c r="B156" s="59">
        <f>办公面积明细!C138</f>
        <v>236.79</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t="s">
        <v>3446</v>
      </c>
      <c r="O156" s="24">
        <f t="shared" si="39"/>
        <v>1.02</v>
      </c>
      <c r="P156" s="719" t="s">
        <v>3171</v>
      </c>
      <c r="Q156" s="24">
        <f t="shared" si="40"/>
        <v>1.02</v>
      </c>
      <c r="R156" s="715">
        <f t="shared" ca="1" si="41"/>
        <v>31638</v>
      </c>
      <c r="S156" s="361">
        <f t="shared" ca="1" si="32"/>
        <v>749</v>
      </c>
    </row>
    <row r="157" spans="1:19">
      <c r="A157" s="2962" t="str">
        <f>办公面积明细!B139</f>
        <v>4号楼7层3单元707</v>
      </c>
      <c r="B157" s="59">
        <f>办公面积明细!C139</f>
        <v>227.29</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t="s">
        <v>3446</v>
      </c>
      <c r="O157" s="24">
        <f t="shared" si="39"/>
        <v>1.02</v>
      </c>
      <c r="P157" s="719" t="s">
        <v>3171</v>
      </c>
      <c r="Q157" s="24">
        <f t="shared" si="40"/>
        <v>1.02</v>
      </c>
      <c r="R157" s="715">
        <f t="shared" ca="1" si="41"/>
        <v>31638</v>
      </c>
      <c r="S157" s="361">
        <f t="shared" ca="1" si="32"/>
        <v>719</v>
      </c>
    </row>
    <row r="158" spans="1:19">
      <c r="A158" s="2962" t="str">
        <f>办公面积明细!B140</f>
        <v>4号楼7层3单元708</v>
      </c>
      <c r="B158" s="59">
        <f>办公面积明细!C140</f>
        <v>117.62</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t="s">
        <v>3446</v>
      </c>
      <c r="O158" s="24">
        <f t="shared" si="39"/>
        <v>1.02</v>
      </c>
      <c r="P158" s="719" t="s">
        <v>3171</v>
      </c>
      <c r="Q158" s="24">
        <f t="shared" si="40"/>
        <v>1.02</v>
      </c>
      <c r="R158" s="715">
        <f t="shared" ca="1" si="41"/>
        <v>31638</v>
      </c>
      <c r="S158" s="361">
        <f t="shared" ca="1" si="32"/>
        <v>372</v>
      </c>
    </row>
    <row r="159" spans="1:19">
      <c r="A159" s="2962" t="str">
        <f>办公面积明细!B141</f>
        <v>4号楼7层3单元709</v>
      </c>
      <c r="B159" s="59">
        <f>办公面积明细!C141</f>
        <v>234.4</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t="s">
        <v>3446</v>
      </c>
      <c r="O159" s="24">
        <f t="shared" si="39"/>
        <v>1.02</v>
      </c>
      <c r="P159" s="719" t="s">
        <v>3171</v>
      </c>
      <c r="Q159" s="24">
        <f t="shared" si="40"/>
        <v>1.02</v>
      </c>
      <c r="R159" s="715">
        <f t="shared" ca="1" si="41"/>
        <v>31638</v>
      </c>
      <c r="S159" s="361">
        <f t="shared" ca="1" si="32"/>
        <v>742</v>
      </c>
    </row>
    <row r="160" spans="1:19">
      <c r="A160" s="2962" t="str">
        <f>办公面积明细!B142</f>
        <v>4号楼8层3单元801</v>
      </c>
      <c r="B160" s="59">
        <f>办公面积明细!C142</f>
        <v>182.41</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t="s">
        <v>3446</v>
      </c>
      <c r="O160" s="24">
        <f t="shared" si="39"/>
        <v>1.02</v>
      </c>
      <c r="P160" s="719" t="s">
        <v>3171</v>
      </c>
      <c r="Q160" s="24">
        <f t="shared" si="40"/>
        <v>1.02</v>
      </c>
      <c r="R160" s="715">
        <f t="shared" ca="1" si="41"/>
        <v>31638</v>
      </c>
      <c r="S160" s="361">
        <f t="shared" ca="1" si="32"/>
        <v>577</v>
      </c>
    </row>
    <row r="161" spans="1:19">
      <c r="A161" s="2962" t="str">
        <f>办公面积明细!B143</f>
        <v>4号楼8层3单元802</v>
      </c>
      <c r="B161" s="59">
        <f>办公面积明细!C143</f>
        <v>140.68</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t="s">
        <v>3446</v>
      </c>
      <c r="O161" s="24">
        <f t="shared" si="39"/>
        <v>1.02</v>
      </c>
      <c r="P161" s="719" t="s">
        <v>3171</v>
      </c>
      <c r="Q161" s="24">
        <f t="shared" si="40"/>
        <v>1.02</v>
      </c>
      <c r="R161" s="715">
        <f t="shared" ca="1" si="41"/>
        <v>31638</v>
      </c>
      <c r="S161" s="361">
        <f t="shared" ca="1" si="32"/>
        <v>445</v>
      </c>
    </row>
    <row r="162" spans="1:19">
      <c r="A162" s="2962" t="str">
        <f>办公面积明细!B144</f>
        <v>4号楼8层3单元803</v>
      </c>
      <c r="B162" s="59">
        <f>办公面积明细!C144</f>
        <v>112.36</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t="s">
        <v>3446</v>
      </c>
      <c r="O162" s="24">
        <f t="shared" si="39"/>
        <v>1.02</v>
      </c>
      <c r="P162" s="719" t="s">
        <v>3171</v>
      </c>
      <c r="Q162" s="24">
        <f t="shared" si="40"/>
        <v>1.02</v>
      </c>
      <c r="R162" s="715">
        <f t="shared" ca="1" si="41"/>
        <v>31638</v>
      </c>
      <c r="S162" s="361">
        <f t="shared" ca="1" si="32"/>
        <v>355</v>
      </c>
    </row>
    <row r="163" spans="1:19">
      <c r="A163" s="2962" t="str">
        <f>办公面积明细!B145</f>
        <v>4号楼8层3单元804</v>
      </c>
      <c r="B163" s="59">
        <f>办公面积明细!C145</f>
        <v>95.1</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t="s">
        <v>3446</v>
      </c>
      <c r="O163" s="24">
        <f t="shared" si="39"/>
        <v>1.02</v>
      </c>
      <c r="P163" s="719" t="s">
        <v>3171</v>
      </c>
      <c r="Q163" s="24">
        <f t="shared" si="40"/>
        <v>1.02</v>
      </c>
      <c r="R163" s="715">
        <f t="shared" ca="1" si="41"/>
        <v>31638</v>
      </c>
      <c r="S163" s="361">
        <f t="shared" ca="1" si="32"/>
        <v>301</v>
      </c>
    </row>
    <row r="164" spans="1:19">
      <c r="A164" s="2962" t="str">
        <f>办公面积明细!B146</f>
        <v>4号楼8层3单元805</v>
      </c>
      <c r="B164" s="59">
        <f>办公面积明细!C146</f>
        <v>208.29</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t="s">
        <v>3446</v>
      </c>
      <c r="O164" s="24">
        <f t="shared" si="39"/>
        <v>1.02</v>
      </c>
      <c r="P164" s="719" t="s">
        <v>3171</v>
      </c>
      <c r="Q164" s="24">
        <f t="shared" si="40"/>
        <v>1.02</v>
      </c>
      <c r="R164" s="715">
        <f t="shared" ca="1" si="41"/>
        <v>31638</v>
      </c>
      <c r="S164" s="361">
        <f t="shared" ca="1" si="32"/>
        <v>659</v>
      </c>
    </row>
    <row r="165" spans="1:19">
      <c r="A165" s="2962" t="str">
        <f>办公面积明细!B147</f>
        <v>4号楼8层3单元806</v>
      </c>
      <c r="B165" s="59">
        <f>办公面积明细!C147</f>
        <v>238.16</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t="s">
        <v>3446</v>
      </c>
      <c r="O165" s="24">
        <f t="shared" si="39"/>
        <v>1.02</v>
      </c>
      <c r="P165" s="719" t="s">
        <v>3171</v>
      </c>
      <c r="Q165" s="24">
        <f t="shared" si="40"/>
        <v>1.02</v>
      </c>
      <c r="R165" s="715">
        <f t="shared" ca="1" si="41"/>
        <v>31638</v>
      </c>
      <c r="S165" s="361">
        <f t="shared" ca="1" si="32"/>
        <v>753</v>
      </c>
    </row>
    <row r="166" spans="1:19">
      <c r="A166" s="2962" t="str">
        <f>办公面积明细!B148</f>
        <v>4号楼8层3单元807</v>
      </c>
      <c r="B166" s="59">
        <f>办公面积明细!C148</f>
        <v>227.29</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t="s">
        <v>3446</v>
      </c>
      <c r="O166" s="24">
        <f t="shared" si="39"/>
        <v>1.02</v>
      </c>
      <c r="P166" s="719" t="s">
        <v>3171</v>
      </c>
      <c r="Q166" s="24">
        <f t="shared" si="40"/>
        <v>1.02</v>
      </c>
      <c r="R166" s="715">
        <f t="shared" ca="1" si="41"/>
        <v>31638</v>
      </c>
      <c r="S166" s="361">
        <f t="shared" ca="1" si="32"/>
        <v>719</v>
      </c>
    </row>
    <row r="167" spans="1:19">
      <c r="A167" s="2962" t="str">
        <f>办公面积明细!B149</f>
        <v>4号楼8层3单元808</v>
      </c>
      <c r="B167" s="59">
        <f>办公面积明细!C149</f>
        <v>117.62</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t="s">
        <v>3446</v>
      </c>
      <c r="O167" s="24">
        <f t="shared" si="39"/>
        <v>1.02</v>
      </c>
      <c r="P167" s="719" t="s">
        <v>3171</v>
      </c>
      <c r="Q167" s="24">
        <f t="shared" si="40"/>
        <v>1.02</v>
      </c>
      <c r="R167" s="715">
        <f t="shared" ca="1" si="41"/>
        <v>31638</v>
      </c>
      <c r="S167" s="361">
        <f t="shared" ca="1" si="32"/>
        <v>372</v>
      </c>
    </row>
    <row r="168" spans="1:19">
      <c r="A168" s="2962" t="str">
        <f>办公面积明细!B150</f>
        <v>4号楼8层3单元809</v>
      </c>
      <c r="B168" s="59">
        <f>办公面积明细!C150</f>
        <v>234.4</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t="s">
        <v>3446</v>
      </c>
      <c r="O168" s="24">
        <f t="shared" si="39"/>
        <v>1.02</v>
      </c>
      <c r="P168" s="719" t="s">
        <v>3171</v>
      </c>
      <c r="Q168" s="24">
        <f t="shared" si="40"/>
        <v>1.02</v>
      </c>
      <c r="R168" s="715">
        <f t="shared" ca="1" si="41"/>
        <v>31638</v>
      </c>
      <c r="S168" s="361">
        <f t="shared" ca="1" si="32"/>
        <v>742</v>
      </c>
    </row>
    <row r="169" spans="1:19">
      <c r="A169" s="2962" t="str">
        <f>办公面积明细!B151</f>
        <v>4号楼9层3单元901</v>
      </c>
      <c r="B169" s="59">
        <f>办公面积明细!C151</f>
        <v>366.01</v>
      </c>
      <c r="C169" s="24">
        <f t="shared" si="33"/>
        <v>1.01</v>
      </c>
      <c r="D169" s="719"/>
      <c r="E169" s="24">
        <f t="shared" si="34"/>
        <v>1</v>
      </c>
      <c r="F169" s="719"/>
      <c r="G169" s="24">
        <f t="shared" si="35"/>
        <v>1</v>
      </c>
      <c r="H169" s="719"/>
      <c r="I169" s="24">
        <f t="shared" si="36"/>
        <v>1</v>
      </c>
      <c r="J169" s="719"/>
      <c r="K169" s="24">
        <f t="shared" si="37"/>
        <v>1</v>
      </c>
      <c r="L169" s="719"/>
      <c r="M169" s="24">
        <f t="shared" si="38"/>
        <v>1</v>
      </c>
      <c r="N169" s="719" t="s">
        <v>3446</v>
      </c>
      <c r="O169" s="24">
        <f t="shared" si="39"/>
        <v>1.02</v>
      </c>
      <c r="P169" s="719" t="s">
        <v>3169</v>
      </c>
      <c r="Q169" s="24">
        <f t="shared" si="40"/>
        <v>1.04</v>
      </c>
      <c r="R169" s="715">
        <f t="shared" ca="1" si="41"/>
        <v>32580</v>
      </c>
      <c r="S169" s="361">
        <f t="shared" ca="1" si="32"/>
        <v>1192</v>
      </c>
    </row>
    <row r="170" spans="1:19">
      <c r="A170" s="2962" t="str">
        <f>办公面积明细!B152</f>
        <v>4号楼9层3单元902</v>
      </c>
      <c r="B170" s="59">
        <f>办公面积明细!C152</f>
        <v>175.77</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t="s">
        <v>3446</v>
      </c>
      <c r="O170" s="24">
        <f t="shared" si="39"/>
        <v>1.02</v>
      </c>
      <c r="P170" s="719" t="s">
        <v>3169</v>
      </c>
      <c r="Q170" s="24">
        <f t="shared" si="40"/>
        <v>1.04</v>
      </c>
      <c r="R170" s="715">
        <f t="shared" ca="1" si="41"/>
        <v>32258</v>
      </c>
      <c r="S170" s="361">
        <f t="shared" ca="1" si="32"/>
        <v>567</v>
      </c>
    </row>
    <row r="171" spans="1:19">
      <c r="A171" s="2962" t="str">
        <f>办公面积明细!B153</f>
        <v>4号楼9层3单元903</v>
      </c>
      <c r="B171" s="59">
        <f>办公面积明细!C153</f>
        <v>126.18</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t="s">
        <v>3446</v>
      </c>
      <c r="O171" s="24">
        <f t="shared" si="39"/>
        <v>1.02</v>
      </c>
      <c r="P171" s="719" t="s">
        <v>3169</v>
      </c>
      <c r="Q171" s="24">
        <f t="shared" si="40"/>
        <v>1.04</v>
      </c>
      <c r="R171" s="715">
        <f t="shared" ca="1" si="41"/>
        <v>32258</v>
      </c>
      <c r="S171" s="361">
        <f t="shared" ca="1" si="32"/>
        <v>407</v>
      </c>
    </row>
    <row r="172" spans="1:19">
      <c r="A172" s="2962" t="str">
        <f>办公面积明细!B154</f>
        <v>4号楼9层3单元904</v>
      </c>
      <c r="B172" s="59">
        <f>办公面积明细!C154</f>
        <v>272.85000000000002</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t="s">
        <v>3446</v>
      </c>
      <c r="O172" s="24">
        <f t="shared" si="39"/>
        <v>1.02</v>
      </c>
      <c r="P172" s="719" t="s">
        <v>3169</v>
      </c>
      <c r="Q172" s="24">
        <f t="shared" si="40"/>
        <v>1.04</v>
      </c>
      <c r="R172" s="715">
        <f t="shared" ca="1" si="41"/>
        <v>32258</v>
      </c>
      <c r="S172" s="361">
        <f t="shared" ca="1" si="32"/>
        <v>880</v>
      </c>
    </row>
    <row r="173" spans="1:19">
      <c r="A173" s="2962" t="str">
        <f>办公面积明细!B155</f>
        <v>4号楼9层3单元905</v>
      </c>
      <c r="B173" s="59">
        <f>办公面积明细!C155</f>
        <v>146.82</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t="s">
        <v>3446</v>
      </c>
      <c r="O173" s="24">
        <f t="shared" si="39"/>
        <v>1.02</v>
      </c>
      <c r="P173" s="719" t="s">
        <v>3169</v>
      </c>
      <c r="Q173" s="24">
        <f t="shared" si="40"/>
        <v>1.04</v>
      </c>
      <c r="R173" s="715">
        <f t="shared" ca="1" si="41"/>
        <v>32258</v>
      </c>
      <c r="S173" s="361">
        <f t="shared" ca="1" si="32"/>
        <v>474</v>
      </c>
    </row>
    <row r="174" spans="1:19">
      <c r="A174" s="2962" t="str">
        <f>办公面积明细!B156</f>
        <v>4号楼9层3单元906</v>
      </c>
      <c r="B174" s="59">
        <f>办公面积明细!C156</f>
        <v>302.39999999999998</v>
      </c>
      <c r="C174" s="24">
        <f t="shared" si="33"/>
        <v>1.01</v>
      </c>
      <c r="D174" s="719"/>
      <c r="E174" s="24">
        <f t="shared" si="34"/>
        <v>1</v>
      </c>
      <c r="F174" s="719"/>
      <c r="G174" s="24">
        <f t="shared" si="35"/>
        <v>1</v>
      </c>
      <c r="H174" s="719"/>
      <c r="I174" s="24">
        <f t="shared" si="36"/>
        <v>1</v>
      </c>
      <c r="J174" s="719"/>
      <c r="K174" s="24">
        <f t="shared" si="37"/>
        <v>1</v>
      </c>
      <c r="L174" s="719"/>
      <c r="M174" s="24">
        <f t="shared" si="38"/>
        <v>1</v>
      </c>
      <c r="N174" s="719" t="s">
        <v>3446</v>
      </c>
      <c r="O174" s="24">
        <f t="shared" si="39"/>
        <v>1.02</v>
      </c>
      <c r="P174" s="719" t="s">
        <v>3169</v>
      </c>
      <c r="Q174" s="24">
        <f t="shared" si="40"/>
        <v>1.04</v>
      </c>
      <c r="R174" s="715">
        <f t="shared" ca="1" si="41"/>
        <v>32580</v>
      </c>
      <c r="S174" s="361">
        <f t="shared" ca="1" si="32"/>
        <v>985</v>
      </c>
    </row>
    <row r="175" spans="1:19">
      <c r="A175" s="2962" t="str">
        <f>办公面积明细!B157</f>
        <v>4号楼9层3单元907</v>
      </c>
      <c r="B175" s="59">
        <f>办公面积明细!C157</f>
        <v>291.52</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t="s">
        <v>3446</v>
      </c>
      <c r="O175" s="24">
        <f t="shared" si="39"/>
        <v>1.02</v>
      </c>
      <c r="P175" s="719" t="s">
        <v>3169</v>
      </c>
      <c r="Q175" s="24">
        <f t="shared" si="40"/>
        <v>1.04</v>
      </c>
      <c r="R175" s="715">
        <f t="shared" ca="1" si="41"/>
        <v>32258</v>
      </c>
      <c r="S175" s="361">
        <f t="shared" ca="1" si="32"/>
        <v>940</v>
      </c>
    </row>
    <row r="176" spans="1:19">
      <c r="A176" s="2962" t="str">
        <f>办公面积明细!B158</f>
        <v>4号楼9层3单元908</v>
      </c>
      <c r="B176" s="59">
        <f>办公面积明细!C158</f>
        <v>147.91</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t="s">
        <v>3446</v>
      </c>
      <c r="O176" s="24">
        <f t="shared" si="39"/>
        <v>1.02</v>
      </c>
      <c r="P176" s="719" t="s">
        <v>3169</v>
      </c>
      <c r="Q176" s="24">
        <f t="shared" si="40"/>
        <v>1.04</v>
      </c>
      <c r="R176" s="715">
        <f t="shared" ca="1" si="41"/>
        <v>32258</v>
      </c>
      <c r="S176" s="361">
        <f t="shared" ca="1" si="32"/>
        <v>477</v>
      </c>
    </row>
    <row r="177" spans="1:19">
      <c r="A177" s="2962" t="str">
        <f>办公面积明细!B159</f>
        <v>4号楼9层3单元909</v>
      </c>
      <c r="B177" s="59">
        <f>办公面积明细!C159</f>
        <v>245.8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t="s">
        <v>3446</v>
      </c>
      <c r="O177" s="24">
        <f t="shared" si="39"/>
        <v>1.02</v>
      </c>
      <c r="P177" s="719" t="s">
        <v>3169</v>
      </c>
      <c r="Q177" s="24">
        <f t="shared" si="40"/>
        <v>1.04</v>
      </c>
      <c r="R177" s="715">
        <f t="shared" ca="1" si="41"/>
        <v>32258</v>
      </c>
      <c r="S177" s="361">
        <f t="shared" ca="1" si="32"/>
        <v>793</v>
      </c>
    </row>
    <row r="178" spans="1:19">
      <c r="A178" s="2962" t="str">
        <f>办公面积明细!B160</f>
        <v>4号楼10层3单元1001</v>
      </c>
      <c r="B178" s="59">
        <f>办公面积明细!C160</f>
        <v>366.01</v>
      </c>
      <c r="C178" s="24">
        <f t="shared" si="33"/>
        <v>1.01</v>
      </c>
      <c r="D178" s="719"/>
      <c r="E178" s="24">
        <f t="shared" si="34"/>
        <v>1</v>
      </c>
      <c r="F178" s="719"/>
      <c r="G178" s="24">
        <f t="shared" si="35"/>
        <v>1</v>
      </c>
      <c r="H178" s="719"/>
      <c r="I178" s="24">
        <f t="shared" si="36"/>
        <v>1</v>
      </c>
      <c r="J178" s="719"/>
      <c r="K178" s="24">
        <f t="shared" si="37"/>
        <v>1</v>
      </c>
      <c r="L178" s="719"/>
      <c r="M178" s="24">
        <f t="shared" si="38"/>
        <v>1</v>
      </c>
      <c r="N178" s="719" t="s">
        <v>3446</v>
      </c>
      <c r="O178" s="24">
        <f t="shared" si="39"/>
        <v>1.02</v>
      </c>
      <c r="P178" s="719" t="s">
        <v>3169</v>
      </c>
      <c r="Q178" s="24">
        <f t="shared" si="40"/>
        <v>1.04</v>
      </c>
      <c r="R178" s="715">
        <f t="shared" ca="1" si="41"/>
        <v>32580</v>
      </c>
      <c r="S178" s="361">
        <f t="shared" ca="1" si="32"/>
        <v>1192</v>
      </c>
    </row>
    <row r="179" spans="1:19">
      <c r="A179" s="2962" t="str">
        <f>办公面积明细!B161</f>
        <v>4号楼10层3单元1002</v>
      </c>
      <c r="B179" s="59">
        <f>办公面积明细!C161</f>
        <v>175.77</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t="s">
        <v>3446</v>
      </c>
      <c r="O179" s="24">
        <f t="shared" si="39"/>
        <v>1.02</v>
      </c>
      <c r="P179" s="719" t="s">
        <v>3169</v>
      </c>
      <c r="Q179" s="24">
        <f t="shared" si="40"/>
        <v>1.04</v>
      </c>
      <c r="R179" s="715">
        <f t="shared" ca="1" si="41"/>
        <v>32258</v>
      </c>
      <c r="S179" s="361">
        <f t="shared" ca="1" si="32"/>
        <v>567</v>
      </c>
    </row>
    <row r="180" spans="1:19">
      <c r="A180" s="2962" t="str">
        <f>办公面积明细!B162</f>
        <v>4号楼10层3单元1003</v>
      </c>
      <c r="B180" s="59">
        <f>办公面积明细!C162</f>
        <v>126.18</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t="s">
        <v>3446</v>
      </c>
      <c r="O180" s="24">
        <f t="shared" si="39"/>
        <v>1.02</v>
      </c>
      <c r="P180" s="719" t="s">
        <v>3169</v>
      </c>
      <c r="Q180" s="24">
        <f t="shared" si="40"/>
        <v>1.04</v>
      </c>
      <c r="R180" s="715">
        <f t="shared" ca="1" si="41"/>
        <v>32258</v>
      </c>
      <c r="S180" s="361">
        <f t="shared" ca="1" si="32"/>
        <v>407</v>
      </c>
    </row>
    <row r="181" spans="1:19">
      <c r="A181" s="2962" t="str">
        <f>办公面积明细!B163</f>
        <v>4号楼10层3单元1004</v>
      </c>
      <c r="B181" s="59">
        <f>办公面积明细!C163</f>
        <v>105.47</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t="s">
        <v>3446</v>
      </c>
      <c r="O181" s="24">
        <f t="shared" si="39"/>
        <v>1.02</v>
      </c>
      <c r="P181" s="719" t="s">
        <v>3169</v>
      </c>
      <c r="Q181" s="24">
        <f t="shared" si="40"/>
        <v>1.04</v>
      </c>
      <c r="R181" s="715">
        <f t="shared" ca="1" si="41"/>
        <v>32258</v>
      </c>
      <c r="S181" s="361">
        <f t="shared" ca="1" si="32"/>
        <v>340</v>
      </c>
    </row>
    <row r="182" spans="1:19">
      <c r="A182" s="2962" t="str">
        <f>办公面积明细!B164</f>
        <v>4号楼10层3单元1005</v>
      </c>
      <c r="B182" s="59">
        <f>办公面积明细!C164</f>
        <v>314.70999999999998</v>
      </c>
      <c r="C182" s="24">
        <f t="shared" si="33"/>
        <v>1.01</v>
      </c>
      <c r="D182" s="719"/>
      <c r="E182" s="24">
        <f t="shared" si="34"/>
        <v>1</v>
      </c>
      <c r="F182" s="719"/>
      <c r="G182" s="24">
        <f t="shared" si="35"/>
        <v>1</v>
      </c>
      <c r="H182" s="719"/>
      <c r="I182" s="24">
        <f t="shared" si="36"/>
        <v>1</v>
      </c>
      <c r="J182" s="719"/>
      <c r="K182" s="24">
        <f t="shared" si="37"/>
        <v>1</v>
      </c>
      <c r="L182" s="719"/>
      <c r="M182" s="24">
        <f t="shared" si="38"/>
        <v>1</v>
      </c>
      <c r="N182" s="719" t="s">
        <v>3446</v>
      </c>
      <c r="O182" s="24">
        <f t="shared" si="39"/>
        <v>1.02</v>
      </c>
      <c r="P182" s="719" t="s">
        <v>3169</v>
      </c>
      <c r="Q182" s="24">
        <f t="shared" si="40"/>
        <v>1.04</v>
      </c>
      <c r="R182" s="715">
        <f t="shared" ca="1" si="41"/>
        <v>32580</v>
      </c>
      <c r="S182" s="361">
        <f t="shared" ca="1" si="32"/>
        <v>1025</v>
      </c>
    </row>
    <row r="183" spans="1:19">
      <c r="A183" s="2962" t="str">
        <f>办公面积明细!B165</f>
        <v>4号楼10层3单元1006</v>
      </c>
      <c r="B183" s="59">
        <f>办公面积明细!C165</f>
        <v>152.25</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t="s">
        <v>3446</v>
      </c>
      <c r="O183" s="24">
        <f t="shared" si="39"/>
        <v>1.02</v>
      </c>
      <c r="P183" s="719" t="s">
        <v>3169</v>
      </c>
      <c r="Q183" s="24">
        <f t="shared" si="40"/>
        <v>1.04</v>
      </c>
      <c r="R183" s="715">
        <f t="shared" ca="1" si="41"/>
        <v>32258</v>
      </c>
      <c r="S183" s="361">
        <f t="shared" ca="1" si="32"/>
        <v>491</v>
      </c>
    </row>
    <row r="184" spans="1:19">
      <c r="A184" s="2962" t="str">
        <f>办公面积明细!B166</f>
        <v>4号楼10层3单元1007</v>
      </c>
      <c r="B184" s="59">
        <f>办公面积明细!C166</f>
        <v>245.8</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t="s">
        <v>3446</v>
      </c>
      <c r="O184" s="24">
        <f t="shared" si="39"/>
        <v>1.02</v>
      </c>
      <c r="P184" s="719" t="s">
        <v>3169</v>
      </c>
      <c r="Q184" s="24">
        <f t="shared" si="40"/>
        <v>1.04</v>
      </c>
      <c r="R184" s="715">
        <f t="shared" ca="1" si="41"/>
        <v>32258</v>
      </c>
      <c r="S184" s="361">
        <f t="shared" ca="1" si="32"/>
        <v>793</v>
      </c>
    </row>
    <row r="185" spans="1:19">
      <c r="A185" s="2962" t="str">
        <f>办公面积明细!B167</f>
        <v>4号楼11层3单元1101</v>
      </c>
      <c r="B185" s="59">
        <f>办公面积明细!C167</f>
        <v>366.01</v>
      </c>
      <c r="C185" s="24">
        <f t="shared" si="33"/>
        <v>1.01</v>
      </c>
      <c r="D185" s="719"/>
      <c r="E185" s="24">
        <f t="shared" si="34"/>
        <v>1</v>
      </c>
      <c r="F185" s="719"/>
      <c r="G185" s="24">
        <f t="shared" si="35"/>
        <v>1</v>
      </c>
      <c r="H185" s="719"/>
      <c r="I185" s="24">
        <f t="shared" si="36"/>
        <v>1</v>
      </c>
      <c r="J185" s="719"/>
      <c r="K185" s="24">
        <f t="shared" si="37"/>
        <v>1</v>
      </c>
      <c r="L185" s="719"/>
      <c r="M185" s="24">
        <f t="shared" si="38"/>
        <v>1</v>
      </c>
      <c r="N185" s="719" t="s">
        <v>3446</v>
      </c>
      <c r="O185" s="24">
        <f t="shared" si="39"/>
        <v>1.02</v>
      </c>
      <c r="P185" s="719" t="s">
        <v>3169</v>
      </c>
      <c r="Q185" s="24">
        <f t="shared" si="40"/>
        <v>1.04</v>
      </c>
      <c r="R185" s="715">
        <f t="shared" ca="1" si="41"/>
        <v>32580</v>
      </c>
      <c r="S185" s="361">
        <f t="shared" ca="1" si="32"/>
        <v>1192</v>
      </c>
    </row>
    <row r="186" spans="1:19">
      <c r="A186" s="2962" t="str">
        <f>办公面积明细!B168</f>
        <v>4号楼11层3单元1102</v>
      </c>
      <c r="B186" s="59">
        <f>办公面积明细!C168</f>
        <v>175.77</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t="s">
        <v>3446</v>
      </c>
      <c r="O186" s="24">
        <f t="shared" si="39"/>
        <v>1.02</v>
      </c>
      <c r="P186" s="719" t="s">
        <v>3169</v>
      </c>
      <c r="Q186" s="24">
        <f t="shared" si="40"/>
        <v>1.04</v>
      </c>
      <c r="R186" s="715">
        <f t="shared" ca="1" si="41"/>
        <v>32258</v>
      </c>
      <c r="S186" s="361">
        <f t="shared" ca="1" si="32"/>
        <v>567</v>
      </c>
    </row>
    <row r="187" spans="1:19">
      <c r="A187" s="2962" t="str">
        <f>办公面积明细!B169</f>
        <v>4号楼11层3单元1103</v>
      </c>
      <c r="B187" s="59">
        <f>办公面积明细!C169</f>
        <v>126.18</v>
      </c>
      <c r="C187" s="24">
        <f t="shared" si="33"/>
        <v>1</v>
      </c>
      <c r="D187" s="719"/>
      <c r="E187" s="24">
        <f t="shared" si="34"/>
        <v>1</v>
      </c>
      <c r="F187" s="719"/>
      <c r="G187" s="24">
        <f t="shared" si="35"/>
        <v>1</v>
      </c>
      <c r="H187" s="719"/>
      <c r="I187" s="24">
        <f t="shared" si="36"/>
        <v>1</v>
      </c>
      <c r="J187" s="719"/>
      <c r="K187" s="24">
        <f t="shared" si="37"/>
        <v>1</v>
      </c>
      <c r="L187" s="719"/>
      <c r="M187" s="24">
        <f t="shared" si="38"/>
        <v>1</v>
      </c>
      <c r="N187" s="719" t="s">
        <v>3446</v>
      </c>
      <c r="O187" s="24">
        <f t="shared" si="39"/>
        <v>1.02</v>
      </c>
      <c r="P187" s="719" t="s">
        <v>3169</v>
      </c>
      <c r="Q187" s="24">
        <f t="shared" si="40"/>
        <v>1.04</v>
      </c>
      <c r="R187" s="715">
        <f t="shared" ca="1" si="41"/>
        <v>32258</v>
      </c>
      <c r="S187" s="361">
        <f t="shared" ref="S187:S222" ca="1" si="42">ROUND(R187*B187/10000,0)</f>
        <v>407</v>
      </c>
    </row>
    <row r="188" spans="1:19">
      <c r="A188" s="2962" t="str">
        <f>办公面积明细!B170</f>
        <v>4号楼11层3单元1104</v>
      </c>
      <c r="B188" s="59">
        <f>办公面积明细!C170</f>
        <v>105.47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t="s">
        <v>3446</v>
      </c>
      <c r="O188" s="24">
        <f t="shared" si="39"/>
        <v>1.02</v>
      </c>
      <c r="P188" s="719" t="s">
        <v>3169</v>
      </c>
      <c r="Q188" s="24">
        <f t="shared" si="40"/>
        <v>1.04</v>
      </c>
      <c r="R188" s="715">
        <f t="shared" ca="1" si="41"/>
        <v>32258</v>
      </c>
      <c r="S188" s="361">
        <f t="shared" ca="1" si="42"/>
        <v>340</v>
      </c>
    </row>
    <row r="189" spans="1:19">
      <c r="A189" s="2962" t="str">
        <f>办公面积明细!B171</f>
        <v>4号楼11层3单元1105</v>
      </c>
      <c r="B189" s="59">
        <f>办公面积明细!C171</f>
        <v>314.70999999999998</v>
      </c>
      <c r="C189" s="24">
        <f t="shared" si="33"/>
        <v>1.01</v>
      </c>
      <c r="D189" s="719"/>
      <c r="E189" s="24">
        <f t="shared" si="34"/>
        <v>1</v>
      </c>
      <c r="F189" s="719"/>
      <c r="G189" s="24">
        <f t="shared" si="35"/>
        <v>1</v>
      </c>
      <c r="H189" s="719"/>
      <c r="I189" s="24">
        <f t="shared" si="36"/>
        <v>1</v>
      </c>
      <c r="J189" s="719"/>
      <c r="K189" s="24">
        <f t="shared" si="37"/>
        <v>1</v>
      </c>
      <c r="L189" s="719"/>
      <c r="M189" s="24">
        <f t="shared" si="38"/>
        <v>1</v>
      </c>
      <c r="N189" s="719" t="s">
        <v>3446</v>
      </c>
      <c r="O189" s="24">
        <f t="shared" si="39"/>
        <v>1.02</v>
      </c>
      <c r="P189" s="719" t="s">
        <v>3169</v>
      </c>
      <c r="Q189" s="24">
        <f t="shared" si="40"/>
        <v>1.04</v>
      </c>
      <c r="R189" s="715">
        <f t="shared" ca="1" si="41"/>
        <v>32580</v>
      </c>
      <c r="S189" s="361">
        <f t="shared" ca="1" si="42"/>
        <v>1025</v>
      </c>
    </row>
    <row r="190" spans="1:19">
      <c r="A190" s="2962" t="str">
        <f>办公面积明细!B172</f>
        <v>4号楼11层3单元1106</v>
      </c>
      <c r="B190" s="59">
        <f>办公面积明细!C172</f>
        <v>152.30000000000001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t="s">
        <v>3446</v>
      </c>
      <c r="O190" s="24">
        <f t="shared" si="39"/>
        <v>1.02</v>
      </c>
      <c r="P190" s="719" t="s">
        <v>3169</v>
      </c>
      <c r="Q190" s="24">
        <f t="shared" si="40"/>
        <v>1.04</v>
      </c>
      <c r="R190" s="715">
        <f t="shared" ca="1" si="41"/>
        <v>32258</v>
      </c>
      <c r="S190" s="361">
        <f t="shared" ca="1" si="42"/>
        <v>491</v>
      </c>
    </row>
    <row r="191" spans="1:19">
      <c r="A191" s="2962" t="str">
        <f>办公面积明细!B173</f>
        <v>4号楼11层3单元1107</v>
      </c>
      <c r="B191" s="59">
        <f>办公面积明细!C173</f>
        <v>245.8</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t="s">
        <v>3446</v>
      </c>
      <c r="O191" s="24">
        <f t="shared" si="39"/>
        <v>1.02</v>
      </c>
      <c r="P191" s="719" t="s">
        <v>3169</v>
      </c>
      <c r="Q191" s="24">
        <f t="shared" si="40"/>
        <v>1.04</v>
      </c>
      <c r="R191" s="715">
        <f t="shared" ca="1" si="41"/>
        <v>32258</v>
      </c>
      <c r="S191" s="361">
        <f t="shared" ca="1" si="42"/>
        <v>793</v>
      </c>
    </row>
    <row r="192" spans="1:19">
      <c r="A192" s="2962" t="str">
        <f>办公面积明细!B174</f>
        <v>4号楼12层3单元1201</v>
      </c>
      <c r="B192" s="59">
        <f>办公面积明细!C174</f>
        <v>366.01</v>
      </c>
      <c r="C192" s="24">
        <f t="shared" si="33"/>
        <v>1.01</v>
      </c>
      <c r="D192" s="719"/>
      <c r="E192" s="24">
        <f t="shared" si="34"/>
        <v>1</v>
      </c>
      <c r="F192" s="719"/>
      <c r="G192" s="24">
        <f t="shared" si="35"/>
        <v>1</v>
      </c>
      <c r="H192" s="719"/>
      <c r="I192" s="24">
        <f t="shared" si="36"/>
        <v>1</v>
      </c>
      <c r="J192" s="719"/>
      <c r="K192" s="24">
        <f t="shared" si="37"/>
        <v>1</v>
      </c>
      <c r="L192" s="719"/>
      <c r="M192" s="24">
        <f t="shared" si="38"/>
        <v>1</v>
      </c>
      <c r="N192" s="719" t="s">
        <v>3446</v>
      </c>
      <c r="O192" s="24">
        <f t="shared" si="39"/>
        <v>1.02</v>
      </c>
      <c r="P192" s="719" t="s">
        <v>3169</v>
      </c>
      <c r="Q192" s="24">
        <f t="shared" si="40"/>
        <v>1.04</v>
      </c>
      <c r="R192" s="715">
        <f t="shared" ca="1" si="41"/>
        <v>32580</v>
      </c>
      <c r="S192" s="361">
        <f t="shared" ca="1" si="42"/>
        <v>1192</v>
      </c>
    </row>
    <row r="193" spans="1:19">
      <c r="A193" s="2962" t="str">
        <f>办公面积明细!B175</f>
        <v>4号楼12层3单元1202</v>
      </c>
      <c r="B193" s="59">
        <f>办公面积明细!C175</f>
        <v>175.77</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t="s">
        <v>3446</v>
      </c>
      <c r="O193" s="24">
        <f t="shared" si="39"/>
        <v>1.02</v>
      </c>
      <c r="P193" s="719" t="s">
        <v>3169</v>
      </c>
      <c r="Q193" s="24">
        <f t="shared" si="40"/>
        <v>1.04</v>
      </c>
      <c r="R193" s="715">
        <f t="shared" ca="1" si="41"/>
        <v>32258</v>
      </c>
      <c r="S193" s="361">
        <f t="shared" ca="1" si="42"/>
        <v>567</v>
      </c>
    </row>
    <row r="194" spans="1:19">
      <c r="A194" s="2962" t="str">
        <f>办公面积明细!B176</f>
        <v>4号楼12层3单元1203</v>
      </c>
      <c r="B194" s="59">
        <f>办公面积明细!C176</f>
        <v>126.18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t="s">
        <v>3446</v>
      </c>
      <c r="O194" s="24">
        <f t="shared" si="39"/>
        <v>1.02</v>
      </c>
      <c r="P194" s="719" t="s">
        <v>3169</v>
      </c>
      <c r="Q194" s="24">
        <f t="shared" si="40"/>
        <v>1.04</v>
      </c>
      <c r="R194" s="715">
        <f t="shared" ca="1" si="41"/>
        <v>32258</v>
      </c>
      <c r="S194" s="361">
        <f t="shared" ca="1" si="42"/>
        <v>407</v>
      </c>
    </row>
    <row r="195" spans="1:19">
      <c r="A195" s="2962" t="str">
        <f>办公面积明细!B177</f>
        <v>4号楼12层3单元1204</v>
      </c>
      <c r="B195" s="59">
        <f>办公面积明细!C177</f>
        <v>105.47</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t="s">
        <v>3446</v>
      </c>
      <c r="O195" s="24">
        <f t="shared" si="39"/>
        <v>1.02</v>
      </c>
      <c r="P195" s="719" t="s">
        <v>3169</v>
      </c>
      <c r="Q195" s="24">
        <f t="shared" si="40"/>
        <v>1.04</v>
      </c>
      <c r="R195" s="715">
        <f t="shared" ca="1" si="41"/>
        <v>32258</v>
      </c>
      <c r="S195" s="361">
        <f t="shared" ca="1" si="42"/>
        <v>340</v>
      </c>
    </row>
    <row r="196" spans="1:19">
      <c r="A196" s="2962" t="str">
        <f>办公面积明细!B178</f>
        <v>4号楼12层3单元1205</v>
      </c>
      <c r="B196" s="59">
        <f>办公面积明细!C178</f>
        <v>314.70999999999998</v>
      </c>
      <c r="C196" s="24">
        <f t="shared" si="33"/>
        <v>1.01</v>
      </c>
      <c r="D196" s="719"/>
      <c r="E196" s="24">
        <f t="shared" si="34"/>
        <v>1</v>
      </c>
      <c r="F196" s="719"/>
      <c r="G196" s="24">
        <f t="shared" si="35"/>
        <v>1</v>
      </c>
      <c r="H196" s="719"/>
      <c r="I196" s="24">
        <f t="shared" si="36"/>
        <v>1</v>
      </c>
      <c r="J196" s="719"/>
      <c r="K196" s="24">
        <f t="shared" si="37"/>
        <v>1</v>
      </c>
      <c r="L196" s="719"/>
      <c r="M196" s="24">
        <f t="shared" si="38"/>
        <v>1</v>
      </c>
      <c r="N196" s="719" t="s">
        <v>3446</v>
      </c>
      <c r="O196" s="24">
        <f t="shared" si="39"/>
        <v>1.02</v>
      </c>
      <c r="P196" s="719" t="s">
        <v>3169</v>
      </c>
      <c r="Q196" s="24">
        <f t="shared" si="40"/>
        <v>1.04</v>
      </c>
      <c r="R196" s="715">
        <f t="shared" ca="1" si="41"/>
        <v>32580</v>
      </c>
      <c r="S196" s="361">
        <f t="shared" ca="1" si="42"/>
        <v>1025</v>
      </c>
    </row>
    <row r="197" spans="1:19">
      <c r="A197" s="2962" t="str">
        <f>办公面积明细!B179</f>
        <v>4号楼12层3单元1206</v>
      </c>
      <c r="B197" s="59">
        <f>办公面积明细!C179</f>
        <v>152.30000000000001</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t="s">
        <v>3446</v>
      </c>
      <c r="O197" s="24">
        <f t="shared" si="39"/>
        <v>1.02</v>
      </c>
      <c r="P197" s="719" t="s">
        <v>3169</v>
      </c>
      <c r="Q197" s="24">
        <f t="shared" si="40"/>
        <v>1.04</v>
      </c>
      <c r="R197" s="715">
        <f t="shared" ca="1" si="41"/>
        <v>32258</v>
      </c>
      <c r="S197" s="361">
        <f t="shared" ca="1" si="42"/>
        <v>491</v>
      </c>
    </row>
    <row r="198" spans="1:19">
      <c r="A198" s="2962" t="str">
        <f>办公面积明细!B180</f>
        <v>4号楼12层3单元1207</v>
      </c>
      <c r="B198" s="59">
        <f>办公面积明细!C180</f>
        <v>245.8</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t="s">
        <v>3446</v>
      </c>
      <c r="O198" s="24">
        <f t="shared" si="39"/>
        <v>1.02</v>
      </c>
      <c r="P198" s="719" t="s">
        <v>3169</v>
      </c>
      <c r="Q198" s="24">
        <f t="shared" si="40"/>
        <v>1.04</v>
      </c>
      <c r="R198" s="715">
        <f t="shared" ca="1" si="41"/>
        <v>32258</v>
      </c>
      <c r="S198" s="361">
        <f t="shared" ca="1" si="42"/>
        <v>793</v>
      </c>
    </row>
    <row r="199" spans="1:19">
      <c r="A199" s="2962" t="str">
        <f>办公面积明细!B181</f>
        <v>4号楼13层3单元1301</v>
      </c>
      <c r="B199" s="59">
        <f>办公面积明细!C181</f>
        <v>366.01</v>
      </c>
      <c r="C199" s="24">
        <f t="shared" si="33"/>
        <v>1.01</v>
      </c>
      <c r="D199" s="719"/>
      <c r="E199" s="24">
        <f t="shared" si="34"/>
        <v>1</v>
      </c>
      <c r="F199" s="719"/>
      <c r="G199" s="24">
        <f t="shared" si="35"/>
        <v>1</v>
      </c>
      <c r="H199" s="719"/>
      <c r="I199" s="24">
        <f t="shared" si="36"/>
        <v>1</v>
      </c>
      <c r="J199" s="719"/>
      <c r="K199" s="24">
        <f t="shared" si="37"/>
        <v>1</v>
      </c>
      <c r="L199" s="719"/>
      <c r="M199" s="24">
        <f t="shared" si="38"/>
        <v>1</v>
      </c>
      <c r="N199" s="719" t="s">
        <v>3446</v>
      </c>
      <c r="O199" s="24">
        <f t="shared" si="39"/>
        <v>1.02</v>
      </c>
      <c r="P199" s="719" t="s">
        <v>3169</v>
      </c>
      <c r="Q199" s="24">
        <f t="shared" si="40"/>
        <v>1.04</v>
      </c>
      <c r="R199" s="715">
        <f t="shared" ca="1" si="41"/>
        <v>32580</v>
      </c>
      <c r="S199" s="361">
        <f t="shared" ca="1" si="42"/>
        <v>1192</v>
      </c>
    </row>
    <row r="200" spans="1:19">
      <c r="A200" s="2962" t="str">
        <f>办公面积明细!B182</f>
        <v>4号楼13层3单元1302</v>
      </c>
      <c r="B200" s="59">
        <f>办公面积明细!C182</f>
        <v>175.77</v>
      </c>
      <c r="C200" s="24">
        <f t="shared" si="33"/>
        <v>1</v>
      </c>
      <c r="D200" s="719"/>
      <c r="E200" s="24">
        <f t="shared" si="34"/>
        <v>1</v>
      </c>
      <c r="F200" s="719"/>
      <c r="G200" s="24">
        <f t="shared" si="35"/>
        <v>1</v>
      </c>
      <c r="H200" s="719"/>
      <c r="I200" s="24">
        <f t="shared" si="36"/>
        <v>1</v>
      </c>
      <c r="J200" s="719"/>
      <c r="K200" s="24">
        <f t="shared" si="37"/>
        <v>1</v>
      </c>
      <c r="L200" s="719"/>
      <c r="M200" s="24">
        <f t="shared" si="38"/>
        <v>1</v>
      </c>
      <c r="N200" s="719" t="s">
        <v>3446</v>
      </c>
      <c r="O200" s="24">
        <f t="shared" si="39"/>
        <v>1.02</v>
      </c>
      <c r="P200" s="719" t="s">
        <v>3169</v>
      </c>
      <c r="Q200" s="24">
        <f t="shared" si="40"/>
        <v>1.04</v>
      </c>
      <c r="R200" s="715">
        <f t="shared" ca="1" si="41"/>
        <v>32258</v>
      </c>
      <c r="S200" s="361">
        <f t="shared" ca="1" si="42"/>
        <v>567</v>
      </c>
    </row>
    <row r="201" spans="1:19">
      <c r="A201" s="2962" t="str">
        <f>办公面积明细!B183</f>
        <v>4号楼13层3单元1303</v>
      </c>
      <c r="B201" s="59">
        <f>办公面积明细!C183</f>
        <v>126.18</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t="s">
        <v>3446</v>
      </c>
      <c r="O201" s="24">
        <f t="shared" si="39"/>
        <v>1.02</v>
      </c>
      <c r="P201" s="719" t="s">
        <v>3169</v>
      </c>
      <c r="Q201" s="24">
        <f t="shared" si="40"/>
        <v>1.04</v>
      </c>
      <c r="R201" s="715">
        <f t="shared" ca="1" si="41"/>
        <v>32258</v>
      </c>
      <c r="S201" s="361">
        <f t="shared" ca="1" si="42"/>
        <v>407</v>
      </c>
    </row>
    <row r="202" spans="1:19">
      <c r="A202" s="2962" t="str">
        <f>办公面积明细!B184</f>
        <v>4号楼13层3单元1304</v>
      </c>
      <c r="B202" s="59">
        <f>办公面积明细!C184</f>
        <v>105.47</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t="s">
        <v>3446</v>
      </c>
      <c r="O202" s="24">
        <f t="shared" si="39"/>
        <v>1.02</v>
      </c>
      <c r="P202" s="719" t="s">
        <v>3169</v>
      </c>
      <c r="Q202" s="24">
        <f t="shared" si="40"/>
        <v>1.04</v>
      </c>
      <c r="R202" s="715">
        <f t="shared" ca="1" si="41"/>
        <v>32258</v>
      </c>
      <c r="S202" s="361">
        <f t="shared" ca="1" si="42"/>
        <v>340</v>
      </c>
    </row>
    <row r="203" spans="1:19">
      <c r="A203" s="2962" t="str">
        <f>办公面积明细!B185</f>
        <v>4号楼13层3单元1305</v>
      </c>
      <c r="B203" s="59">
        <f>办公面积明细!C185</f>
        <v>314.70999999999998</v>
      </c>
      <c r="C203" s="24">
        <f t="shared" si="33"/>
        <v>1.01</v>
      </c>
      <c r="D203" s="719"/>
      <c r="E203" s="24">
        <f t="shared" si="34"/>
        <v>1</v>
      </c>
      <c r="F203" s="719"/>
      <c r="G203" s="24">
        <f t="shared" si="35"/>
        <v>1</v>
      </c>
      <c r="H203" s="719"/>
      <c r="I203" s="24">
        <f t="shared" si="36"/>
        <v>1</v>
      </c>
      <c r="J203" s="719"/>
      <c r="K203" s="24">
        <f t="shared" si="37"/>
        <v>1</v>
      </c>
      <c r="L203" s="719"/>
      <c r="M203" s="24">
        <f t="shared" si="38"/>
        <v>1</v>
      </c>
      <c r="N203" s="719" t="s">
        <v>3446</v>
      </c>
      <c r="O203" s="24">
        <f t="shared" si="39"/>
        <v>1.02</v>
      </c>
      <c r="P203" s="719" t="s">
        <v>3169</v>
      </c>
      <c r="Q203" s="24">
        <f t="shared" si="40"/>
        <v>1.04</v>
      </c>
      <c r="R203" s="715">
        <f t="shared" ca="1" si="41"/>
        <v>32580</v>
      </c>
      <c r="S203" s="361">
        <f t="shared" ca="1" si="42"/>
        <v>1025</v>
      </c>
    </row>
    <row r="204" spans="1:19">
      <c r="A204" s="2962" t="str">
        <f>办公面积明细!B186</f>
        <v>4号楼13层3单元1306</v>
      </c>
      <c r="B204" s="59">
        <f>办公面积明细!C186</f>
        <v>152.30000000000001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t="s">
        <v>3446</v>
      </c>
      <c r="O204" s="24">
        <f t="shared" si="39"/>
        <v>1.02</v>
      </c>
      <c r="P204" s="719" t="s">
        <v>3169</v>
      </c>
      <c r="Q204" s="24">
        <f t="shared" si="40"/>
        <v>1.04</v>
      </c>
      <c r="R204" s="715">
        <f t="shared" ca="1" si="41"/>
        <v>32258</v>
      </c>
      <c r="S204" s="361">
        <f t="shared" ca="1" si="42"/>
        <v>491</v>
      </c>
    </row>
    <row r="205" spans="1:19">
      <c r="A205" s="2962" t="str">
        <f>办公面积明细!B187</f>
        <v>4号楼13层3单元1307</v>
      </c>
      <c r="B205" s="59">
        <f>办公面积明细!C187</f>
        <v>245.8</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t="s">
        <v>3446</v>
      </c>
      <c r="O205" s="24">
        <f t="shared" si="39"/>
        <v>1.02</v>
      </c>
      <c r="P205" s="719" t="s">
        <v>3169</v>
      </c>
      <c r="Q205" s="24">
        <f t="shared" si="40"/>
        <v>1.04</v>
      </c>
      <c r="R205" s="715">
        <f t="shared" ca="1" si="41"/>
        <v>32258</v>
      </c>
      <c r="S205" s="361">
        <f t="shared" ca="1" si="42"/>
        <v>793</v>
      </c>
    </row>
    <row r="206" spans="1:19">
      <c r="A206" s="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0.02</v>
      </c>
      <c r="P206" s="719"/>
      <c r="Q206" s="24">
        <f t="shared" si="40"/>
        <v>0.04</v>
      </c>
      <c r="R206" s="715">
        <f t="shared" si="41"/>
        <v>0</v>
      </c>
      <c r="S206" s="361">
        <f t="shared" si="42"/>
        <v>0</v>
      </c>
    </row>
    <row r="207" spans="1:19">
      <c r="A207" s="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0.02</v>
      </c>
      <c r="P207" s="719"/>
      <c r="Q207" s="24">
        <f t="shared" si="40"/>
        <v>0.04</v>
      </c>
      <c r="R207" s="715">
        <f t="shared" si="41"/>
        <v>0</v>
      </c>
      <c r="S207" s="361">
        <f t="shared" si="42"/>
        <v>0</v>
      </c>
    </row>
    <row r="208" spans="1:19">
      <c r="A208" s="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0.02</v>
      </c>
      <c r="P208" s="719"/>
      <c r="Q208" s="24">
        <f t="shared" si="40"/>
        <v>0.04</v>
      </c>
      <c r="R208" s="715">
        <f t="shared" si="41"/>
        <v>0</v>
      </c>
      <c r="S208" s="361">
        <f t="shared" si="42"/>
        <v>0</v>
      </c>
    </row>
    <row r="209" spans="1:19">
      <c r="A209" s="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0.02</v>
      </c>
      <c r="P209" s="719"/>
      <c r="Q209" s="24">
        <f t="shared" si="40"/>
        <v>0.04</v>
      </c>
      <c r="R209" s="715">
        <f t="shared" si="41"/>
        <v>0</v>
      </c>
      <c r="S209" s="361">
        <f t="shared" si="42"/>
        <v>0</v>
      </c>
    </row>
    <row r="210" spans="1:19">
      <c r="A210" s="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0.02</v>
      </c>
      <c r="P210" s="719"/>
      <c r="Q210" s="24">
        <f t="shared" si="40"/>
        <v>0.04</v>
      </c>
      <c r="R210" s="715">
        <f t="shared" si="41"/>
        <v>0</v>
      </c>
      <c r="S210" s="361">
        <f t="shared" si="42"/>
        <v>0</v>
      </c>
    </row>
    <row r="211" spans="1:19">
      <c r="A211" s="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0.02</v>
      </c>
      <c r="P211" s="719"/>
      <c r="Q211" s="24">
        <f t="shared" si="40"/>
        <v>0.04</v>
      </c>
      <c r="R211" s="715">
        <f t="shared" si="41"/>
        <v>0</v>
      </c>
      <c r="S211" s="361">
        <f t="shared" si="42"/>
        <v>0</v>
      </c>
    </row>
    <row r="212" spans="1:19">
      <c r="A212" s="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0.02</v>
      </c>
      <c r="P212" s="719"/>
      <c r="Q212" s="24">
        <f t="shared" si="40"/>
        <v>0.04</v>
      </c>
      <c r="R212" s="715">
        <f t="shared" si="41"/>
        <v>0</v>
      </c>
      <c r="S212" s="361">
        <f t="shared" si="42"/>
        <v>0</v>
      </c>
    </row>
    <row r="213" spans="1:19">
      <c r="A213" s="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0.02</v>
      </c>
      <c r="P213" s="719"/>
      <c r="Q213" s="24">
        <f t="shared" si="40"/>
        <v>0.04</v>
      </c>
      <c r="R213" s="715">
        <f t="shared" si="41"/>
        <v>0</v>
      </c>
      <c r="S213" s="361">
        <f t="shared" si="42"/>
        <v>0</v>
      </c>
    </row>
    <row r="214" spans="1:19">
      <c r="A214" s="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0.02</v>
      </c>
      <c r="P214" s="719"/>
      <c r="Q214" s="24">
        <f t="shared" si="40"/>
        <v>0.04</v>
      </c>
      <c r="R214" s="715">
        <f t="shared" si="41"/>
        <v>0</v>
      </c>
      <c r="S214" s="361">
        <f t="shared" si="42"/>
        <v>0</v>
      </c>
    </row>
    <row r="215" spans="1:19">
      <c r="A215" s="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0.02</v>
      </c>
      <c r="P215" s="719"/>
      <c r="Q215" s="24">
        <f t="shared" si="40"/>
        <v>0.04</v>
      </c>
      <c r="R215" s="715">
        <f t="shared" si="41"/>
        <v>0</v>
      </c>
      <c r="S215" s="361">
        <f t="shared" si="42"/>
        <v>0</v>
      </c>
    </row>
    <row r="216" spans="1:19">
      <c r="A216" s="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0.02</v>
      </c>
      <c r="P216" s="719"/>
      <c r="Q216" s="24">
        <f t="shared" si="40"/>
        <v>0.04</v>
      </c>
      <c r="R216" s="715">
        <f t="shared" si="41"/>
        <v>0</v>
      </c>
      <c r="S216" s="361">
        <f t="shared" si="42"/>
        <v>0</v>
      </c>
    </row>
    <row r="217" spans="1:19">
      <c r="A217" s="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0.02</v>
      </c>
      <c r="P217" s="719"/>
      <c r="Q217" s="24">
        <f t="shared" si="40"/>
        <v>0.04</v>
      </c>
      <c r="R217" s="715">
        <f t="shared" si="41"/>
        <v>0</v>
      </c>
      <c r="S217" s="361">
        <f t="shared" si="42"/>
        <v>0</v>
      </c>
    </row>
    <row r="218" spans="1:19">
      <c r="A218" s="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0.02</v>
      </c>
      <c r="P218" s="719"/>
      <c r="Q218" s="24">
        <f t="shared" ref="Q218:Q281" si="50">(SUMIF($17:$17,P218,$18:$18)-SUMIF($17:$17,$P$24,$18:$18)+100)/100</f>
        <v>0.04</v>
      </c>
      <c r="R218" s="715">
        <f t="shared" ref="R218:R281" si="51">IF(B218="",0,ROUND($R$24*C218*E218*G218*I218*K218*M218*O218*Q218,0))</f>
        <v>0</v>
      </c>
      <c r="S218" s="361">
        <f t="shared" si="42"/>
        <v>0</v>
      </c>
    </row>
    <row r="219" spans="1:19">
      <c r="A219" s="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0.02</v>
      </c>
      <c r="P219" s="719"/>
      <c r="Q219" s="24">
        <f t="shared" si="50"/>
        <v>0.04</v>
      </c>
      <c r="R219" s="715">
        <f t="shared" si="51"/>
        <v>0</v>
      </c>
      <c r="S219" s="361">
        <f t="shared" si="42"/>
        <v>0</v>
      </c>
    </row>
    <row r="220" spans="1:19">
      <c r="A220" s="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0.02</v>
      </c>
      <c r="P220" s="719"/>
      <c r="Q220" s="24">
        <f t="shared" si="50"/>
        <v>0.04</v>
      </c>
      <c r="R220" s="715">
        <f t="shared" si="51"/>
        <v>0</v>
      </c>
      <c r="S220" s="361">
        <f t="shared" si="42"/>
        <v>0</v>
      </c>
    </row>
    <row r="221" spans="1:19">
      <c r="A221" s="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0.02</v>
      </c>
      <c r="P221" s="719"/>
      <c r="Q221" s="24">
        <f t="shared" si="50"/>
        <v>0.04</v>
      </c>
      <c r="R221" s="715">
        <f t="shared" si="51"/>
        <v>0</v>
      </c>
      <c r="S221" s="361">
        <f t="shared" si="42"/>
        <v>0</v>
      </c>
    </row>
    <row r="222" spans="1:19">
      <c r="A222" s="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0.02</v>
      </c>
      <c r="P222" s="719"/>
      <c r="Q222" s="24">
        <f t="shared" si="50"/>
        <v>0.04</v>
      </c>
      <c r="R222" s="715">
        <f t="shared" si="51"/>
        <v>0</v>
      </c>
      <c r="S222" s="361">
        <f t="shared" si="42"/>
        <v>0</v>
      </c>
    </row>
    <row r="223" spans="1:19">
      <c r="A223" s="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0.02</v>
      </c>
      <c r="P223" s="719"/>
      <c r="Q223" s="24">
        <f t="shared" si="50"/>
        <v>0.04</v>
      </c>
      <c r="R223" s="715">
        <f t="shared" si="51"/>
        <v>0</v>
      </c>
      <c r="S223" s="361">
        <f t="shared" ref="S223:S286" si="52">ROUND(R223*B223/10000,0)</f>
        <v>0</v>
      </c>
    </row>
    <row r="224" spans="1:19">
      <c r="A224" s="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0.02</v>
      </c>
      <c r="P224" s="719"/>
      <c r="Q224" s="24">
        <f t="shared" si="50"/>
        <v>0.04</v>
      </c>
      <c r="R224" s="715">
        <f t="shared" si="51"/>
        <v>0</v>
      </c>
      <c r="S224" s="361">
        <f t="shared" si="52"/>
        <v>0</v>
      </c>
    </row>
    <row r="225" spans="1:19">
      <c r="A225" s="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0.02</v>
      </c>
      <c r="P225" s="719"/>
      <c r="Q225" s="24">
        <f t="shared" si="50"/>
        <v>0.04</v>
      </c>
      <c r="R225" s="715">
        <f t="shared" si="51"/>
        <v>0</v>
      </c>
      <c r="S225" s="361">
        <f t="shared" si="52"/>
        <v>0</v>
      </c>
    </row>
    <row r="226" spans="1:19">
      <c r="A226" s="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0.02</v>
      </c>
      <c r="P226" s="719"/>
      <c r="Q226" s="24">
        <f t="shared" si="50"/>
        <v>0.04</v>
      </c>
      <c r="R226" s="715">
        <f t="shared" si="51"/>
        <v>0</v>
      </c>
      <c r="S226" s="361">
        <f t="shared" si="52"/>
        <v>0</v>
      </c>
    </row>
    <row r="227" spans="1:19">
      <c r="A227" s="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0.02</v>
      </c>
      <c r="P227" s="719"/>
      <c r="Q227" s="24">
        <f t="shared" si="50"/>
        <v>0.04</v>
      </c>
      <c r="R227" s="715">
        <f t="shared" si="51"/>
        <v>0</v>
      </c>
      <c r="S227" s="361">
        <f t="shared" si="52"/>
        <v>0</v>
      </c>
    </row>
    <row r="228" spans="1:19">
      <c r="A228" s="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0.02</v>
      </c>
      <c r="P228" s="719"/>
      <c r="Q228" s="24">
        <f t="shared" si="50"/>
        <v>0.04</v>
      </c>
      <c r="R228" s="715">
        <f t="shared" si="51"/>
        <v>0</v>
      </c>
      <c r="S228" s="361">
        <f t="shared" si="52"/>
        <v>0</v>
      </c>
    </row>
    <row r="229" spans="1:19">
      <c r="A229" s="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0.02</v>
      </c>
      <c r="P229" s="719"/>
      <c r="Q229" s="24">
        <f t="shared" si="50"/>
        <v>0.04</v>
      </c>
      <c r="R229" s="715">
        <f t="shared" si="51"/>
        <v>0</v>
      </c>
      <c r="S229" s="361">
        <f t="shared" si="52"/>
        <v>0</v>
      </c>
    </row>
    <row r="230" spans="1:19">
      <c r="A230" s="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0.02</v>
      </c>
      <c r="P230" s="719"/>
      <c r="Q230" s="24">
        <f t="shared" si="50"/>
        <v>0.04</v>
      </c>
      <c r="R230" s="715">
        <f t="shared" si="51"/>
        <v>0</v>
      </c>
      <c r="S230" s="361">
        <f t="shared" si="52"/>
        <v>0</v>
      </c>
    </row>
    <row r="231" spans="1:19">
      <c r="A231" s="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0.02</v>
      </c>
      <c r="P231" s="719"/>
      <c r="Q231" s="24">
        <f t="shared" si="50"/>
        <v>0.04</v>
      </c>
      <c r="R231" s="715">
        <f t="shared" si="51"/>
        <v>0</v>
      </c>
      <c r="S231" s="361">
        <f t="shared" si="52"/>
        <v>0</v>
      </c>
    </row>
    <row r="232" spans="1:19">
      <c r="A232" s="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0.02</v>
      </c>
      <c r="P232" s="719"/>
      <c r="Q232" s="24">
        <f t="shared" si="50"/>
        <v>0.04</v>
      </c>
      <c r="R232" s="715">
        <f t="shared" si="51"/>
        <v>0</v>
      </c>
      <c r="S232" s="361">
        <f t="shared" si="52"/>
        <v>0</v>
      </c>
    </row>
    <row r="233" spans="1:19">
      <c r="A233" s="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0.02</v>
      </c>
      <c r="P233" s="719"/>
      <c r="Q233" s="24">
        <f t="shared" si="50"/>
        <v>0.04</v>
      </c>
      <c r="R233" s="715">
        <f t="shared" si="51"/>
        <v>0</v>
      </c>
      <c r="S233" s="361">
        <f t="shared" si="52"/>
        <v>0</v>
      </c>
    </row>
    <row r="234" spans="1:19">
      <c r="A234" s="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0.02</v>
      </c>
      <c r="P234" s="719"/>
      <c r="Q234" s="24">
        <f t="shared" si="50"/>
        <v>0.04</v>
      </c>
      <c r="R234" s="715">
        <f t="shared" si="51"/>
        <v>0</v>
      </c>
      <c r="S234" s="361">
        <f t="shared" si="52"/>
        <v>0</v>
      </c>
    </row>
    <row r="235" spans="1:19">
      <c r="A235" s="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0.02</v>
      </c>
      <c r="P235" s="719"/>
      <c r="Q235" s="24">
        <f t="shared" si="50"/>
        <v>0.04</v>
      </c>
      <c r="R235" s="715">
        <f t="shared" si="51"/>
        <v>0</v>
      </c>
      <c r="S235" s="361">
        <f t="shared" si="52"/>
        <v>0</v>
      </c>
    </row>
    <row r="236" spans="1:19">
      <c r="A236" s="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0.02</v>
      </c>
      <c r="P236" s="719"/>
      <c r="Q236" s="24">
        <f t="shared" si="50"/>
        <v>0.04</v>
      </c>
      <c r="R236" s="715">
        <f t="shared" si="51"/>
        <v>0</v>
      </c>
      <c r="S236" s="361">
        <f t="shared" si="52"/>
        <v>0</v>
      </c>
    </row>
    <row r="237" spans="1:19">
      <c r="A237" s="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0.02</v>
      </c>
      <c r="P237" s="719"/>
      <c r="Q237" s="24">
        <f t="shared" si="50"/>
        <v>0.04</v>
      </c>
      <c r="R237" s="715">
        <f t="shared" si="51"/>
        <v>0</v>
      </c>
      <c r="S237" s="361">
        <f t="shared" si="52"/>
        <v>0</v>
      </c>
    </row>
    <row r="238" spans="1:19">
      <c r="A238" s="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0.02</v>
      </c>
      <c r="P238" s="719"/>
      <c r="Q238" s="24">
        <f t="shared" si="50"/>
        <v>0.04</v>
      </c>
      <c r="R238" s="715">
        <f t="shared" si="51"/>
        <v>0</v>
      </c>
      <c r="S238" s="361">
        <f t="shared" si="52"/>
        <v>0</v>
      </c>
    </row>
    <row r="239" spans="1:19">
      <c r="A239" s="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0.02</v>
      </c>
      <c r="P239" s="719"/>
      <c r="Q239" s="24">
        <f t="shared" si="50"/>
        <v>0.04</v>
      </c>
      <c r="R239" s="715">
        <f t="shared" si="51"/>
        <v>0</v>
      </c>
      <c r="S239" s="361">
        <f t="shared" si="52"/>
        <v>0</v>
      </c>
    </row>
    <row r="240" spans="1:19">
      <c r="A240" s="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0.02</v>
      </c>
      <c r="P240" s="719"/>
      <c r="Q240" s="24">
        <f t="shared" si="50"/>
        <v>0.04</v>
      </c>
      <c r="R240" s="715">
        <f t="shared" si="51"/>
        <v>0</v>
      </c>
      <c r="S240" s="361">
        <f t="shared" si="52"/>
        <v>0</v>
      </c>
    </row>
    <row r="241" spans="1:19">
      <c r="A241" s="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0.02</v>
      </c>
      <c r="P241" s="719"/>
      <c r="Q241" s="24">
        <f t="shared" si="50"/>
        <v>0.04</v>
      </c>
      <c r="R241" s="715">
        <f t="shared" si="51"/>
        <v>0</v>
      </c>
      <c r="S241" s="361">
        <f t="shared" si="52"/>
        <v>0</v>
      </c>
    </row>
    <row r="242" spans="1:19">
      <c r="A242" s="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0.02</v>
      </c>
      <c r="P242" s="719"/>
      <c r="Q242" s="24">
        <f t="shared" si="50"/>
        <v>0.04</v>
      </c>
      <c r="R242" s="715">
        <f t="shared" si="51"/>
        <v>0</v>
      </c>
      <c r="S242" s="361">
        <f t="shared" si="52"/>
        <v>0</v>
      </c>
    </row>
    <row r="243" spans="1:19">
      <c r="A243" s="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0.02</v>
      </c>
      <c r="P243" s="719"/>
      <c r="Q243" s="24">
        <f t="shared" si="50"/>
        <v>0.04</v>
      </c>
      <c r="R243" s="715">
        <f t="shared" si="51"/>
        <v>0</v>
      </c>
      <c r="S243" s="361">
        <f t="shared" si="52"/>
        <v>0</v>
      </c>
    </row>
    <row r="244" spans="1:19">
      <c r="A244" s="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0.02</v>
      </c>
      <c r="P244" s="719"/>
      <c r="Q244" s="24">
        <f t="shared" si="50"/>
        <v>0.04</v>
      </c>
      <c r="R244" s="715">
        <f t="shared" si="51"/>
        <v>0</v>
      </c>
      <c r="S244" s="361">
        <f t="shared" si="52"/>
        <v>0</v>
      </c>
    </row>
    <row r="245" spans="1:19">
      <c r="A245" s="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0.02</v>
      </c>
      <c r="P245" s="719"/>
      <c r="Q245" s="24">
        <f t="shared" si="50"/>
        <v>0.04</v>
      </c>
      <c r="R245" s="715">
        <f t="shared" si="51"/>
        <v>0</v>
      </c>
      <c r="S245" s="361">
        <f t="shared" si="52"/>
        <v>0</v>
      </c>
    </row>
    <row r="246" spans="1:19">
      <c r="A246" s="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0.02</v>
      </c>
      <c r="P246" s="719"/>
      <c r="Q246" s="24">
        <f t="shared" si="50"/>
        <v>0.04</v>
      </c>
      <c r="R246" s="715">
        <f t="shared" si="51"/>
        <v>0</v>
      </c>
      <c r="S246" s="361">
        <f t="shared" si="52"/>
        <v>0</v>
      </c>
    </row>
    <row r="247" spans="1:19">
      <c r="A247" s="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0.02</v>
      </c>
      <c r="P247" s="719"/>
      <c r="Q247" s="24">
        <f t="shared" si="50"/>
        <v>0.04</v>
      </c>
      <c r="R247" s="715">
        <f t="shared" si="51"/>
        <v>0</v>
      </c>
      <c r="S247" s="361">
        <f t="shared" si="52"/>
        <v>0</v>
      </c>
    </row>
    <row r="248" spans="1:19">
      <c r="A248" s="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0.02</v>
      </c>
      <c r="P248" s="719"/>
      <c r="Q248" s="24">
        <f t="shared" si="50"/>
        <v>0.04</v>
      </c>
      <c r="R248" s="715">
        <f t="shared" si="51"/>
        <v>0</v>
      </c>
      <c r="S248" s="361">
        <f t="shared" si="52"/>
        <v>0</v>
      </c>
    </row>
    <row r="249" spans="1:19">
      <c r="A249" s="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0.02</v>
      </c>
      <c r="P249" s="719"/>
      <c r="Q249" s="24">
        <f t="shared" si="50"/>
        <v>0.04</v>
      </c>
      <c r="R249" s="715">
        <f t="shared" si="51"/>
        <v>0</v>
      </c>
      <c r="S249" s="361">
        <f t="shared" si="52"/>
        <v>0</v>
      </c>
    </row>
    <row r="250" spans="1:19">
      <c r="A250" s="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0.02</v>
      </c>
      <c r="P250" s="719"/>
      <c r="Q250" s="24">
        <f t="shared" si="50"/>
        <v>0.04</v>
      </c>
      <c r="R250" s="715">
        <f t="shared" si="51"/>
        <v>0</v>
      </c>
      <c r="S250" s="361">
        <f t="shared" si="52"/>
        <v>0</v>
      </c>
    </row>
    <row r="251" spans="1:19">
      <c r="A251" s="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0.02</v>
      </c>
      <c r="P251" s="719"/>
      <c r="Q251" s="24">
        <f t="shared" si="50"/>
        <v>0.04</v>
      </c>
      <c r="R251" s="715">
        <f t="shared" si="51"/>
        <v>0</v>
      </c>
      <c r="S251" s="361">
        <f t="shared" si="52"/>
        <v>0</v>
      </c>
    </row>
    <row r="252" spans="1:19">
      <c r="A252" s="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0.02</v>
      </c>
      <c r="P252" s="719"/>
      <c r="Q252" s="24">
        <f t="shared" si="50"/>
        <v>0.04</v>
      </c>
      <c r="R252" s="715">
        <f t="shared" si="51"/>
        <v>0</v>
      </c>
      <c r="S252" s="361">
        <f t="shared" si="52"/>
        <v>0</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0.02</v>
      </c>
      <c r="P253" s="719"/>
      <c r="Q253" s="24">
        <f t="shared" si="50"/>
        <v>0.04</v>
      </c>
      <c r="R253" s="715">
        <f t="shared" si="51"/>
        <v>0</v>
      </c>
      <c r="S253" s="361">
        <f t="shared" si="52"/>
        <v>0</v>
      </c>
    </row>
    <row r="254" spans="1:19">
      <c r="A254" s="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0.02</v>
      </c>
      <c r="P254" s="719"/>
      <c r="Q254" s="24">
        <f t="shared" si="50"/>
        <v>0.04</v>
      </c>
      <c r="R254" s="715">
        <f t="shared" si="51"/>
        <v>0</v>
      </c>
      <c r="S254" s="361">
        <f t="shared" si="52"/>
        <v>0</v>
      </c>
    </row>
    <row r="255" spans="1:19">
      <c r="A255" s="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0.02</v>
      </c>
      <c r="P255" s="719"/>
      <c r="Q255" s="24">
        <f t="shared" si="50"/>
        <v>0.04</v>
      </c>
      <c r="R255" s="715">
        <f t="shared" si="51"/>
        <v>0</v>
      </c>
      <c r="S255" s="361">
        <f t="shared" si="52"/>
        <v>0</v>
      </c>
    </row>
    <row r="256" spans="1:19">
      <c r="A256" s="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0.02</v>
      </c>
      <c r="P256" s="719"/>
      <c r="Q256" s="24">
        <f t="shared" si="50"/>
        <v>0.04</v>
      </c>
      <c r="R256" s="715">
        <f t="shared" si="51"/>
        <v>0</v>
      </c>
      <c r="S256" s="361">
        <f t="shared" si="52"/>
        <v>0</v>
      </c>
    </row>
    <row r="257" spans="1:19">
      <c r="A257" s="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0.02</v>
      </c>
      <c r="P257" s="719"/>
      <c r="Q257" s="24">
        <f t="shared" si="50"/>
        <v>0.04</v>
      </c>
      <c r="R257" s="715">
        <f t="shared" si="51"/>
        <v>0</v>
      </c>
      <c r="S257" s="361">
        <f t="shared" si="52"/>
        <v>0</v>
      </c>
    </row>
    <row r="258" spans="1:19">
      <c r="A258" s="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0.02</v>
      </c>
      <c r="P258" s="719"/>
      <c r="Q258" s="24">
        <f t="shared" si="50"/>
        <v>0.04</v>
      </c>
      <c r="R258" s="715">
        <f t="shared" si="51"/>
        <v>0</v>
      </c>
      <c r="S258" s="361">
        <f t="shared" si="52"/>
        <v>0</v>
      </c>
    </row>
    <row r="259" spans="1:19">
      <c r="A259" s="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0.02</v>
      </c>
      <c r="P259" s="719"/>
      <c r="Q259" s="24">
        <f t="shared" si="50"/>
        <v>0.04</v>
      </c>
      <c r="R259" s="715">
        <f t="shared" si="51"/>
        <v>0</v>
      </c>
      <c r="S259" s="361">
        <f t="shared" si="52"/>
        <v>0</v>
      </c>
    </row>
    <row r="260" spans="1:19">
      <c r="A260" s="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0.02</v>
      </c>
      <c r="P260" s="719"/>
      <c r="Q260" s="24">
        <f t="shared" si="50"/>
        <v>0.04</v>
      </c>
      <c r="R260" s="715">
        <f t="shared" si="51"/>
        <v>0</v>
      </c>
      <c r="S260" s="361">
        <f t="shared" si="52"/>
        <v>0</v>
      </c>
    </row>
    <row r="261" spans="1:19">
      <c r="A261" s="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0.02</v>
      </c>
      <c r="P261" s="719"/>
      <c r="Q261" s="24">
        <f t="shared" si="50"/>
        <v>0.04</v>
      </c>
      <c r="R261" s="715">
        <f t="shared" si="51"/>
        <v>0</v>
      </c>
      <c r="S261" s="361">
        <f t="shared" si="52"/>
        <v>0</v>
      </c>
    </row>
    <row r="262" spans="1:19">
      <c r="A262" s="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0.02</v>
      </c>
      <c r="P262" s="719"/>
      <c r="Q262" s="24">
        <f t="shared" si="50"/>
        <v>0.04</v>
      </c>
      <c r="R262" s="715">
        <f t="shared" si="51"/>
        <v>0</v>
      </c>
      <c r="S262" s="361">
        <f t="shared" si="52"/>
        <v>0</v>
      </c>
    </row>
    <row r="263" spans="1:19">
      <c r="A263" s="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0.02</v>
      </c>
      <c r="P263" s="719"/>
      <c r="Q263" s="24">
        <f t="shared" si="50"/>
        <v>0.04</v>
      </c>
      <c r="R263" s="715">
        <f t="shared" si="51"/>
        <v>0</v>
      </c>
      <c r="S263" s="361">
        <f t="shared" si="52"/>
        <v>0</v>
      </c>
    </row>
    <row r="264" spans="1:19">
      <c r="A264" s="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0.02</v>
      </c>
      <c r="P264" s="719"/>
      <c r="Q264" s="24">
        <f t="shared" si="50"/>
        <v>0.04</v>
      </c>
      <c r="R264" s="715">
        <f t="shared" si="51"/>
        <v>0</v>
      </c>
      <c r="S264" s="361">
        <f t="shared" si="52"/>
        <v>0</v>
      </c>
    </row>
    <row r="265" spans="1:19">
      <c r="A265" s="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0.02</v>
      </c>
      <c r="P265" s="719"/>
      <c r="Q265" s="24">
        <f t="shared" si="50"/>
        <v>0.04</v>
      </c>
      <c r="R265" s="715">
        <f t="shared" si="51"/>
        <v>0</v>
      </c>
      <c r="S265" s="361">
        <f t="shared" si="52"/>
        <v>0</v>
      </c>
    </row>
    <row r="266" spans="1:19">
      <c r="A266" s="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0.02</v>
      </c>
      <c r="P266" s="719"/>
      <c r="Q266" s="24">
        <f t="shared" si="50"/>
        <v>0.04</v>
      </c>
      <c r="R266" s="715">
        <f t="shared" si="51"/>
        <v>0</v>
      </c>
      <c r="S266" s="361">
        <f t="shared" si="52"/>
        <v>0</v>
      </c>
    </row>
    <row r="267" spans="1:19">
      <c r="A267" s="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0.02</v>
      </c>
      <c r="P267" s="719"/>
      <c r="Q267" s="24">
        <f t="shared" si="50"/>
        <v>0.04</v>
      </c>
      <c r="R267" s="715">
        <f t="shared" si="51"/>
        <v>0</v>
      </c>
      <c r="S267" s="361">
        <f t="shared" si="52"/>
        <v>0</v>
      </c>
    </row>
    <row r="268" spans="1:19">
      <c r="A268" s="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0.02</v>
      </c>
      <c r="P268" s="719"/>
      <c r="Q268" s="24">
        <f t="shared" si="50"/>
        <v>0.04</v>
      </c>
      <c r="R268" s="715">
        <f t="shared" si="51"/>
        <v>0</v>
      </c>
      <c r="S268" s="361">
        <f t="shared" si="52"/>
        <v>0</v>
      </c>
    </row>
    <row r="269" spans="1:19">
      <c r="A269" s="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0.02</v>
      </c>
      <c r="P269" s="719"/>
      <c r="Q269" s="24">
        <f t="shared" si="50"/>
        <v>0.04</v>
      </c>
      <c r="R269" s="715">
        <f t="shared" si="51"/>
        <v>0</v>
      </c>
      <c r="S269" s="361">
        <f t="shared" si="52"/>
        <v>0</v>
      </c>
    </row>
    <row r="270" spans="1:19">
      <c r="A270" s="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0.02</v>
      </c>
      <c r="P270" s="719"/>
      <c r="Q270" s="24">
        <f t="shared" si="50"/>
        <v>0.04</v>
      </c>
      <c r="R270" s="715">
        <f t="shared" si="51"/>
        <v>0</v>
      </c>
      <c r="S270" s="361">
        <f t="shared" si="52"/>
        <v>0</v>
      </c>
    </row>
    <row r="271" spans="1:19">
      <c r="A271" s="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0.02</v>
      </c>
      <c r="P271" s="719"/>
      <c r="Q271" s="24">
        <f t="shared" si="50"/>
        <v>0.04</v>
      </c>
      <c r="R271" s="715">
        <f t="shared" si="51"/>
        <v>0</v>
      </c>
      <c r="S271" s="361">
        <f t="shared" si="52"/>
        <v>0</v>
      </c>
    </row>
    <row r="272" spans="1:19">
      <c r="A272" s="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0.02</v>
      </c>
      <c r="P272" s="719"/>
      <c r="Q272" s="24">
        <f t="shared" si="50"/>
        <v>0.04</v>
      </c>
      <c r="R272" s="715">
        <f t="shared" si="51"/>
        <v>0</v>
      </c>
      <c r="S272" s="361">
        <f t="shared" si="52"/>
        <v>0</v>
      </c>
    </row>
    <row r="273" spans="1:19">
      <c r="A273" s="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0.02</v>
      </c>
      <c r="P273" s="719"/>
      <c r="Q273" s="24">
        <f t="shared" si="50"/>
        <v>0.04</v>
      </c>
      <c r="R273" s="715">
        <f t="shared" si="51"/>
        <v>0</v>
      </c>
      <c r="S273" s="361">
        <f t="shared" si="52"/>
        <v>0</v>
      </c>
    </row>
    <row r="274" spans="1:19">
      <c r="A274" s="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0.02</v>
      </c>
      <c r="P274" s="719"/>
      <c r="Q274" s="24">
        <f t="shared" si="50"/>
        <v>0.04</v>
      </c>
      <c r="R274" s="715">
        <f t="shared" si="51"/>
        <v>0</v>
      </c>
      <c r="S274" s="361">
        <f t="shared" si="52"/>
        <v>0</v>
      </c>
    </row>
    <row r="275" spans="1:19">
      <c r="A275" s="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0.02</v>
      </c>
      <c r="P275" s="719"/>
      <c r="Q275" s="24">
        <f t="shared" si="50"/>
        <v>0.04</v>
      </c>
      <c r="R275" s="715">
        <f t="shared" si="51"/>
        <v>0</v>
      </c>
      <c r="S275" s="361">
        <f t="shared" si="52"/>
        <v>0</v>
      </c>
    </row>
    <row r="276" spans="1:19">
      <c r="A276" s="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0.02</v>
      </c>
      <c r="P276" s="719"/>
      <c r="Q276" s="24">
        <f t="shared" si="50"/>
        <v>0.04</v>
      </c>
      <c r="R276" s="715">
        <f t="shared" si="51"/>
        <v>0</v>
      </c>
      <c r="S276" s="361">
        <f t="shared" si="52"/>
        <v>0</v>
      </c>
    </row>
    <row r="277" spans="1:19">
      <c r="A277" s="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0.02</v>
      </c>
      <c r="P277" s="719"/>
      <c r="Q277" s="24">
        <f t="shared" si="50"/>
        <v>0.04</v>
      </c>
      <c r="R277" s="715">
        <f t="shared" si="51"/>
        <v>0</v>
      </c>
      <c r="S277" s="361">
        <f t="shared" si="52"/>
        <v>0</v>
      </c>
    </row>
    <row r="278" spans="1:19">
      <c r="A278" s="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0.02</v>
      </c>
      <c r="P278" s="719"/>
      <c r="Q278" s="24">
        <f t="shared" si="50"/>
        <v>0.04</v>
      </c>
      <c r="R278" s="715">
        <f t="shared" si="51"/>
        <v>0</v>
      </c>
      <c r="S278" s="361">
        <f t="shared" si="52"/>
        <v>0</v>
      </c>
    </row>
    <row r="279" spans="1:19">
      <c r="A279" s="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0.02</v>
      </c>
      <c r="P279" s="719"/>
      <c r="Q279" s="24">
        <f t="shared" si="50"/>
        <v>0.04</v>
      </c>
      <c r="R279" s="715">
        <f t="shared" si="51"/>
        <v>0</v>
      </c>
      <c r="S279" s="361">
        <f t="shared" si="52"/>
        <v>0</v>
      </c>
    </row>
    <row r="280" spans="1:19">
      <c r="A280" s="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0.02</v>
      </c>
      <c r="P280" s="719"/>
      <c r="Q280" s="24">
        <f t="shared" si="50"/>
        <v>0.04</v>
      </c>
      <c r="R280" s="715">
        <f t="shared" si="51"/>
        <v>0</v>
      </c>
      <c r="S280" s="361">
        <f t="shared" si="52"/>
        <v>0</v>
      </c>
    </row>
    <row r="281" spans="1:19">
      <c r="A281" s="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0.02</v>
      </c>
      <c r="P281" s="719"/>
      <c r="Q281" s="24">
        <f t="shared" si="50"/>
        <v>0.04</v>
      </c>
      <c r="R281" s="715">
        <f t="shared" si="51"/>
        <v>0</v>
      </c>
      <c r="S281" s="361">
        <f t="shared" si="52"/>
        <v>0</v>
      </c>
    </row>
    <row r="282" spans="1:19">
      <c r="A282" s="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0.02</v>
      </c>
      <c r="P282" s="719"/>
      <c r="Q282" s="24">
        <f t="shared" ref="Q282:Q345" si="60">(SUMIF($17:$17,P282,$18:$18)-SUMIF($17:$17,$P$24,$18:$18)+100)/100</f>
        <v>0.04</v>
      </c>
      <c r="R282" s="715">
        <f t="shared" ref="R282:R345" si="61">IF(B282="",0,ROUND($R$24*C282*E282*G282*I282*K282*M282*O282*Q282,0))</f>
        <v>0</v>
      </c>
      <c r="S282" s="361">
        <f t="shared" si="52"/>
        <v>0</v>
      </c>
    </row>
    <row r="283" spans="1:19">
      <c r="A283" s="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0.02</v>
      </c>
      <c r="P283" s="719"/>
      <c r="Q283" s="24">
        <f t="shared" si="60"/>
        <v>0.04</v>
      </c>
      <c r="R283" s="715">
        <f t="shared" si="61"/>
        <v>0</v>
      </c>
      <c r="S283" s="361">
        <f t="shared" si="52"/>
        <v>0</v>
      </c>
    </row>
    <row r="284" spans="1:19">
      <c r="A284" s="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0.02</v>
      </c>
      <c r="P284" s="719"/>
      <c r="Q284" s="24">
        <f t="shared" si="60"/>
        <v>0.04</v>
      </c>
      <c r="R284" s="715">
        <f t="shared" si="61"/>
        <v>0</v>
      </c>
      <c r="S284" s="361">
        <f t="shared" si="52"/>
        <v>0</v>
      </c>
    </row>
    <row r="285" spans="1:19">
      <c r="A285" s="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0.02</v>
      </c>
      <c r="P285" s="719"/>
      <c r="Q285" s="24">
        <f t="shared" si="60"/>
        <v>0.04</v>
      </c>
      <c r="R285" s="715">
        <f t="shared" si="61"/>
        <v>0</v>
      </c>
      <c r="S285" s="361">
        <f t="shared" si="52"/>
        <v>0</v>
      </c>
    </row>
    <row r="286" spans="1:19">
      <c r="A286" s="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0.02</v>
      </c>
      <c r="P286" s="719"/>
      <c r="Q286" s="24">
        <f t="shared" si="60"/>
        <v>0.04</v>
      </c>
      <c r="R286" s="715">
        <f t="shared" si="61"/>
        <v>0</v>
      </c>
      <c r="S286" s="361">
        <f t="shared" si="52"/>
        <v>0</v>
      </c>
    </row>
    <row r="287" spans="1:19">
      <c r="A287" s="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0.02</v>
      </c>
      <c r="P287" s="719"/>
      <c r="Q287" s="24">
        <f t="shared" si="60"/>
        <v>0.04</v>
      </c>
      <c r="R287" s="715">
        <f t="shared" si="61"/>
        <v>0</v>
      </c>
      <c r="S287" s="361">
        <f t="shared" ref="S287:S320" si="62">ROUND(R287*B287/10000,0)</f>
        <v>0</v>
      </c>
    </row>
    <row r="288" spans="1:19">
      <c r="A288" s="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0.02</v>
      </c>
      <c r="P288" s="719"/>
      <c r="Q288" s="24">
        <f t="shared" si="60"/>
        <v>0.04</v>
      </c>
      <c r="R288" s="715">
        <f t="shared" si="61"/>
        <v>0</v>
      </c>
      <c r="S288" s="361">
        <f t="shared" si="62"/>
        <v>0</v>
      </c>
    </row>
    <row r="289" spans="1:19">
      <c r="A289" s="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0.02</v>
      </c>
      <c r="P289" s="719"/>
      <c r="Q289" s="24">
        <f t="shared" si="60"/>
        <v>0.04</v>
      </c>
      <c r="R289" s="715">
        <f t="shared" si="61"/>
        <v>0</v>
      </c>
      <c r="S289" s="361">
        <f t="shared" si="62"/>
        <v>0</v>
      </c>
    </row>
    <row r="290" spans="1:19">
      <c r="A290" s="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0.02</v>
      </c>
      <c r="P290" s="719"/>
      <c r="Q290" s="24">
        <f t="shared" si="60"/>
        <v>0.04</v>
      </c>
      <c r="R290" s="715">
        <f t="shared" si="61"/>
        <v>0</v>
      </c>
      <c r="S290" s="361">
        <f t="shared" si="62"/>
        <v>0</v>
      </c>
    </row>
    <row r="291" spans="1:19">
      <c r="A291" s="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0.02</v>
      </c>
      <c r="P291" s="719"/>
      <c r="Q291" s="24">
        <f t="shared" si="60"/>
        <v>0.04</v>
      </c>
      <c r="R291" s="715">
        <f t="shared" si="61"/>
        <v>0</v>
      </c>
      <c r="S291" s="361">
        <f t="shared" si="62"/>
        <v>0</v>
      </c>
    </row>
    <row r="292" spans="1:19">
      <c r="A292" s="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0.02</v>
      </c>
      <c r="P292" s="719"/>
      <c r="Q292" s="24">
        <f t="shared" si="60"/>
        <v>0.04</v>
      </c>
      <c r="R292" s="715">
        <f t="shared" si="61"/>
        <v>0</v>
      </c>
      <c r="S292" s="361">
        <f t="shared" si="62"/>
        <v>0</v>
      </c>
    </row>
    <row r="293" spans="1:19">
      <c r="A293" s="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0.02</v>
      </c>
      <c r="P293" s="719"/>
      <c r="Q293" s="24">
        <f t="shared" si="60"/>
        <v>0.04</v>
      </c>
      <c r="R293" s="715">
        <f t="shared" si="61"/>
        <v>0</v>
      </c>
      <c r="S293" s="361">
        <f t="shared" si="62"/>
        <v>0</v>
      </c>
    </row>
    <row r="294" spans="1:19">
      <c r="A294" s="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0.02</v>
      </c>
      <c r="P294" s="719"/>
      <c r="Q294" s="24">
        <f t="shared" si="60"/>
        <v>0.04</v>
      </c>
      <c r="R294" s="715">
        <f t="shared" si="61"/>
        <v>0</v>
      </c>
      <c r="S294" s="361">
        <f t="shared" si="62"/>
        <v>0</v>
      </c>
    </row>
    <row r="295" spans="1:19">
      <c r="A295" s="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0.02</v>
      </c>
      <c r="P295" s="719"/>
      <c r="Q295" s="24">
        <f t="shared" si="60"/>
        <v>0.04</v>
      </c>
      <c r="R295" s="715">
        <f t="shared" si="61"/>
        <v>0</v>
      </c>
      <c r="S295" s="361">
        <f t="shared" si="62"/>
        <v>0</v>
      </c>
    </row>
    <row r="296" spans="1:19">
      <c r="A296" s="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0.02</v>
      </c>
      <c r="P296" s="719"/>
      <c r="Q296" s="24">
        <f t="shared" si="60"/>
        <v>0.04</v>
      </c>
      <c r="R296" s="715">
        <f t="shared" si="61"/>
        <v>0</v>
      </c>
      <c r="S296" s="361">
        <f t="shared" si="62"/>
        <v>0</v>
      </c>
    </row>
    <row r="297" spans="1:19">
      <c r="A297" s="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0.02</v>
      </c>
      <c r="P297" s="719"/>
      <c r="Q297" s="24">
        <f t="shared" si="60"/>
        <v>0.04</v>
      </c>
      <c r="R297" s="715">
        <f t="shared" si="61"/>
        <v>0</v>
      </c>
      <c r="S297" s="361">
        <f t="shared" si="62"/>
        <v>0</v>
      </c>
    </row>
    <row r="298" spans="1:19">
      <c r="A298" s="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0.02</v>
      </c>
      <c r="P298" s="719"/>
      <c r="Q298" s="24">
        <f t="shared" si="60"/>
        <v>0.04</v>
      </c>
      <c r="R298" s="715">
        <f t="shared" si="61"/>
        <v>0</v>
      </c>
      <c r="S298" s="361">
        <f t="shared" si="62"/>
        <v>0</v>
      </c>
    </row>
    <row r="299" spans="1:19">
      <c r="A299" s="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0.02</v>
      </c>
      <c r="P299" s="719"/>
      <c r="Q299" s="24">
        <f t="shared" si="60"/>
        <v>0.04</v>
      </c>
      <c r="R299" s="715">
        <f t="shared" si="61"/>
        <v>0</v>
      </c>
      <c r="S299" s="361">
        <f t="shared" si="62"/>
        <v>0</v>
      </c>
    </row>
    <row r="300" spans="1:19">
      <c r="A300" s="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0.02</v>
      </c>
      <c r="P300" s="719"/>
      <c r="Q300" s="24">
        <f t="shared" si="60"/>
        <v>0.04</v>
      </c>
      <c r="R300" s="715">
        <f t="shared" si="61"/>
        <v>0</v>
      </c>
      <c r="S300" s="361">
        <f t="shared" si="62"/>
        <v>0</v>
      </c>
    </row>
    <row r="301" spans="1:19">
      <c r="A301" s="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0.02</v>
      </c>
      <c r="P301" s="719"/>
      <c r="Q301" s="24">
        <f t="shared" si="60"/>
        <v>0.04</v>
      </c>
      <c r="R301" s="715">
        <f t="shared" si="61"/>
        <v>0</v>
      </c>
      <c r="S301" s="361">
        <f t="shared" si="62"/>
        <v>0</v>
      </c>
    </row>
    <row r="302" spans="1:19">
      <c r="A302" s="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0.02</v>
      </c>
      <c r="P302" s="719"/>
      <c r="Q302" s="24">
        <f t="shared" si="60"/>
        <v>0.04</v>
      </c>
      <c r="R302" s="715">
        <f t="shared" si="61"/>
        <v>0</v>
      </c>
      <c r="S302" s="361">
        <f t="shared" si="62"/>
        <v>0</v>
      </c>
    </row>
    <row r="303" spans="1:19">
      <c r="A303" s="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0.02</v>
      </c>
      <c r="P303" s="719"/>
      <c r="Q303" s="24">
        <f t="shared" si="60"/>
        <v>0.04</v>
      </c>
      <c r="R303" s="715">
        <f t="shared" si="61"/>
        <v>0</v>
      </c>
      <c r="S303" s="361">
        <f t="shared" si="62"/>
        <v>0</v>
      </c>
    </row>
    <row r="304" spans="1:19">
      <c r="A304" s="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0.02</v>
      </c>
      <c r="P304" s="719"/>
      <c r="Q304" s="24">
        <f t="shared" si="60"/>
        <v>0.04</v>
      </c>
      <c r="R304" s="715">
        <f t="shared" si="61"/>
        <v>0</v>
      </c>
      <c r="S304" s="361">
        <f t="shared" si="62"/>
        <v>0</v>
      </c>
    </row>
    <row r="305" spans="1:19">
      <c r="A305" s="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0.02</v>
      </c>
      <c r="P305" s="719"/>
      <c r="Q305" s="24">
        <f t="shared" si="60"/>
        <v>0.04</v>
      </c>
      <c r="R305" s="715">
        <f t="shared" si="61"/>
        <v>0</v>
      </c>
      <c r="S305" s="361">
        <f t="shared" si="62"/>
        <v>0</v>
      </c>
    </row>
    <row r="306" spans="1:19">
      <c r="A306" s="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0.02</v>
      </c>
      <c r="P306" s="719"/>
      <c r="Q306" s="24">
        <f t="shared" si="60"/>
        <v>0.04</v>
      </c>
      <c r="R306" s="715">
        <f t="shared" si="61"/>
        <v>0</v>
      </c>
      <c r="S306" s="361">
        <f t="shared" si="62"/>
        <v>0</v>
      </c>
    </row>
    <row r="307" spans="1:19">
      <c r="A307" s="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0.02</v>
      </c>
      <c r="P307" s="719"/>
      <c r="Q307" s="24">
        <f t="shared" si="60"/>
        <v>0.04</v>
      </c>
      <c r="R307" s="715">
        <f t="shared" si="61"/>
        <v>0</v>
      </c>
      <c r="S307" s="361">
        <f t="shared" si="62"/>
        <v>0</v>
      </c>
    </row>
    <row r="308" spans="1:19">
      <c r="A308" s="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0.02</v>
      </c>
      <c r="P308" s="719"/>
      <c r="Q308" s="24">
        <f t="shared" si="60"/>
        <v>0.04</v>
      </c>
      <c r="R308" s="715">
        <f t="shared" si="61"/>
        <v>0</v>
      </c>
      <c r="S308" s="361">
        <f t="shared" si="62"/>
        <v>0</v>
      </c>
    </row>
    <row r="309" spans="1:19">
      <c r="A309" s="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0.02</v>
      </c>
      <c r="P309" s="719"/>
      <c r="Q309" s="24">
        <f t="shared" si="60"/>
        <v>0.04</v>
      </c>
      <c r="R309" s="715">
        <f t="shared" si="61"/>
        <v>0</v>
      </c>
      <c r="S309" s="361">
        <f t="shared" si="62"/>
        <v>0</v>
      </c>
    </row>
    <row r="310" spans="1:19">
      <c r="A310" s="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0.02</v>
      </c>
      <c r="P310" s="719"/>
      <c r="Q310" s="24">
        <f t="shared" si="60"/>
        <v>0.04</v>
      </c>
      <c r="R310" s="715">
        <f t="shared" si="61"/>
        <v>0</v>
      </c>
      <c r="S310" s="361">
        <f t="shared" si="62"/>
        <v>0</v>
      </c>
    </row>
    <row r="311" spans="1:19">
      <c r="A311" s="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0.02</v>
      </c>
      <c r="P311" s="719"/>
      <c r="Q311" s="24">
        <f t="shared" si="60"/>
        <v>0.04</v>
      </c>
      <c r="R311" s="715">
        <f t="shared" si="61"/>
        <v>0</v>
      </c>
      <c r="S311" s="361">
        <f t="shared" si="62"/>
        <v>0</v>
      </c>
    </row>
    <row r="312" spans="1:19">
      <c r="A312" s="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0.02</v>
      </c>
      <c r="P312" s="719"/>
      <c r="Q312" s="24">
        <f t="shared" si="60"/>
        <v>0.04</v>
      </c>
      <c r="R312" s="715">
        <f t="shared" si="61"/>
        <v>0</v>
      </c>
      <c r="S312" s="361">
        <f t="shared" si="62"/>
        <v>0</v>
      </c>
    </row>
    <row r="313" spans="1:19">
      <c r="A313" s="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0.02</v>
      </c>
      <c r="P313" s="719"/>
      <c r="Q313" s="24">
        <f t="shared" si="60"/>
        <v>0.04</v>
      </c>
      <c r="R313" s="715">
        <f t="shared" si="61"/>
        <v>0</v>
      </c>
      <c r="S313" s="361">
        <f t="shared" si="62"/>
        <v>0</v>
      </c>
    </row>
    <row r="314" spans="1:19">
      <c r="A314" s="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0.02</v>
      </c>
      <c r="P314" s="719"/>
      <c r="Q314" s="24">
        <f t="shared" si="60"/>
        <v>0.04</v>
      </c>
      <c r="R314" s="715">
        <f t="shared" si="61"/>
        <v>0</v>
      </c>
      <c r="S314" s="361">
        <f t="shared" si="62"/>
        <v>0</v>
      </c>
    </row>
    <row r="315" spans="1:19">
      <c r="A315" s="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0.02</v>
      </c>
      <c r="P315" s="719"/>
      <c r="Q315" s="24">
        <f t="shared" si="60"/>
        <v>0.04</v>
      </c>
      <c r="R315" s="715">
        <f t="shared" si="61"/>
        <v>0</v>
      </c>
      <c r="S315" s="361">
        <f t="shared" si="62"/>
        <v>0</v>
      </c>
    </row>
    <row r="316" spans="1:19">
      <c r="A316" s="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0.02</v>
      </c>
      <c r="P316" s="719"/>
      <c r="Q316" s="24">
        <f t="shared" si="60"/>
        <v>0.04</v>
      </c>
      <c r="R316" s="715">
        <f t="shared" si="61"/>
        <v>0</v>
      </c>
      <c r="S316" s="361">
        <f t="shared" si="62"/>
        <v>0</v>
      </c>
    </row>
    <row r="317" spans="1:19">
      <c r="A317" s="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0.02</v>
      </c>
      <c r="P317" s="719"/>
      <c r="Q317" s="24">
        <f t="shared" si="60"/>
        <v>0.04</v>
      </c>
      <c r="R317" s="715">
        <f t="shared" si="61"/>
        <v>0</v>
      </c>
      <c r="S317" s="361">
        <f t="shared" si="62"/>
        <v>0</v>
      </c>
    </row>
    <row r="318" spans="1:19">
      <c r="A318" s="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0.02</v>
      </c>
      <c r="P318" s="719"/>
      <c r="Q318" s="24">
        <f t="shared" si="60"/>
        <v>0.04</v>
      </c>
      <c r="R318" s="715">
        <f t="shared" si="61"/>
        <v>0</v>
      </c>
      <c r="S318" s="361">
        <f t="shared" si="62"/>
        <v>0</v>
      </c>
    </row>
    <row r="319" spans="1:19">
      <c r="A319" s="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0.02</v>
      </c>
      <c r="P319" s="719"/>
      <c r="Q319" s="24">
        <f t="shared" si="60"/>
        <v>0.04</v>
      </c>
      <c r="R319" s="715">
        <f t="shared" si="61"/>
        <v>0</v>
      </c>
      <c r="S319" s="361">
        <f t="shared" si="62"/>
        <v>0</v>
      </c>
    </row>
    <row r="320" spans="1:19">
      <c r="A320" s="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0.02</v>
      </c>
      <c r="P320" s="719"/>
      <c r="Q320" s="24">
        <f t="shared" si="60"/>
        <v>0.04</v>
      </c>
      <c r="R320" s="715">
        <f t="shared" si="61"/>
        <v>0</v>
      </c>
      <c r="S320" s="361">
        <f t="shared" si="62"/>
        <v>0</v>
      </c>
    </row>
    <row r="321" spans="1:19">
      <c r="A321" s="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0.02</v>
      </c>
      <c r="P321" s="719"/>
      <c r="Q321" s="24">
        <f t="shared" si="60"/>
        <v>0.04</v>
      </c>
      <c r="R321" s="715">
        <f t="shared" si="61"/>
        <v>0</v>
      </c>
      <c r="S321" s="361">
        <f t="shared" ref="S321:S384" si="63">ROUND(R321*B321/10000,0)</f>
        <v>0</v>
      </c>
    </row>
    <row r="322" spans="1:19">
      <c r="A322" s="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0.02</v>
      </c>
      <c r="P322" s="719"/>
      <c r="Q322" s="24">
        <f t="shared" si="60"/>
        <v>0.04</v>
      </c>
      <c r="R322" s="715">
        <f t="shared" si="61"/>
        <v>0</v>
      </c>
      <c r="S322" s="361">
        <f t="shared" si="63"/>
        <v>0</v>
      </c>
    </row>
    <row r="323" spans="1:19">
      <c r="A323" s="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0.02</v>
      </c>
      <c r="P323" s="719"/>
      <c r="Q323" s="24">
        <f t="shared" si="60"/>
        <v>0.04</v>
      </c>
      <c r="R323" s="715">
        <f t="shared" si="61"/>
        <v>0</v>
      </c>
      <c r="S323" s="361">
        <f t="shared" si="63"/>
        <v>0</v>
      </c>
    </row>
    <row r="324" spans="1:19">
      <c r="A324" s="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0.02</v>
      </c>
      <c r="P324" s="719"/>
      <c r="Q324" s="24">
        <f t="shared" si="60"/>
        <v>0.04</v>
      </c>
      <c r="R324" s="715">
        <f t="shared" si="61"/>
        <v>0</v>
      </c>
      <c r="S324" s="361">
        <f t="shared" si="63"/>
        <v>0</v>
      </c>
    </row>
    <row r="325" spans="1:19">
      <c r="A325" s="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0.02</v>
      </c>
      <c r="P325" s="719"/>
      <c r="Q325" s="24">
        <f t="shared" si="60"/>
        <v>0.04</v>
      </c>
      <c r="R325" s="715">
        <f t="shared" si="61"/>
        <v>0</v>
      </c>
      <c r="S325" s="361">
        <f t="shared" si="63"/>
        <v>0</v>
      </c>
    </row>
    <row r="326" spans="1:19">
      <c r="A326" s="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0.02</v>
      </c>
      <c r="P326" s="719"/>
      <c r="Q326" s="24">
        <f t="shared" si="60"/>
        <v>0.04</v>
      </c>
      <c r="R326" s="715">
        <f t="shared" si="61"/>
        <v>0</v>
      </c>
      <c r="S326" s="361">
        <f t="shared" si="63"/>
        <v>0</v>
      </c>
    </row>
    <row r="327" spans="1:19">
      <c r="A327" s="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0.02</v>
      </c>
      <c r="P327" s="719"/>
      <c r="Q327" s="24">
        <f t="shared" si="60"/>
        <v>0.04</v>
      </c>
      <c r="R327" s="715">
        <f t="shared" si="61"/>
        <v>0</v>
      </c>
      <c r="S327" s="361">
        <f t="shared" si="63"/>
        <v>0</v>
      </c>
    </row>
    <row r="328" spans="1:19">
      <c r="A328" s="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0.02</v>
      </c>
      <c r="P328" s="719"/>
      <c r="Q328" s="24">
        <f t="shared" si="60"/>
        <v>0.04</v>
      </c>
      <c r="R328" s="715">
        <f t="shared" si="61"/>
        <v>0</v>
      </c>
      <c r="S328" s="361">
        <f t="shared" si="63"/>
        <v>0</v>
      </c>
    </row>
    <row r="329" spans="1:19">
      <c r="A329" s="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0.02</v>
      </c>
      <c r="P329" s="719"/>
      <c r="Q329" s="24">
        <f t="shared" si="60"/>
        <v>0.04</v>
      </c>
      <c r="R329" s="715">
        <f t="shared" si="61"/>
        <v>0</v>
      </c>
      <c r="S329" s="361">
        <f t="shared" si="63"/>
        <v>0</v>
      </c>
    </row>
    <row r="330" spans="1:19">
      <c r="A330" s="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0.02</v>
      </c>
      <c r="P330" s="719"/>
      <c r="Q330" s="24">
        <f t="shared" si="60"/>
        <v>0.04</v>
      </c>
      <c r="R330" s="715">
        <f t="shared" si="61"/>
        <v>0</v>
      </c>
      <c r="S330" s="361">
        <f t="shared" si="63"/>
        <v>0</v>
      </c>
    </row>
    <row r="331" spans="1:19">
      <c r="A331" s="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0.02</v>
      </c>
      <c r="P331" s="719"/>
      <c r="Q331" s="24">
        <f t="shared" si="60"/>
        <v>0.04</v>
      </c>
      <c r="R331" s="715">
        <f t="shared" si="61"/>
        <v>0</v>
      </c>
      <c r="S331" s="361">
        <f t="shared" si="63"/>
        <v>0</v>
      </c>
    </row>
    <row r="332" spans="1:19">
      <c r="A332" s="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0.02</v>
      </c>
      <c r="P332" s="719"/>
      <c r="Q332" s="24">
        <f t="shared" si="60"/>
        <v>0.04</v>
      </c>
      <c r="R332" s="715">
        <f t="shared" si="61"/>
        <v>0</v>
      </c>
      <c r="S332" s="361">
        <f t="shared" si="63"/>
        <v>0</v>
      </c>
    </row>
    <row r="333" spans="1:19">
      <c r="A333" s="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0.02</v>
      </c>
      <c r="P333" s="719"/>
      <c r="Q333" s="24">
        <f t="shared" si="60"/>
        <v>0.04</v>
      </c>
      <c r="R333" s="715">
        <f t="shared" si="61"/>
        <v>0</v>
      </c>
      <c r="S333" s="361">
        <f t="shared" si="63"/>
        <v>0</v>
      </c>
    </row>
    <row r="334" spans="1:19">
      <c r="A334" s="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0.02</v>
      </c>
      <c r="P334" s="719"/>
      <c r="Q334" s="24">
        <f t="shared" si="60"/>
        <v>0.04</v>
      </c>
      <c r="R334" s="715">
        <f t="shared" si="61"/>
        <v>0</v>
      </c>
      <c r="S334" s="361">
        <f t="shared" si="63"/>
        <v>0</v>
      </c>
    </row>
    <row r="335" spans="1:19">
      <c r="A335" s="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0.02</v>
      </c>
      <c r="P335" s="719"/>
      <c r="Q335" s="24">
        <f t="shared" si="60"/>
        <v>0.04</v>
      </c>
      <c r="R335" s="715">
        <f t="shared" si="61"/>
        <v>0</v>
      </c>
      <c r="S335" s="361">
        <f t="shared" si="63"/>
        <v>0</v>
      </c>
    </row>
    <row r="336" spans="1:19">
      <c r="A336" s="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0.02</v>
      </c>
      <c r="P336" s="719"/>
      <c r="Q336" s="24">
        <f t="shared" si="60"/>
        <v>0.04</v>
      </c>
      <c r="R336" s="715">
        <f t="shared" si="61"/>
        <v>0</v>
      </c>
      <c r="S336" s="361">
        <f t="shared" si="63"/>
        <v>0</v>
      </c>
    </row>
    <row r="337" spans="1:19">
      <c r="A337" s="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0.02</v>
      </c>
      <c r="P337" s="719"/>
      <c r="Q337" s="24">
        <f t="shared" si="60"/>
        <v>0.04</v>
      </c>
      <c r="R337" s="715">
        <f t="shared" si="61"/>
        <v>0</v>
      </c>
      <c r="S337" s="361">
        <f t="shared" si="63"/>
        <v>0</v>
      </c>
    </row>
    <row r="338" spans="1:19">
      <c r="A338" s="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0.02</v>
      </c>
      <c r="P338" s="719"/>
      <c r="Q338" s="24">
        <f t="shared" si="60"/>
        <v>0.04</v>
      </c>
      <c r="R338" s="715">
        <f t="shared" si="61"/>
        <v>0</v>
      </c>
      <c r="S338" s="361">
        <f t="shared" si="63"/>
        <v>0</v>
      </c>
    </row>
    <row r="339" spans="1:19">
      <c r="A339" s="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0.02</v>
      </c>
      <c r="P339" s="719"/>
      <c r="Q339" s="24">
        <f t="shared" si="60"/>
        <v>0.04</v>
      </c>
      <c r="R339" s="715">
        <f t="shared" si="61"/>
        <v>0</v>
      </c>
      <c r="S339" s="361">
        <f t="shared" si="63"/>
        <v>0</v>
      </c>
    </row>
    <row r="340" spans="1:19">
      <c r="A340" s="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0.02</v>
      </c>
      <c r="P340" s="719"/>
      <c r="Q340" s="24">
        <f t="shared" si="60"/>
        <v>0.04</v>
      </c>
      <c r="R340" s="715">
        <f t="shared" si="61"/>
        <v>0</v>
      </c>
      <c r="S340" s="361">
        <f t="shared" si="63"/>
        <v>0</v>
      </c>
    </row>
    <row r="341" spans="1:19">
      <c r="A341" s="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0.02</v>
      </c>
      <c r="P341" s="719"/>
      <c r="Q341" s="24">
        <f t="shared" si="60"/>
        <v>0.04</v>
      </c>
      <c r="R341" s="715">
        <f t="shared" si="61"/>
        <v>0</v>
      </c>
      <c r="S341" s="361">
        <f t="shared" si="63"/>
        <v>0</v>
      </c>
    </row>
    <row r="342" spans="1:19">
      <c r="A342" s="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0.02</v>
      </c>
      <c r="P342" s="719"/>
      <c r="Q342" s="24">
        <f t="shared" si="60"/>
        <v>0.04</v>
      </c>
      <c r="R342" s="715">
        <f t="shared" si="61"/>
        <v>0</v>
      </c>
      <c r="S342" s="361">
        <f t="shared" si="63"/>
        <v>0</v>
      </c>
    </row>
    <row r="343" spans="1:19">
      <c r="A343" s="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0.02</v>
      </c>
      <c r="P343" s="719"/>
      <c r="Q343" s="24">
        <f t="shared" si="60"/>
        <v>0.04</v>
      </c>
      <c r="R343" s="715">
        <f t="shared" si="61"/>
        <v>0</v>
      </c>
      <c r="S343" s="361">
        <f t="shared" si="63"/>
        <v>0</v>
      </c>
    </row>
    <row r="344" spans="1:19">
      <c r="A344" s="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0.02</v>
      </c>
      <c r="P344" s="719"/>
      <c r="Q344" s="24">
        <f t="shared" si="60"/>
        <v>0.04</v>
      </c>
      <c r="R344" s="715">
        <f t="shared" si="61"/>
        <v>0</v>
      </c>
      <c r="S344" s="361">
        <f t="shared" si="63"/>
        <v>0</v>
      </c>
    </row>
    <row r="345" spans="1:19">
      <c r="A345" s="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0.02</v>
      </c>
      <c r="P345" s="719"/>
      <c r="Q345" s="24">
        <f t="shared" si="60"/>
        <v>0.04</v>
      </c>
      <c r="R345" s="715">
        <f t="shared" si="61"/>
        <v>0</v>
      </c>
      <c r="S345" s="361">
        <f t="shared" si="63"/>
        <v>0</v>
      </c>
    </row>
    <row r="346" spans="1:19">
      <c r="A346" s="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0.02</v>
      </c>
      <c r="P346" s="719"/>
      <c r="Q346" s="24">
        <f t="shared" ref="Q346:Q409" si="71">(SUMIF($17:$17,P346,$18:$18)-SUMIF($17:$17,$P$24,$18:$18)+100)/100</f>
        <v>0.04</v>
      </c>
      <c r="R346" s="715">
        <f t="shared" ref="R346:R409" si="72">IF(B346="",0,ROUND($R$24*C346*E346*G346*I346*K346*M346*O346*Q346,0))</f>
        <v>0</v>
      </c>
      <c r="S346" s="361">
        <f t="shared" si="63"/>
        <v>0</v>
      </c>
    </row>
    <row r="347" spans="1:19">
      <c r="A347" s="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0.02</v>
      </c>
      <c r="P347" s="719"/>
      <c r="Q347" s="24">
        <f t="shared" si="71"/>
        <v>0.04</v>
      </c>
      <c r="R347" s="715">
        <f t="shared" si="72"/>
        <v>0</v>
      </c>
      <c r="S347" s="361">
        <f t="shared" si="63"/>
        <v>0</v>
      </c>
    </row>
    <row r="348" spans="1:19">
      <c r="A348" s="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0.02</v>
      </c>
      <c r="P348" s="719"/>
      <c r="Q348" s="24">
        <f t="shared" si="71"/>
        <v>0.04</v>
      </c>
      <c r="R348" s="715">
        <f t="shared" si="72"/>
        <v>0</v>
      </c>
      <c r="S348" s="361">
        <f t="shared" si="63"/>
        <v>0</v>
      </c>
    </row>
    <row r="349" spans="1:19">
      <c r="A349" s="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0.02</v>
      </c>
      <c r="P349" s="719"/>
      <c r="Q349" s="24">
        <f t="shared" si="71"/>
        <v>0.04</v>
      </c>
      <c r="R349" s="715">
        <f t="shared" si="72"/>
        <v>0</v>
      </c>
      <c r="S349" s="361">
        <f t="shared" si="63"/>
        <v>0</v>
      </c>
    </row>
    <row r="350" spans="1:19">
      <c r="A350" s="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0.02</v>
      </c>
      <c r="P350" s="719"/>
      <c r="Q350" s="24">
        <f t="shared" si="71"/>
        <v>0.04</v>
      </c>
      <c r="R350" s="715">
        <f t="shared" si="72"/>
        <v>0</v>
      </c>
      <c r="S350" s="361">
        <f t="shared" si="63"/>
        <v>0</v>
      </c>
    </row>
    <row r="351" spans="1:19">
      <c r="A351" s="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0.02</v>
      </c>
      <c r="P351" s="719"/>
      <c r="Q351" s="24">
        <f t="shared" si="71"/>
        <v>0.04</v>
      </c>
      <c r="R351" s="715">
        <f t="shared" si="72"/>
        <v>0</v>
      </c>
      <c r="S351" s="361">
        <f t="shared" si="63"/>
        <v>0</v>
      </c>
    </row>
    <row r="352" spans="1:19">
      <c r="A352" s="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0.02</v>
      </c>
      <c r="P352" s="719"/>
      <c r="Q352" s="24">
        <f t="shared" si="71"/>
        <v>0.04</v>
      </c>
      <c r="R352" s="715">
        <f t="shared" si="72"/>
        <v>0</v>
      </c>
      <c r="S352" s="361">
        <f t="shared" si="63"/>
        <v>0</v>
      </c>
    </row>
    <row r="353" spans="1:19">
      <c r="A353" s="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0.02</v>
      </c>
      <c r="P353" s="719"/>
      <c r="Q353" s="24">
        <f t="shared" si="71"/>
        <v>0.04</v>
      </c>
      <c r="R353" s="715">
        <f t="shared" si="72"/>
        <v>0</v>
      </c>
      <c r="S353" s="361">
        <f t="shared" si="63"/>
        <v>0</v>
      </c>
    </row>
    <row r="354" spans="1:19">
      <c r="A354" s="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0.02</v>
      </c>
      <c r="P354" s="719"/>
      <c r="Q354" s="24">
        <f t="shared" si="71"/>
        <v>0.04</v>
      </c>
      <c r="R354" s="715">
        <f t="shared" si="72"/>
        <v>0</v>
      </c>
      <c r="S354" s="361">
        <f t="shared" si="63"/>
        <v>0</v>
      </c>
    </row>
    <row r="355" spans="1:19">
      <c r="A355" s="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0.02</v>
      </c>
      <c r="P355" s="719"/>
      <c r="Q355" s="24">
        <f t="shared" si="71"/>
        <v>0.04</v>
      </c>
      <c r="R355" s="715">
        <f t="shared" si="72"/>
        <v>0</v>
      </c>
      <c r="S355" s="361">
        <f t="shared" si="63"/>
        <v>0</v>
      </c>
    </row>
    <row r="356" spans="1:19">
      <c r="A356" s="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0.02</v>
      </c>
      <c r="P356" s="719"/>
      <c r="Q356" s="24">
        <f t="shared" si="71"/>
        <v>0.04</v>
      </c>
      <c r="R356" s="715">
        <f t="shared" si="72"/>
        <v>0</v>
      </c>
      <c r="S356" s="361">
        <f t="shared" si="63"/>
        <v>0</v>
      </c>
    </row>
    <row r="357" spans="1:19">
      <c r="A357" s="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0.02</v>
      </c>
      <c r="P357" s="719"/>
      <c r="Q357" s="24">
        <f t="shared" si="71"/>
        <v>0.04</v>
      </c>
      <c r="R357" s="715">
        <f t="shared" si="72"/>
        <v>0</v>
      </c>
      <c r="S357" s="361">
        <f t="shared" si="63"/>
        <v>0</v>
      </c>
    </row>
    <row r="358" spans="1:19">
      <c r="A358" s="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0.02</v>
      </c>
      <c r="P358" s="719"/>
      <c r="Q358" s="24">
        <f t="shared" si="71"/>
        <v>0.04</v>
      </c>
      <c r="R358" s="715">
        <f t="shared" si="72"/>
        <v>0</v>
      </c>
      <c r="S358" s="361">
        <f t="shared" si="63"/>
        <v>0</v>
      </c>
    </row>
    <row r="359" spans="1:19">
      <c r="A359" s="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0.02</v>
      </c>
      <c r="P359" s="719"/>
      <c r="Q359" s="24">
        <f t="shared" si="71"/>
        <v>0.04</v>
      </c>
      <c r="R359" s="715">
        <f t="shared" si="72"/>
        <v>0</v>
      </c>
      <c r="S359" s="361">
        <f t="shared" si="63"/>
        <v>0</v>
      </c>
    </row>
    <row r="360" spans="1:19">
      <c r="A360" s="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0.02</v>
      </c>
      <c r="P360" s="719"/>
      <c r="Q360" s="24">
        <f t="shared" si="71"/>
        <v>0.04</v>
      </c>
      <c r="R360" s="715">
        <f t="shared" si="72"/>
        <v>0</v>
      </c>
      <c r="S360" s="361">
        <f t="shared" si="63"/>
        <v>0</v>
      </c>
    </row>
    <row r="361" spans="1:19">
      <c r="A361" s="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0.02</v>
      </c>
      <c r="P361" s="719"/>
      <c r="Q361" s="24">
        <f t="shared" si="71"/>
        <v>0.04</v>
      </c>
      <c r="R361" s="715">
        <f t="shared" si="72"/>
        <v>0</v>
      </c>
      <c r="S361" s="361">
        <f t="shared" si="63"/>
        <v>0</v>
      </c>
    </row>
    <row r="362" spans="1:19">
      <c r="A362" s="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0.02</v>
      </c>
      <c r="P362" s="719"/>
      <c r="Q362" s="24">
        <f t="shared" si="71"/>
        <v>0.04</v>
      </c>
      <c r="R362" s="715">
        <f t="shared" si="72"/>
        <v>0</v>
      </c>
      <c r="S362" s="361">
        <f t="shared" si="63"/>
        <v>0</v>
      </c>
    </row>
    <row r="363" spans="1:19">
      <c r="A363" s="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0.02</v>
      </c>
      <c r="P363" s="719"/>
      <c r="Q363" s="24">
        <f t="shared" si="71"/>
        <v>0.04</v>
      </c>
      <c r="R363" s="715">
        <f t="shared" si="72"/>
        <v>0</v>
      </c>
      <c r="S363" s="361">
        <f t="shared" si="63"/>
        <v>0</v>
      </c>
    </row>
    <row r="364" spans="1:19">
      <c r="A364" s="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0.02</v>
      </c>
      <c r="P364" s="719"/>
      <c r="Q364" s="24">
        <f t="shared" si="71"/>
        <v>0.04</v>
      </c>
      <c r="R364" s="715">
        <f t="shared" si="72"/>
        <v>0</v>
      </c>
      <c r="S364" s="361">
        <f t="shared" si="63"/>
        <v>0</v>
      </c>
    </row>
    <row r="365" spans="1:19">
      <c r="A365" s="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0.02</v>
      </c>
      <c r="P365" s="719"/>
      <c r="Q365" s="24">
        <f t="shared" si="71"/>
        <v>0.04</v>
      </c>
      <c r="R365" s="715">
        <f t="shared" si="72"/>
        <v>0</v>
      </c>
      <c r="S365" s="361">
        <f t="shared" si="63"/>
        <v>0</v>
      </c>
    </row>
    <row r="366" spans="1:19">
      <c r="A366" s="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0.02</v>
      </c>
      <c r="P366" s="719"/>
      <c r="Q366" s="24">
        <f t="shared" si="71"/>
        <v>0.04</v>
      </c>
      <c r="R366" s="715">
        <f t="shared" si="72"/>
        <v>0</v>
      </c>
      <c r="S366" s="361">
        <f t="shared" si="63"/>
        <v>0</v>
      </c>
    </row>
    <row r="367" spans="1:19">
      <c r="A367" s="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0.02</v>
      </c>
      <c r="P367" s="719"/>
      <c r="Q367" s="24">
        <f t="shared" si="71"/>
        <v>0.04</v>
      </c>
      <c r="R367" s="715">
        <f t="shared" si="72"/>
        <v>0</v>
      </c>
      <c r="S367" s="361">
        <f t="shared" si="63"/>
        <v>0</v>
      </c>
    </row>
    <row r="368" spans="1:19">
      <c r="A368" s="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0.02</v>
      </c>
      <c r="P368" s="719"/>
      <c r="Q368" s="24">
        <f t="shared" si="71"/>
        <v>0.04</v>
      </c>
      <c r="R368" s="715">
        <f t="shared" si="72"/>
        <v>0</v>
      </c>
      <c r="S368" s="361">
        <f t="shared" si="63"/>
        <v>0</v>
      </c>
    </row>
    <row r="369" spans="1:19">
      <c r="A369" s="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0.02</v>
      </c>
      <c r="P369" s="719"/>
      <c r="Q369" s="24">
        <f t="shared" si="71"/>
        <v>0.04</v>
      </c>
      <c r="R369" s="715">
        <f t="shared" si="72"/>
        <v>0</v>
      </c>
      <c r="S369" s="361">
        <f t="shared" si="63"/>
        <v>0</v>
      </c>
    </row>
    <row r="370" spans="1:19">
      <c r="A370" s="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0.02</v>
      </c>
      <c r="P370" s="719"/>
      <c r="Q370" s="24">
        <f t="shared" si="71"/>
        <v>0.04</v>
      </c>
      <c r="R370" s="715">
        <f t="shared" si="72"/>
        <v>0</v>
      </c>
      <c r="S370" s="361">
        <f t="shared" si="63"/>
        <v>0</v>
      </c>
    </row>
    <row r="371" spans="1:19">
      <c r="A371" s="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0.02</v>
      </c>
      <c r="P371" s="719"/>
      <c r="Q371" s="24">
        <f t="shared" si="71"/>
        <v>0.04</v>
      </c>
      <c r="R371" s="715">
        <f t="shared" si="72"/>
        <v>0</v>
      </c>
      <c r="S371" s="361">
        <f t="shared" si="63"/>
        <v>0</v>
      </c>
    </row>
    <row r="372" spans="1:19">
      <c r="A372" s="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0.02</v>
      </c>
      <c r="P372" s="719"/>
      <c r="Q372" s="24">
        <f t="shared" si="71"/>
        <v>0.04</v>
      </c>
      <c r="R372" s="715">
        <f t="shared" si="72"/>
        <v>0</v>
      </c>
      <c r="S372" s="361">
        <f t="shared" si="63"/>
        <v>0</v>
      </c>
    </row>
    <row r="373" spans="1:19">
      <c r="A373" s="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0.02</v>
      </c>
      <c r="P373" s="719"/>
      <c r="Q373" s="24">
        <f t="shared" si="71"/>
        <v>0.04</v>
      </c>
      <c r="R373" s="715">
        <f t="shared" si="72"/>
        <v>0</v>
      </c>
      <c r="S373" s="361">
        <f t="shared" si="63"/>
        <v>0</v>
      </c>
    </row>
    <row r="374" spans="1:19">
      <c r="A374" s="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0.02</v>
      </c>
      <c r="P374" s="719"/>
      <c r="Q374" s="24">
        <f t="shared" si="71"/>
        <v>0.04</v>
      </c>
      <c r="R374" s="715">
        <f t="shared" si="72"/>
        <v>0</v>
      </c>
      <c r="S374" s="361">
        <f t="shared" si="63"/>
        <v>0</v>
      </c>
    </row>
    <row r="375" spans="1:19">
      <c r="A375" s="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0.02</v>
      </c>
      <c r="P375" s="719"/>
      <c r="Q375" s="24">
        <f t="shared" si="71"/>
        <v>0.04</v>
      </c>
      <c r="R375" s="715">
        <f t="shared" si="72"/>
        <v>0</v>
      </c>
      <c r="S375" s="361">
        <f t="shared" si="63"/>
        <v>0</v>
      </c>
    </row>
    <row r="376" spans="1:19">
      <c r="A376" s="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0.02</v>
      </c>
      <c r="P376" s="719"/>
      <c r="Q376" s="24">
        <f t="shared" si="71"/>
        <v>0.04</v>
      </c>
      <c r="R376" s="715">
        <f t="shared" si="72"/>
        <v>0</v>
      </c>
      <c r="S376" s="361">
        <f t="shared" si="63"/>
        <v>0</v>
      </c>
    </row>
    <row r="377" spans="1:19">
      <c r="A377" s="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0.02</v>
      </c>
      <c r="P377" s="719"/>
      <c r="Q377" s="24">
        <f t="shared" si="71"/>
        <v>0.04</v>
      </c>
      <c r="R377" s="715">
        <f t="shared" si="72"/>
        <v>0</v>
      </c>
      <c r="S377" s="361">
        <f t="shared" si="63"/>
        <v>0</v>
      </c>
    </row>
    <row r="378" spans="1:19">
      <c r="A378" s="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0.02</v>
      </c>
      <c r="P378" s="719"/>
      <c r="Q378" s="24">
        <f t="shared" si="71"/>
        <v>0.04</v>
      </c>
      <c r="R378" s="715">
        <f t="shared" si="72"/>
        <v>0</v>
      </c>
      <c r="S378" s="361">
        <f t="shared" si="63"/>
        <v>0</v>
      </c>
    </row>
    <row r="379" spans="1:19">
      <c r="A379" s="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0.02</v>
      </c>
      <c r="P379" s="719"/>
      <c r="Q379" s="24">
        <f t="shared" si="71"/>
        <v>0.04</v>
      </c>
      <c r="R379" s="715">
        <f t="shared" si="72"/>
        <v>0</v>
      </c>
      <c r="S379" s="361">
        <f t="shared" si="63"/>
        <v>0</v>
      </c>
    </row>
    <row r="380" spans="1:19">
      <c r="A380" s="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0.02</v>
      </c>
      <c r="P380" s="719"/>
      <c r="Q380" s="24">
        <f t="shared" si="71"/>
        <v>0.04</v>
      </c>
      <c r="R380" s="715">
        <f t="shared" si="72"/>
        <v>0</v>
      </c>
      <c r="S380" s="361">
        <f t="shared" si="63"/>
        <v>0</v>
      </c>
    </row>
    <row r="381" spans="1:19">
      <c r="A381" s="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0.02</v>
      </c>
      <c r="P381" s="719"/>
      <c r="Q381" s="24">
        <f t="shared" si="71"/>
        <v>0.04</v>
      </c>
      <c r="R381" s="715">
        <f t="shared" si="72"/>
        <v>0</v>
      </c>
      <c r="S381" s="361">
        <f t="shared" si="63"/>
        <v>0</v>
      </c>
    </row>
    <row r="382" spans="1:19">
      <c r="A382" s="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0.02</v>
      </c>
      <c r="P382" s="719"/>
      <c r="Q382" s="24">
        <f t="shared" si="71"/>
        <v>0.04</v>
      </c>
      <c r="R382" s="715">
        <f t="shared" si="72"/>
        <v>0</v>
      </c>
      <c r="S382" s="361">
        <f t="shared" si="63"/>
        <v>0</v>
      </c>
    </row>
    <row r="383" spans="1:19">
      <c r="A383" s="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0.02</v>
      </c>
      <c r="P383" s="719"/>
      <c r="Q383" s="24">
        <f t="shared" si="71"/>
        <v>0.04</v>
      </c>
      <c r="R383" s="715">
        <f t="shared" si="72"/>
        <v>0</v>
      </c>
      <c r="S383" s="361">
        <f t="shared" si="63"/>
        <v>0</v>
      </c>
    </row>
    <row r="384" spans="1:19">
      <c r="A384" s="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0.02</v>
      </c>
      <c r="P384" s="719"/>
      <c r="Q384" s="24">
        <f t="shared" si="71"/>
        <v>0.04</v>
      </c>
      <c r="R384" s="715">
        <f t="shared" si="72"/>
        <v>0</v>
      </c>
      <c r="S384" s="361">
        <f t="shared" si="63"/>
        <v>0</v>
      </c>
    </row>
    <row r="385" spans="1:19">
      <c r="A385" s="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0.02</v>
      </c>
      <c r="P385" s="719"/>
      <c r="Q385" s="24">
        <f t="shared" si="71"/>
        <v>0.04</v>
      </c>
      <c r="R385" s="715">
        <f t="shared" si="72"/>
        <v>0</v>
      </c>
      <c r="S385" s="361">
        <f t="shared" ref="S385:S422" si="73">ROUND(R385*B385/10000,0)</f>
        <v>0</v>
      </c>
    </row>
    <row r="386" spans="1:19">
      <c r="A386" s="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0.02</v>
      </c>
      <c r="P386" s="719"/>
      <c r="Q386" s="24">
        <f t="shared" si="71"/>
        <v>0.04</v>
      </c>
      <c r="R386" s="715">
        <f t="shared" si="72"/>
        <v>0</v>
      </c>
      <c r="S386" s="361">
        <f t="shared" si="73"/>
        <v>0</v>
      </c>
    </row>
    <row r="387" spans="1:19">
      <c r="A387" s="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0.02</v>
      </c>
      <c r="P387" s="719"/>
      <c r="Q387" s="24">
        <f t="shared" si="71"/>
        <v>0.04</v>
      </c>
      <c r="R387" s="715">
        <f t="shared" si="72"/>
        <v>0</v>
      </c>
      <c r="S387" s="361">
        <f t="shared" si="73"/>
        <v>0</v>
      </c>
    </row>
    <row r="388" spans="1:19">
      <c r="A388" s="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0.02</v>
      </c>
      <c r="P388" s="719"/>
      <c r="Q388" s="24">
        <f t="shared" si="71"/>
        <v>0.04</v>
      </c>
      <c r="R388" s="715">
        <f t="shared" si="72"/>
        <v>0</v>
      </c>
      <c r="S388" s="361">
        <f t="shared" si="73"/>
        <v>0</v>
      </c>
    </row>
    <row r="389" spans="1:19">
      <c r="A389" s="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0.02</v>
      </c>
      <c r="P389" s="719"/>
      <c r="Q389" s="24">
        <f t="shared" si="71"/>
        <v>0.04</v>
      </c>
      <c r="R389" s="715">
        <f t="shared" si="72"/>
        <v>0</v>
      </c>
      <c r="S389" s="361">
        <f t="shared" si="73"/>
        <v>0</v>
      </c>
    </row>
    <row r="390" spans="1:19">
      <c r="A390" s="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0.02</v>
      </c>
      <c r="P390" s="719"/>
      <c r="Q390" s="24">
        <f t="shared" si="71"/>
        <v>0.04</v>
      </c>
      <c r="R390" s="715">
        <f t="shared" si="72"/>
        <v>0</v>
      </c>
      <c r="S390" s="361">
        <f t="shared" si="73"/>
        <v>0</v>
      </c>
    </row>
    <row r="391" spans="1:19">
      <c r="A391" s="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0.02</v>
      </c>
      <c r="P391" s="719"/>
      <c r="Q391" s="24">
        <f t="shared" si="71"/>
        <v>0.04</v>
      </c>
      <c r="R391" s="715">
        <f t="shared" si="72"/>
        <v>0</v>
      </c>
      <c r="S391" s="361">
        <f t="shared" si="73"/>
        <v>0</v>
      </c>
    </row>
    <row r="392" spans="1:19">
      <c r="A392" s="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0.02</v>
      </c>
      <c r="P392" s="719"/>
      <c r="Q392" s="24">
        <f t="shared" si="71"/>
        <v>0.04</v>
      </c>
      <c r="R392" s="715">
        <f t="shared" si="72"/>
        <v>0</v>
      </c>
      <c r="S392" s="361">
        <f t="shared" si="73"/>
        <v>0</v>
      </c>
    </row>
    <row r="393" spans="1:19">
      <c r="A393" s="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0.02</v>
      </c>
      <c r="P393" s="719"/>
      <c r="Q393" s="24">
        <f t="shared" si="71"/>
        <v>0.04</v>
      </c>
      <c r="R393" s="715">
        <f t="shared" si="72"/>
        <v>0</v>
      </c>
      <c r="S393" s="361">
        <f t="shared" si="73"/>
        <v>0</v>
      </c>
    </row>
    <row r="394" spans="1:19">
      <c r="A394" s="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0.02</v>
      </c>
      <c r="P394" s="719"/>
      <c r="Q394" s="24">
        <f t="shared" si="71"/>
        <v>0.04</v>
      </c>
      <c r="R394" s="715">
        <f t="shared" si="72"/>
        <v>0</v>
      </c>
      <c r="S394" s="361">
        <f t="shared" si="73"/>
        <v>0</v>
      </c>
    </row>
    <row r="395" spans="1:19">
      <c r="A395" s="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0.02</v>
      </c>
      <c r="P395" s="719"/>
      <c r="Q395" s="24">
        <f t="shared" si="71"/>
        <v>0.04</v>
      </c>
      <c r="R395" s="715">
        <f t="shared" si="72"/>
        <v>0</v>
      </c>
      <c r="S395" s="361">
        <f t="shared" si="73"/>
        <v>0</v>
      </c>
    </row>
    <row r="396" spans="1:19">
      <c r="A396" s="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0.02</v>
      </c>
      <c r="P396" s="719"/>
      <c r="Q396" s="24">
        <f t="shared" si="71"/>
        <v>0.04</v>
      </c>
      <c r="R396" s="715">
        <f t="shared" si="72"/>
        <v>0</v>
      </c>
      <c r="S396" s="361">
        <f t="shared" si="73"/>
        <v>0</v>
      </c>
    </row>
    <row r="397" spans="1:19">
      <c r="A397" s="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0.02</v>
      </c>
      <c r="P397" s="719"/>
      <c r="Q397" s="24">
        <f t="shared" si="71"/>
        <v>0.04</v>
      </c>
      <c r="R397" s="715">
        <f t="shared" si="72"/>
        <v>0</v>
      </c>
      <c r="S397" s="361">
        <f t="shared" si="73"/>
        <v>0</v>
      </c>
    </row>
    <row r="398" spans="1:19">
      <c r="A398" s="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0.02</v>
      </c>
      <c r="P398" s="719"/>
      <c r="Q398" s="24">
        <f t="shared" si="71"/>
        <v>0.04</v>
      </c>
      <c r="R398" s="715">
        <f t="shared" si="72"/>
        <v>0</v>
      </c>
      <c r="S398" s="361">
        <f t="shared" si="73"/>
        <v>0</v>
      </c>
    </row>
    <row r="399" spans="1:19">
      <c r="A399" s="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0.02</v>
      </c>
      <c r="P399" s="719"/>
      <c r="Q399" s="24">
        <f t="shared" si="71"/>
        <v>0.04</v>
      </c>
      <c r="R399" s="715">
        <f t="shared" si="72"/>
        <v>0</v>
      </c>
      <c r="S399" s="361">
        <f t="shared" si="73"/>
        <v>0</v>
      </c>
    </row>
    <row r="400" spans="1:19">
      <c r="A400" s="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0.02</v>
      </c>
      <c r="P400" s="719"/>
      <c r="Q400" s="24">
        <f t="shared" si="71"/>
        <v>0.04</v>
      </c>
      <c r="R400" s="715">
        <f t="shared" si="72"/>
        <v>0</v>
      </c>
      <c r="S400" s="361">
        <f t="shared" si="73"/>
        <v>0</v>
      </c>
    </row>
    <row r="401" spans="1:19">
      <c r="A401" s="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0.02</v>
      </c>
      <c r="P401" s="719"/>
      <c r="Q401" s="24">
        <f t="shared" si="71"/>
        <v>0.04</v>
      </c>
      <c r="R401" s="715">
        <f t="shared" si="72"/>
        <v>0</v>
      </c>
      <c r="S401" s="361">
        <f t="shared" si="73"/>
        <v>0</v>
      </c>
    </row>
    <row r="402" spans="1:19">
      <c r="A402" s="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0.02</v>
      </c>
      <c r="P402" s="719"/>
      <c r="Q402" s="24">
        <f t="shared" si="71"/>
        <v>0.04</v>
      </c>
      <c r="R402" s="715">
        <f t="shared" si="72"/>
        <v>0</v>
      </c>
      <c r="S402" s="361">
        <f t="shared" si="73"/>
        <v>0</v>
      </c>
    </row>
    <row r="403" spans="1:19">
      <c r="A403" s="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0.02</v>
      </c>
      <c r="P403" s="719"/>
      <c r="Q403" s="24">
        <f t="shared" si="71"/>
        <v>0.04</v>
      </c>
      <c r="R403" s="715">
        <f t="shared" si="72"/>
        <v>0</v>
      </c>
      <c r="S403" s="361">
        <f t="shared" si="73"/>
        <v>0</v>
      </c>
    </row>
    <row r="404" spans="1:19">
      <c r="A404" s="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0.02</v>
      </c>
      <c r="P404" s="719"/>
      <c r="Q404" s="24">
        <f t="shared" si="71"/>
        <v>0.04</v>
      </c>
      <c r="R404" s="715">
        <f t="shared" si="72"/>
        <v>0</v>
      </c>
      <c r="S404" s="361">
        <f t="shared" si="73"/>
        <v>0</v>
      </c>
    </row>
    <row r="405" spans="1:19">
      <c r="A405" s="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0.02</v>
      </c>
      <c r="P405" s="719"/>
      <c r="Q405" s="24">
        <f t="shared" si="71"/>
        <v>0.04</v>
      </c>
      <c r="R405" s="715">
        <f t="shared" si="72"/>
        <v>0</v>
      </c>
      <c r="S405" s="361">
        <f t="shared" si="73"/>
        <v>0</v>
      </c>
    </row>
    <row r="406" spans="1:19">
      <c r="A406" s="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0.02</v>
      </c>
      <c r="P406" s="719"/>
      <c r="Q406" s="24">
        <f t="shared" si="71"/>
        <v>0.04</v>
      </c>
      <c r="R406" s="715">
        <f t="shared" si="72"/>
        <v>0</v>
      </c>
      <c r="S406" s="361">
        <f t="shared" si="73"/>
        <v>0</v>
      </c>
    </row>
    <row r="407" spans="1:19">
      <c r="A407" s="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0.02</v>
      </c>
      <c r="P407" s="719"/>
      <c r="Q407" s="24">
        <f t="shared" si="71"/>
        <v>0.04</v>
      </c>
      <c r="R407" s="715">
        <f t="shared" si="72"/>
        <v>0</v>
      </c>
      <c r="S407" s="361">
        <f t="shared" si="73"/>
        <v>0</v>
      </c>
    </row>
    <row r="408" spans="1:19">
      <c r="A408" s="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0.02</v>
      </c>
      <c r="P408" s="719"/>
      <c r="Q408" s="24">
        <f t="shared" si="71"/>
        <v>0.04</v>
      </c>
      <c r="R408" s="715">
        <f t="shared" si="72"/>
        <v>0</v>
      </c>
      <c r="S408" s="361">
        <f t="shared" si="73"/>
        <v>0</v>
      </c>
    </row>
    <row r="409" spans="1:19">
      <c r="A409" s="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0.02</v>
      </c>
      <c r="P409" s="719"/>
      <c r="Q409" s="24">
        <f t="shared" si="71"/>
        <v>0.04</v>
      </c>
      <c r="R409" s="715">
        <f t="shared" si="72"/>
        <v>0</v>
      </c>
      <c r="S409" s="361">
        <f t="shared" si="73"/>
        <v>0</v>
      </c>
    </row>
    <row r="410" spans="1:19">
      <c r="A410" s="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0.02</v>
      </c>
      <c r="P410" s="719"/>
      <c r="Q410" s="24">
        <f t="shared" ref="Q410:Q473" si="81">(SUMIF($17:$17,P410,$18:$18)-SUMIF($17:$17,$P$24,$18:$18)+100)/100</f>
        <v>0.04</v>
      </c>
      <c r="R410" s="715">
        <f t="shared" ref="R410:R473" si="82">IF(B410="",0,ROUND($R$24*C410*E410*G410*I410*K410*M410*O410*Q410,0))</f>
        <v>0</v>
      </c>
      <c r="S410" s="361">
        <f t="shared" si="73"/>
        <v>0</v>
      </c>
    </row>
    <row r="411" spans="1:19">
      <c r="A411" s="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0.02</v>
      </c>
      <c r="P411" s="719"/>
      <c r="Q411" s="24">
        <f t="shared" si="81"/>
        <v>0.04</v>
      </c>
      <c r="R411" s="715">
        <f t="shared" si="82"/>
        <v>0</v>
      </c>
      <c r="S411" s="361">
        <f t="shared" si="73"/>
        <v>0</v>
      </c>
    </row>
    <row r="412" spans="1:19">
      <c r="A412" s="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0.02</v>
      </c>
      <c r="P412" s="719"/>
      <c r="Q412" s="24">
        <f t="shared" si="81"/>
        <v>0.04</v>
      </c>
      <c r="R412" s="715">
        <f t="shared" si="82"/>
        <v>0</v>
      </c>
      <c r="S412" s="361">
        <f t="shared" si="73"/>
        <v>0</v>
      </c>
    </row>
    <row r="413" spans="1:19">
      <c r="A413" s="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0.02</v>
      </c>
      <c r="P413" s="719"/>
      <c r="Q413" s="24">
        <f t="shared" si="81"/>
        <v>0.04</v>
      </c>
      <c r="R413" s="715">
        <f t="shared" si="82"/>
        <v>0</v>
      </c>
      <c r="S413" s="361">
        <f t="shared" si="73"/>
        <v>0</v>
      </c>
    </row>
    <row r="414" spans="1:19">
      <c r="A414" s="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0.02</v>
      </c>
      <c r="P414" s="719"/>
      <c r="Q414" s="24">
        <f t="shared" si="81"/>
        <v>0.04</v>
      </c>
      <c r="R414" s="715">
        <f t="shared" si="82"/>
        <v>0</v>
      </c>
      <c r="S414" s="361">
        <f t="shared" si="73"/>
        <v>0</v>
      </c>
    </row>
    <row r="415" spans="1:19">
      <c r="A415" s="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0.02</v>
      </c>
      <c r="P415" s="719"/>
      <c r="Q415" s="24">
        <f t="shared" si="81"/>
        <v>0.04</v>
      </c>
      <c r="R415" s="715">
        <f t="shared" si="82"/>
        <v>0</v>
      </c>
      <c r="S415" s="361">
        <f t="shared" si="73"/>
        <v>0</v>
      </c>
    </row>
    <row r="416" spans="1:19">
      <c r="A416" s="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0.02</v>
      </c>
      <c r="P416" s="719"/>
      <c r="Q416" s="24">
        <f t="shared" si="81"/>
        <v>0.04</v>
      </c>
      <c r="R416" s="715">
        <f t="shared" si="82"/>
        <v>0</v>
      </c>
      <c r="S416" s="361">
        <f t="shared" si="73"/>
        <v>0</v>
      </c>
    </row>
    <row r="417" spans="1:19">
      <c r="A417" s="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0.02</v>
      </c>
      <c r="P417" s="719"/>
      <c r="Q417" s="24">
        <f t="shared" si="81"/>
        <v>0.04</v>
      </c>
      <c r="R417" s="715">
        <f t="shared" si="82"/>
        <v>0</v>
      </c>
      <c r="S417" s="361">
        <f t="shared" si="73"/>
        <v>0</v>
      </c>
    </row>
    <row r="418" spans="1:19">
      <c r="A418" s="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0.02</v>
      </c>
      <c r="P418" s="719"/>
      <c r="Q418" s="24">
        <f t="shared" si="81"/>
        <v>0.04</v>
      </c>
      <c r="R418" s="715">
        <f t="shared" si="82"/>
        <v>0</v>
      </c>
      <c r="S418" s="361">
        <f t="shared" si="73"/>
        <v>0</v>
      </c>
    </row>
    <row r="419" spans="1:19">
      <c r="A419" s="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0.02</v>
      </c>
      <c r="P419" s="719"/>
      <c r="Q419" s="24">
        <f t="shared" si="81"/>
        <v>0.04</v>
      </c>
      <c r="R419" s="715">
        <f t="shared" si="82"/>
        <v>0</v>
      </c>
      <c r="S419" s="361">
        <f t="shared" si="73"/>
        <v>0</v>
      </c>
    </row>
    <row r="420" spans="1:19">
      <c r="A420" s="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0.02</v>
      </c>
      <c r="P420" s="719"/>
      <c r="Q420" s="24">
        <f t="shared" si="81"/>
        <v>0.04</v>
      </c>
      <c r="R420" s="715">
        <f t="shared" si="82"/>
        <v>0</v>
      </c>
      <c r="S420" s="361">
        <f t="shared" si="73"/>
        <v>0</v>
      </c>
    </row>
    <row r="421" spans="1:19">
      <c r="A421" s="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0.02</v>
      </c>
      <c r="P421" s="719"/>
      <c r="Q421" s="24">
        <f t="shared" si="81"/>
        <v>0.04</v>
      </c>
      <c r="R421" s="715">
        <f t="shared" si="82"/>
        <v>0</v>
      </c>
      <c r="S421" s="361">
        <f t="shared" si="73"/>
        <v>0</v>
      </c>
    </row>
    <row r="422" spans="1:19">
      <c r="A422" s="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0.02</v>
      </c>
      <c r="P422" s="719"/>
      <c r="Q422" s="24">
        <f t="shared" si="81"/>
        <v>0.04</v>
      </c>
      <c r="R422" s="715">
        <f t="shared" si="82"/>
        <v>0</v>
      </c>
      <c r="S422" s="361">
        <f t="shared" si="73"/>
        <v>0</v>
      </c>
    </row>
    <row r="423" spans="1:19">
      <c r="A423" s="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0.02</v>
      </c>
      <c r="P423" s="719"/>
      <c r="Q423" s="24">
        <f t="shared" si="81"/>
        <v>0.04</v>
      </c>
      <c r="R423" s="715">
        <f t="shared" si="82"/>
        <v>0</v>
      </c>
      <c r="S423" s="361">
        <f t="shared" ref="S423:S467" si="83">ROUND(R423*B423/10000,0)</f>
        <v>0</v>
      </c>
    </row>
    <row r="424" spans="1:19">
      <c r="A424" s="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0.02</v>
      </c>
      <c r="P424" s="719"/>
      <c r="Q424" s="24">
        <f t="shared" si="81"/>
        <v>0.04</v>
      </c>
      <c r="R424" s="715">
        <f t="shared" si="82"/>
        <v>0</v>
      </c>
      <c r="S424" s="361">
        <f t="shared" si="83"/>
        <v>0</v>
      </c>
    </row>
    <row r="425" spans="1:19">
      <c r="A425" s="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0.02</v>
      </c>
      <c r="P425" s="719"/>
      <c r="Q425" s="24">
        <f t="shared" si="81"/>
        <v>0.04</v>
      </c>
      <c r="R425" s="715">
        <f t="shared" si="82"/>
        <v>0</v>
      </c>
      <c r="S425" s="361">
        <f t="shared" si="83"/>
        <v>0</v>
      </c>
    </row>
    <row r="426" spans="1:19">
      <c r="A426" s="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0.02</v>
      </c>
      <c r="P426" s="719"/>
      <c r="Q426" s="24">
        <f t="shared" si="81"/>
        <v>0.04</v>
      </c>
      <c r="R426" s="715">
        <f t="shared" si="82"/>
        <v>0</v>
      </c>
      <c r="S426" s="361">
        <f t="shared" si="83"/>
        <v>0</v>
      </c>
    </row>
    <row r="427" spans="1:19">
      <c r="A427" s="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0.02</v>
      </c>
      <c r="P427" s="719"/>
      <c r="Q427" s="24">
        <f t="shared" si="81"/>
        <v>0.04</v>
      </c>
      <c r="R427" s="715">
        <f t="shared" si="82"/>
        <v>0</v>
      </c>
      <c r="S427" s="361">
        <f t="shared" si="83"/>
        <v>0</v>
      </c>
    </row>
    <row r="428" spans="1:19">
      <c r="A428" s="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0.02</v>
      </c>
      <c r="P428" s="719"/>
      <c r="Q428" s="24">
        <f t="shared" si="81"/>
        <v>0.04</v>
      </c>
      <c r="R428" s="715">
        <f t="shared" si="82"/>
        <v>0</v>
      </c>
      <c r="S428" s="361">
        <f t="shared" si="83"/>
        <v>0</v>
      </c>
    </row>
    <row r="429" spans="1:19">
      <c r="A429" s="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0.02</v>
      </c>
      <c r="P429" s="719"/>
      <c r="Q429" s="24">
        <f t="shared" si="81"/>
        <v>0.04</v>
      </c>
      <c r="R429" s="715">
        <f t="shared" si="82"/>
        <v>0</v>
      </c>
      <c r="S429" s="361">
        <f t="shared" si="83"/>
        <v>0</v>
      </c>
    </row>
    <row r="430" spans="1:19">
      <c r="A430" s="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0.02</v>
      </c>
      <c r="P430" s="719"/>
      <c r="Q430" s="24">
        <f t="shared" si="81"/>
        <v>0.04</v>
      </c>
      <c r="R430" s="715">
        <f t="shared" si="82"/>
        <v>0</v>
      </c>
      <c r="S430" s="361">
        <f t="shared" si="83"/>
        <v>0</v>
      </c>
    </row>
    <row r="431" spans="1:19">
      <c r="A431" s="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0.02</v>
      </c>
      <c r="P431" s="719"/>
      <c r="Q431" s="24">
        <f t="shared" si="81"/>
        <v>0.04</v>
      </c>
      <c r="R431" s="715">
        <f t="shared" si="82"/>
        <v>0</v>
      </c>
      <c r="S431" s="361">
        <f t="shared" si="83"/>
        <v>0</v>
      </c>
    </row>
    <row r="432" spans="1:19">
      <c r="A432" s="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0.02</v>
      </c>
      <c r="P432" s="719"/>
      <c r="Q432" s="24">
        <f t="shared" si="81"/>
        <v>0.04</v>
      </c>
      <c r="R432" s="715">
        <f t="shared" si="82"/>
        <v>0</v>
      </c>
      <c r="S432" s="361">
        <f t="shared" si="83"/>
        <v>0</v>
      </c>
    </row>
    <row r="433" spans="1:19">
      <c r="A433" s="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0.02</v>
      </c>
      <c r="P433" s="719"/>
      <c r="Q433" s="24">
        <f t="shared" si="81"/>
        <v>0.04</v>
      </c>
      <c r="R433" s="715">
        <f t="shared" si="82"/>
        <v>0</v>
      </c>
      <c r="S433" s="361">
        <f t="shared" si="83"/>
        <v>0</v>
      </c>
    </row>
    <row r="434" spans="1:19">
      <c r="A434" s="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0.02</v>
      </c>
      <c r="P434" s="719"/>
      <c r="Q434" s="24">
        <f t="shared" si="81"/>
        <v>0.04</v>
      </c>
      <c r="R434" s="715">
        <f t="shared" si="82"/>
        <v>0</v>
      </c>
      <c r="S434" s="361">
        <f t="shared" si="83"/>
        <v>0</v>
      </c>
    </row>
    <row r="435" spans="1:19">
      <c r="A435" s="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0.02</v>
      </c>
      <c r="P435" s="719"/>
      <c r="Q435" s="24">
        <f t="shared" si="81"/>
        <v>0.04</v>
      </c>
      <c r="R435" s="715">
        <f t="shared" si="82"/>
        <v>0</v>
      </c>
      <c r="S435" s="361">
        <f t="shared" si="83"/>
        <v>0</v>
      </c>
    </row>
    <row r="436" spans="1:19">
      <c r="A436" s="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0.02</v>
      </c>
      <c r="P436" s="719"/>
      <c r="Q436" s="24">
        <f t="shared" si="81"/>
        <v>0.04</v>
      </c>
      <c r="R436" s="715">
        <f t="shared" si="82"/>
        <v>0</v>
      </c>
      <c r="S436" s="361">
        <f t="shared" si="83"/>
        <v>0</v>
      </c>
    </row>
    <row r="437" spans="1:19">
      <c r="A437" s="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0.02</v>
      </c>
      <c r="P437" s="719"/>
      <c r="Q437" s="24">
        <f t="shared" si="81"/>
        <v>0.04</v>
      </c>
      <c r="R437" s="715">
        <f t="shared" si="82"/>
        <v>0</v>
      </c>
      <c r="S437" s="361">
        <f t="shared" si="83"/>
        <v>0</v>
      </c>
    </row>
    <row r="438" spans="1:19">
      <c r="A438" s="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0.02</v>
      </c>
      <c r="P438" s="719"/>
      <c r="Q438" s="24">
        <f t="shared" si="81"/>
        <v>0.04</v>
      </c>
      <c r="R438" s="715">
        <f t="shared" si="82"/>
        <v>0</v>
      </c>
      <c r="S438" s="361">
        <f t="shared" si="83"/>
        <v>0</v>
      </c>
    </row>
    <row r="439" spans="1:19">
      <c r="A439" s="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0.02</v>
      </c>
      <c r="P439" s="719"/>
      <c r="Q439" s="24">
        <f t="shared" si="81"/>
        <v>0.04</v>
      </c>
      <c r="R439" s="715">
        <f t="shared" si="82"/>
        <v>0</v>
      </c>
      <c r="S439" s="361">
        <f t="shared" si="83"/>
        <v>0</v>
      </c>
    </row>
    <row r="440" spans="1:19">
      <c r="A440" s="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0.02</v>
      </c>
      <c r="P440" s="719"/>
      <c r="Q440" s="24">
        <f t="shared" si="81"/>
        <v>0.04</v>
      </c>
      <c r="R440" s="715">
        <f t="shared" si="82"/>
        <v>0</v>
      </c>
      <c r="S440" s="361">
        <f t="shared" si="83"/>
        <v>0</v>
      </c>
    </row>
    <row r="441" spans="1:19">
      <c r="A441" s="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0.02</v>
      </c>
      <c r="P441" s="719"/>
      <c r="Q441" s="24">
        <f t="shared" si="81"/>
        <v>0.04</v>
      </c>
      <c r="R441" s="715">
        <f t="shared" si="82"/>
        <v>0</v>
      </c>
      <c r="S441" s="361">
        <f t="shared" si="83"/>
        <v>0</v>
      </c>
    </row>
    <row r="442" spans="1:19">
      <c r="A442" s="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0.02</v>
      </c>
      <c r="P442" s="719"/>
      <c r="Q442" s="24">
        <f t="shared" si="81"/>
        <v>0.04</v>
      </c>
      <c r="R442" s="715">
        <f t="shared" si="82"/>
        <v>0</v>
      </c>
      <c r="S442" s="361">
        <f t="shared" si="83"/>
        <v>0</v>
      </c>
    </row>
    <row r="443" spans="1:19">
      <c r="A443" s="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0.02</v>
      </c>
      <c r="P443" s="719"/>
      <c r="Q443" s="24">
        <f t="shared" si="81"/>
        <v>0.04</v>
      </c>
      <c r="R443" s="715">
        <f t="shared" si="82"/>
        <v>0</v>
      </c>
      <c r="S443" s="361">
        <f t="shared" si="83"/>
        <v>0</v>
      </c>
    </row>
    <row r="444" spans="1:19">
      <c r="A444" s="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0.02</v>
      </c>
      <c r="P444" s="719"/>
      <c r="Q444" s="24">
        <f t="shared" si="81"/>
        <v>0.04</v>
      </c>
      <c r="R444" s="715">
        <f t="shared" si="82"/>
        <v>0</v>
      </c>
      <c r="S444" s="361">
        <f t="shared" si="83"/>
        <v>0</v>
      </c>
    </row>
    <row r="445" spans="1:19">
      <c r="A445" s="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0.02</v>
      </c>
      <c r="P445" s="719"/>
      <c r="Q445" s="24">
        <f t="shared" si="81"/>
        <v>0.04</v>
      </c>
      <c r="R445" s="715">
        <f t="shared" si="82"/>
        <v>0</v>
      </c>
      <c r="S445" s="361">
        <f t="shared" si="83"/>
        <v>0</v>
      </c>
    </row>
    <row r="446" spans="1:19">
      <c r="A446" s="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0.02</v>
      </c>
      <c r="P446" s="719"/>
      <c r="Q446" s="24">
        <f t="shared" si="81"/>
        <v>0.04</v>
      </c>
      <c r="R446" s="715">
        <f t="shared" si="82"/>
        <v>0</v>
      </c>
      <c r="S446" s="361">
        <f t="shared" si="83"/>
        <v>0</v>
      </c>
    </row>
    <row r="447" spans="1:19">
      <c r="A447" s="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0.02</v>
      </c>
      <c r="P447" s="719"/>
      <c r="Q447" s="24">
        <f t="shared" si="81"/>
        <v>0.04</v>
      </c>
      <c r="R447" s="715">
        <f t="shared" si="82"/>
        <v>0</v>
      </c>
      <c r="S447" s="361">
        <f t="shared" si="83"/>
        <v>0</v>
      </c>
    </row>
    <row r="448" spans="1:19">
      <c r="A448" s="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0.02</v>
      </c>
      <c r="P448" s="719"/>
      <c r="Q448" s="24">
        <f t="shared" si="81"/>
        <v>0.04</v>
      </c>
      <c r="R448" s="715">
        <f t="shared" si="82"/>
        <v>0</v>
      </c>
      <c r="S448" s="361">
        <f t="shared" si="83"/>
        <v>0</v>
      </c>
    </row>
    <row r="449" spans="1:19">
      <c r="A449" s="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0.02</v>
      </c>
      <c r="P449" s="719"/>
      <c r="Q449" s="24">
        <f t="shared" si="81"/>
        <v>0.04</v>
      </c>
      <c r="R449" s="715">
        <f t="shared" si="82"/>
        <v>0</v>
      </c>
      <c r="S449" s="361">
        <f t="shared" si="83"/>
        <v>0</v>
      </c>
    </row>
    <row r="450" spans="1:19">
      <c r="A450" s="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0.02</v>
      </c>
      <c r="P450" s="719"/>
      <c r="Q450" s="24">
        <f t="shared" si="81"/>
        <v>0.04</v>
      </c>
      <c r="R450" s="715">
        <f t="shared" si="82"/>
        <v>0</v>
      </c>
      <c r="S450" s="361">
        <f t="shared" si="83"/>
        <v>0</v>
      </c>
    </row>
    <row r="451" spans="1:19">
      <c r="A451" s="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0.02</v>
      </c>
      <c r="P451" s="719"/>
      <c r="Q451" s="24">
        <f t="shared" si="81"/>
        <v>0.04</v>
      </c>
      <c r="R451" s="715">
        <f t="shared" si="82"/>
        <v>0</v>
      </c>
      <c r="S451" s="361">
        <f t="shared" si="83"/>
        <v>0</v>
      </c>
    </row>
    <row r="452" spans="1:19">
      <c r="A452" s="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0.02</v>
      </c>
      <c r="P452" s="719"/>
      <c r="Q452" s="24">
        <f t="shared" si="81"/>
        <v>0.04</v>
      </c>
      <c r="R452" s="715">
        <f t="shared" si="82"/>
        <v>0</v>
      </c>
      <c r="S452" s="361">
        <f t="shared" si="83"/>
        <v>0</v>
      </c>
    </row>
    <row r="453" spans="1:19">
      <c r="A453" s="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0.02</v>
      </c>
      <c r="P453" s="719"/>
      <c r="Q453" s="24">
        <f t="shared" si="81"/>
        <v>0.04</v>
      </c>
      <c r="R453" s="715">
        <f t="shared" si="82"/>
        <v>0</v>
      </c>
      <c r="S453" s="361">
        <f t="shared" si="83"/>
        <v>0</v>
      </c>
    </row>
    <row r="454" spans="1:19">
      <c r="A454" s="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0.02</v>
      </c>
      <c r="P454" s="719"/>
      <c r="Q454" s="24">
        <f t="shared" si="81"/>
        <v>0.04</v>
      </c>
      <c r="R454" s="715">
        <f t="shared" si="82"/>
        <v>0</v>
      </c>
      <c r="S454" s="361">
        <f t="shared" si="83"/>
        <v>0</v>
      </c>
    </row>
    <row r="455" spans="1:19">
      <c r="A455" s="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0.02</v>
      </c>
      <c r="P455" s="719"/>
      <c r="Q455" s="24">
        <f t="shared" si="81"/>
        <v>0.04</v>
      </c>
      <c r="R455" s="715">
        <f t="shared" si="82"/>
        <v>0</v>
      </c>
      <c r="S455" s="361">
        <f t="shared" si="83"/>
        <v>0</v>
      </c>
    </row>
    <row r="456" spans="1:19">
      <c r="A456" s="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0.02</v>
      </c>
      <c r="P456" s="719"/>
      <c r="Q456" s="24">
        <f t="shared" si="81"/>
        <v>0.04</v>
      </c>
      <c r="R456" s="715">
        <f t="shared" si="82"/>
        <v>0</v>
      </c>
      <c r="S456" s="361">
        <f t="shared" si="83"/>
        <v>0</v>
      </c>
    </row>
    <row r="457" spans="1:19">
      <c r="A457" s="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0.02</v>
      </c>
      <c r="P457" s="719"/>
      <c r="Q457" s="24">
        <f t="shared" si="81"/>
        <v>0.04</v>
      </c>
      <c r="R457" s="715">
        <f t="shared" si="82"/>
        <v>0</v>
      </c>
      <c r="S457" s="361">
        <f t="shared" si="83"/>
        <v>0</v>
      </c>
    </row>
    <row r="458" spans="1:19">
      <c r="A458" s="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0.02</v>
      </c>
      <c r="P458" s="719"/>
      <c r="Q458" s="24">
        <f t="shared" si="81"/>
        <v>0.04</v>
      </c>
      <c r="R458" s="715">
        <f t="shared" si="82"/>
        <v>0</v>
      </c>
      <c r="S458" s="361">
        <f t="shared" si="83"/>
        <v>0</v>
      </c>
    </row>
    <row r="459" spans="1:19">
      <c r="A459" s="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0.02</v>
      </c>
      <c r="P459" s="719"/>
      <c r="Q459" s="24">
        <f t="shared" si="81"/>
        <v>0.04</v>
      </c>
      <c r="R459" s="715">
        <f t="shared" si="82"/>
        <v>0</v>
      </c>
      <c r="S459" s="361">
        <f t="shared" si="83"/>
        <v>0</v>
      </c>
    </row>
    <row r="460" spans="1:19">
      <c r="A460" s="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0.02</v>
      </c>
      <c r="P460" s="719"/>
      <c r="Q460" s="24">
        <f t="shared" si="81"/>
        <v>0.04</v>
      </c>
      <c r="R460" s="715">
        <f t="shared" si="82"/>
        <v>0</v>
      </c>
      <c r="S460" s="361">
        <f t="shared" si="83"/>
        <v>0</v>
      </c>
    </row>
    <row r="461" spans="1:19">
      <c r="A461" s="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0.02</v>
      </c>
      <c r="P461" s="719"/>
      <c r="Q461" s="24">
        <f t="shared" si="81"/>
        <v>0.04</v>
      </c>
      <c r="R461" s="715">
        <f t="shared" si="82"/>
        <v>0</v>
      </c>
      <c r="S461" s="361">
        <f t="shared" si="83"/>
        <v>0</v>
      </c>
    </row>
    <row r="462" spans="1:19">
      <c r="A462" s="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0.02</v>
      </c>
      <c r="P462" s="719"/>
      <c r="Q462" s="24">
        <f t="shared" si="81"/>
        <v>0.04</v>
      </c>
      <c r="R462" s="715">
        <f t="shared" si="82"/>
        <v>0</v>
      </c>
      <c r="S462" s="361">
        <f t="shared" si="83"/>
        <v>0</v>
      </c>
    </row>
    <row r="463" spans="1:19">
      <c r="A463" s="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0.02</v>
      </c>
      <c r="P463" s="719"/>
      <c r="Q463" s="24">
        <f t="shared" si="81"/>
        <v>0.04</v>
      </c>
      <c r="R463" s="715">
        <f t="shared" si="82"/>
        <v>0</v>
      </c>
      <c r="S463" s="361">
        <f t="shared" si="83"/>
        <v>0</v>
      </c>
    </row>
    <row r="464" spans="1:19">
      <c r="A464" s="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0.02</v>
      </c>
      <c r="P464" s="719"/>
      <c r="Q464" s="24">
        <f t="shared" si="81"/>
        <v>0.04</v>
      </c>
      <c r="R464" s="715">
        <f t="shared" si="82"/>
        <v>0</v>
      </c>
      <c r="S464" s="361">
        <f t="shared" si="83"/>
        <v>0</v>
      </c>
    </row>
    <row r="465" spans="1:19">
      <c r="A465" s="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0.02</v>
      </c>
      <c r="P465" s="719"/>
      <c r="Q465" s="24">
        <f t="shared" si="81"/>
        <v>0.04</v>
      </c>
      <c r="R465" s="715">
        <f t="shared" si="82"/>
        <v>0</v>
      </c>
      <c r="S465" s="361">
        <f t="shared" si="83"/>
        <v>0</v>
      </c>
    </row>
    <row r="466" spans="1:19">
      <c r="A466" s="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0.02</v>
      </c>
      <c r="P466" s="719"/>
      <c r="Q466" s="24">
        <f t="shared" si="81"/>
        <v>0.04</v>
      </c>
      <c r="R466" s="715">
        <f t="shared" si="82"/>
        <v>0</v>
      </c>
      <c r="S466" s="361">
        <f t="shared" si="83"/>
        <v>0</v>
      </c>
    </row>
    <row r="467" spans="1:19">
      <c r="A467" s="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0.02</v>
      </c>
      <c r="P467" s="719"/>
      <c r="Q467" s="24">
        <f t="shared" si="81"/>
        <v>0.04</v>
      </c>
      <c r="R467" s="715">
        <f t="shared" si="82"/>
        <v>0</v>
      </c>
      <c r="S467" s="361">
        <f t="shared" si="83"/>
        <v>0</v>
      </c>
    </row>
    <row r="468" spans="1:19">
      <c r="A468" s="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0.02</v>
      </c>
      <c r="P468" s="719"/>
      <c r="Q468" s="24">
        <f t="shared" si="81"/>
        <v>0.04</v>
      </c>
      <c r="R468" s="715">
        <f t="shared" si="82"/>
        <v>0</v>
      </c>
      <c r="S468" s="361">
        <f t="shared" ref="S468:S497" si="84">ROUND(R468*B468/10000,0)</f>
        <v>0</v>
      </c>
    </row>
    <row r="469" spans="1:19">
      <c r="A469" s="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0.02</v>
      </c>
      <c r="P469" s="719"/>
      <c r="Q469" s="24">
        <f t="shared" si="81"/>
        <v>0.04</v>
      </c>
      <c r="R469" s="715">
        <f t="shared" si="82"/>
        <v>0</v>
      </c>
      <c r="S469" s="361">
        <f t="shared" si="84"/>
        <v>0</v>
      </c>
    </row>
    <row r="470" spans="1:19">
      <c r="A470" s="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0.02</v>
      </c>
      <c r="P470" s="719"/>
      <c r="Q470" s="24">
        <f t="shared" si="81"/>
        <v>0.04</v>
      </c>
      <c r="R470" s="715">
        <f t="shared" si="82"/>
        <v>0</v>
      </c>
      <c r="S470" s="361">
        <f t="shared" si="84"/>
        <v>0</v>
      </c>
    </row>
    <row r="471" spans="1:19">
      <c r="A471" s="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0.02</v>
      </c>
      <c r="P471" s="719"/>
      <c r="Q471" s="24">
        <f t="shared" si="81"/>
        <v>0.04</v>
      </c>
      <c r="R471" s="715">
        <f t="shared" si="82"/>
        <v>0</v>
      </c>
      <c r="S471" s="361">
        <f t="shared" si="84"/>
        <v>0</v>
      </c>
    </row>
    <row r="472" spans="1:19">
      <c r="A472" s="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0.02</v>
      </c>
      <c r="P472" s="719"/>
      <c r="Q472" s="24">
        <f t="shared" si="81"/>
        <v>0.04</v>
      </c>
      <c r="R472" s="715">
        <f t="shared" si="82"/>
        <v>0</v>
      </c>
      <c r="S472" s="361">
        <f t="shared" si="84"/>
        <v>0</v>
      </c>
    </row>
    <row r="473" spans="1:19">
      <c r="A473" s="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0.02</v>
      </c>
      <c r="P473" s="719"/>
      <c r="Q473" s="24">
        <f t="shared" si="81"/>
        <v>0.04</v>
      </c>
      <c r="R473" s="715">
        <f t="shared" si="82"/>
        <v>0</v>
      </c>
      <c r="S473" s="361">
        <f t="shared" si="84"/>
        <v>0</v>
      </c>
    </row>
    <row r="474" spans="1:19">
      <c r="A474" s="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0.02</v>
      </c>
      <c r="P474" s="719"/>
      <c r="Q474" s="24">
        <f t="shared" ref="Q474:Q524" si="92">(SUMIF($17:$17,P474,$18:$18)-SUMIF($17:$17,$P$24,$18:$18)+100)/100</f>
        <v>0.04</v>
      </c>
      <c r="R474" s="715">
        <f t="shared" ref="R474:R524" si="93">IF(B474="",0,ROUND($R$24*C474*E474*G474*I474*K474*M474*O474*Q474,0))</f>
        <v>0</v>
      </c>
      <c r="S474" s="361">
        <f t="shared" si="84"/>
        <v>0</v>
      </c>
    </row>
    <row r="475" spans="1:19">
      <c r="A475" s="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0.02</v>
      </c>
      <c r="P475" s="719"/>
      <c r="Q475" s="24">
        <f t="shared" si="92"/>
        <v>0.04</v>
      </c>
      <c r="R475" s="715">
        <f t="shared" si="93"/>
        <v>0</v>
      </c>
      <c r="S475" s="361">
        <f t="shared" si="84"/>
        <v>0</v>
      </c>
    </row>
    <row r="476" spans="1:19">
      <c r="A476" s="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0.02</v>
      </c>
      <c r="P476" s="719"/>
      <c r="Q476" s="24">
        <f t="shared" si="92"/>
        <v>0.04</v>
      </c>
      <c r="R476" s="715">
        <f t="shared" si="93"/>
        <v>0</v>
      </c>
      <c r="S476" s="361">
        <f t="shared" si="84"/>
        <v>0</v>
      </c>
    </row>
    <row r="477" spans="1:19">
      <c r="A477" s="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0.02</v>
      </c>
      <c r="P477" s="719"/>
      <c r="Q477" s="24">
        <f t="shared" si="92"/>
        <v>0.04</v>
      </c>
      <c r="R477" s="715">
        <f t="shared" si="93"/>
        <v>0</v>
      </c>
      <c r="S477" s="361">
        <f t="shared" si="84"/>
        <v>0</v>
      </c>
    </row>
    <row r="478" spans="1:19">
      <c r="A478" s="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0.02</v>
      </c>
      <c r="P478" s="719"/>
      <c r="Q478" s="24">
        <f t="shared" si="92"/>
        <v>0.04</v>
      </c>
      <c r="R478" s="715">
        <f t="shared" si="93"/>
        <v>0</v>
      </c>
      <c r="S478" s="361">
        <f t="shared" si="84"/>
        <v>0</v>
      </c>
    </row>
    <row r="479" spans="1:19">
      <c r="A479" s="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0.02</v>
      </c>
      <c r="P479" s="719"/>
      <c r="Q479" s="24">
        <f t="shared" si="92"/>
        <v>0.04</v>
      </c>
      <c r="R479" s="715">
        <f t="shared" si="93"/>
        <v>0</v>
      </c>
      <c r="S479" s="361">
        <f t="shared" si="84"/>
        <v>0</v>
      </c>
    </row>
    <row r="480" spans="1:19">
      <c r="A480" s="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0.02</v>
      </c>
      <c r="P480" s="719"/>
      <c r="Q480" s="24">
        <f t="shared" si="92"/>
        <v>0.04</v>
      </c>
      <c r="R480" s="715">
        <f t="shared" si="93"/>
        <v>0</v>
      </c>
      <c r="S480" s="361">
        <f t="shared" si="84"/>
        <v>0</v>
      </c>
    </row>
    <row r="481" spans="1:19">
      <c r="A481" s="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0.02</v>
      </c>
      <c r="P481" s="719"/>
      <c r="Q481" s="24">
        <f t="shared" si="92"/>
        <v>0.04</v>
      </c>
      <c r="R481" s="715">
        <f t="shared" si="93"/>
        <v>0</v>
      </c>
      <c r="S481" s="361">
        <f t="shared" si="84"/>
        <v>0</v>
      </c>
    </row>
    <row r="482" spans="1:19">
      <c r="A482" s="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0.02</v>
      </c>
      <c r="P482" s="719"/>
      <c r="Q482" s="24">
        <f t="shared" si="92"/>
        <v>0.04</v>
      </c>
      <c r="R482" s="715">
        <f t="shared" si="93"/>
        <v>0</v>
      </c>
      <c r="S482" s="361">
        <f t="shared" si="84"/>
        <v>0</v>
      </c>
    </row>
    <row r="483" spans="1:19">
      <c r="A483" s="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0.02</v>
      </c>
      <c r="P483" s="719"/>
      <c r="Q483" s="24">
        <f t="shared" si="92"/>
        <v>0.04</v>
      </c>
      <c r="R483" s="715">
        <f t="shared" si="93"/>
        <v>0</v>
      </c>
      <c r="S483" s="361">
        <f t="shared" si="84"/>
        <v>0</v>
      </c>
    </row>
    <row r="484" spans="1:19">
      <c r="A484" s="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0.02</v>
      </c>
      <c r="P484" s="719"/>
      <c r="Q484" s="24">
        <f t="shared" si="92"/>
        <v>0.04</v>
      </c>
      <c r="R484" s="715">
        <f t="shared" si="93"/>
        <v>0</v>
      </c>
      <c r="S484" s="361">
        <f t="shared" si="84"/>
        <v>0</v>
      </c>
    </row>
    <row r="485" spans="1:19">
      <c r="A485" s="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0.02</v>
      </c>
      <c r="P485" s="719"/>
      <c r="Q485" s="24">
        <f t="shared" si="92"/>
        <v>0.04</v>
      </c>
      <c r="R485" s="715">
        <f t="shared" si="93"/>
        <v>0</v>
      </c>
      <c r="S485" s="361">
        <f t="shared" si="84"/>
        <v>0</v>
      </c>
    </row>
    <row r="486" spans="1:19">
      <c r="A486" s="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0.02</v>
      </c>
      <c r="P486" s="719"/>
      <c r="Q486" s="24">
        <f t="shared" si="92"/>
        <v>0.04</v>
      </c>
      <c r="R486" s="715">
        <f t="shared" si="93"/>
        <v>0</v>
      </c>
      <c r="S486" s="361">
        <f t="shared" si="84"/>
        <v>0</v>
      </c>
    </row>
    <row r="487" spans="1:19">
      <c r="A487" s="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0.02</v>
      </c>
      <c r="P487" s="719"/>
      <c r="Q487" s="24">
        <f t="shared" si="92"/>
        <v>0.04</v>
      </c>
      <c r="R487" s="715">
        <f t="shared" si="93"/>
        <v>0</v>
      </c>
      <c r="S487" s="361">
        <f t="shared" si="84"/>
        <v>0</v>
      </c>
    </row>
    <row r="488" spans="1:19">
      <c r="A488" s="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0.02</v>
      </c>
      <c r="P488" s="719"/>
      <c r="Q488" s="24">
        <f t="shared" si="92"/>
        <v>0.04</v>
      </c>
      <c r="R488" s="715">
        <f t="shared" si="93"/>
        <v>0</v>
      </c>
      <c r="S488" s="361">
        <f t="shared" si="84"/>
        <v>0</v>
      </c>
    </row>
    <row r="489" spans="1:19">
      <c r="A489" s="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0.02</v>
      </c>
      <c r="P489" s="719"/>
      <c r="Q489" s="24">
        <f t="shared" si="92"/>
        <v>0.04</v>
      </c>
      <c r="R489" s="715">
        <f t="shared" si="93"/>
        <v>0</v>
      </c>
      <c r="S489" s="361">
        <f t="shared" si="84"/>
        <v>0</v>
      </c>
    </row>
    <row r="490" spans="1:19">
      <c r="A490" s="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0.02</v>
      </c>
      <c r="P490" s="719"/>
      <c r="Q490" s="24">
        <f t="shared" si="92"/>
        <v>0.04</v>
      </c>
      <c r="R490" s="715">
        <f t="shared" si="93"/>
        <v>0</v>
      </c>
      <c r="S490" s="361">
        <f t="shared" si="84"/>
        <v>0</v>
      </c>
    </row>
    <row r="491" spans="1:19">
      <c r="A491" s="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0.02</v>
      </c>
      <c r="P491" s="719"/>
      <c r="Q491" s="24">
        <f t="shared" si="92"/>
        <v>0.04</v>
      </c>
      <c r="R491" s="715">
        <f t="shared" si="93"/>
        <v>0</v>
      </c>
      <c r="S491" s="361">
        <f t="shared" si="84"/>
        <v>0</v>
      </c>
    </row>
    <row r="492" spans="1:19">
      <c r="A492" s="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0.02</v>
      </c>
      <c r="P492" s="719"/>
      <c r="Q492" s="24">
        <f t="shared" si="92"/>
        <v>0.04</v>
      </c>
      <c r="R492" s="715">
        <f t="shared" si="93"/>
        <v>0</v>
      </c>
      <c r="S492" s="361">
        <f t="shared" si="84"/>
        <v>0</v>
      </c>
    </row>
    <row r="493" spans="1:19">
      <c r="A493" s="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0.02</v>
      </c>
      <c r="P493" s="719"/>
      <c r="Q493" s="24">
        <f t="shared" si="92"/>
        <v>0.04</v>
      </c>
      <c r="R493" s="715">
        <f t="shared" si="93"/>
        <v>0</v>
      </c>
      <c r="S493" s="361">
        <f t="shared" si="84"/>
        <v>0</v>
      </c>
    </row>
    <row r="494" spans="1:19">
      <c r="A494" s="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0.02</v>
      </c>
      <c r="P494" s="719"/>
      <c r="Q494" s="24">
        <f t="shared" si="92"/>
        <v>0.04</v>
      </c>
      <c r="R494" s="715">
        <f t="shared" si="93"/>
        <v>0</v>
      </c>
      <c r="S494" s="361">
        <f t="shared" si="84"/>
        <v>0</v>
      </c>
    </row>
    <row r="495" spans="1:19">
      <c r="A495" s="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0.02</v>
      </c>
      <c r="P495" s="719"/>
      <c r="Q495" s="24">
        <f t="shared" si="92"/>
        <v>0.04</v>
      </c>
      <c r="R495" s="715">
        <f t="shared" si="93"/>
        <v>0</v>
      </c>
      <c r="S495" s="361">
        <f t="shared" si="84"/>
        <v>0</v>
      </c>
    </row>
    <row r="496" spans="1:19">
      <c r="A496" s="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0.02</v>
      </c>
      <c r="P496" s="719"/>
      <c r="Q496" s="24">
        <f t="shared" si="92"/>
        <v>0.04</v>
      </c>
      <c r="R496" s="715">
        <f t="shared" si="93"/>
        <v>0</v>
      </c>
      <c r="S496" s="361">
        <f t="shared" si="84"/>
        <v>0</v>
      </c>
    </row>
    <row r="497" spans="1:19">
      <c r="A497" s="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0.02</v>
      </c>
      <c r="P497" s="719"/>
      <c r="Q497" s="24">
        <f t="shared" si="92"/>
        <v>0.04</v>
      </c>
      <c r="R497" s="715">
        <f t="shared" si="93"/>
        <v>0</v>
      </c>
      <c r="S497" s="361">
        <f t="shared" si="84"/>
        <v>0</v>
      </c>
    </row>
    <row r="498" spans="1:19">
      <c r="A498" s="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0.02</v>
      </c>
      <c r="P498" s="719"/>
      <c r="Q498" s="24">
        <f t="shared" si="92"/>
        <v>0.04</v>
      </c>
      <c r="R498" s="715">
        <f t="shared" si="93"/>
        <v>0</v>
      </c>
      <c r="S498" s="361">
        <f t="shared" ref="S498:S524" si="94">ROUND(R498*B498/10000,0)</f>
        <v>0</v>
      </c>
    </row>
    <row r="499" spans="1:19">
      <c r="A499" s="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0.02</v>
      </c>
      <c r="P499" s="719"/>
      <c r="Q499" s="24">
        <f t="shared" si="92"/>
        <v>0.04</v>
      </c>
      <c r="R499" s="715">
        <f t="shared" si="93"/>
        <v>0</v>
      </c>
      <c r="S499" s="361">
        <f t="shared" si="94"/>
        <v>0</v>
      </c>
    </row>
    <row r="500" spans="1:19">
      <c r="A500" s="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0.02</v>
      </c>
      <c r="P500" s="719"/>
      <c r="Q500" s="24">
        <f t="shared" si="92"/>
        <v>0.04</v>
      </c>
      <c r="R500" s="715">
        <f t="shared" si="93"/>
        <v>0</v>
      </c>
      <c r="S500" s="361">
        <f t="shared" si="94"/>
        <v>0</v>
      </c>
    </row>
    <row r="501" spans="1:19">
      <c r="A501" s="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0.02</v>
      </c>
      <c r="P501" s="719"/>
      <c r="Q501" s="24">
        <f t="shared" si="92"/>
        <v>0.04</v>
      </c>
      <c r="R501" s="715">
        <f t="shared" si="93"/>
        <v>0</v>
      </c>
      <c r="S501" s="361">
        <f t="shared" si="94"/>
        <v>0</v>
      </c>
    </row>
    <row r="502" spans="1:19">
      <c r="A502" s="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0.02</v>
      </c>
      <c r="P502" s="719"/>
      <c r="Q502" s="24">
        <f t="shared" si="92"/>
        <v>0.04</v>
      </c>
      <c r="R502" s="715">
        <f t="shared" si="93"/>
        <v>0</v>
      </c>
      <c r="S502" s="361">
        <f t="shared" si="94"/>
        <v>0</v>
      </c>
    </row>
    <row r="503" spans="1:19">
      <c r="A503" s="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0.02</v>
      </c>
      <c r="P503" s="719"/>
      <c r="Q503" s="24">
        <f t="shared" si="92"/>
        <v>0.04</v>
      </c>
      <c r="R503" s="715">
        <f t="shared" si="93"/>
        <v>0</v>
      </c>
      <c r="S503" s="361">
        <f t="shared" si="94"/>
        <v>0</v>
      </c>
    </row>
    <row r="504" spans="1:19">
      <c r="A504" s="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0.02</v>
      </c>
      <c r="P504" s="719"/>
      <c r="Q504" s="24">
        <f t="shared" si="92"/>
        <v>0.04</v>
      </c>
      <c r="R504" s="715">
        <f t="shared" si="93"/>
        <v>0</v>
      </c>
      <c r="S504" s="361">
        <f t="shared" si="94"/>
        <v>0</v>
      </c>
    </row>
    <row r="505" spans="1:19">
      <c r="A505" s="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0.02</v>
      </c>
      <c r="P505" s="719"/>
      <c r="Q505" s="24">
        <f t="shared" si="92"/>
        <v>0.04</v>
      </c>
      <c r="R505" s="715">
        <f t="shared" si="93"/>
        <v>0</v>
      </c>
      <c r="S505" s="361">
        <f t="shared" si="94"/>
        <v>0</v>
      </c>
    </row>
    <row r="506" spans="1:19">
      <c r="A506" s="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0.02</v>
      </c>
      <c r="P506" s="719"/>
      <c r="Q506" s="24">
        <f t="shared" si="92"/>
        <v>0.04</v>
      </c>
      <c r="R506" s="715">
        <f t="shared" si="93"/>
        <v>0</v>
      </c>
      <c r="S506" s="361">
        <f t="shared" si="94"/>
        <v>0</v>
      </c>
    </row>
    <row r="507" spans="1:19">
      <c r="A507" s="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0.02</v>
      </c>
      <c r="P507" s="719"/>
      <c r="Q507" s="24">
        <f t="shared" si="92"/>
        <v>0.04</v>
      </c>
      <c r="R507" s="715">
        <f t="shared" si="93"/>
        <v>0</v>
      </c>
      <c r="S507" s="361">
        <f t="shared" si="94"/>
        <v>0</v>
      </c>
    </row>
    <row r="508" spans="1:19">
      <c r="A508" s="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0.02</v>
      </c>
      <c r="P508" s="719"/>
      <c r="Q508" s="24">
        <f t="shared" si="92"/>
        <v>0.04</v>
      </c>
      <c r="R508" s="715">
        <f t="shared" si="93"/>
        <v>0</v>
      </c>
      <c r="S508" s="361">
        <f t="shared" si="94"/>
        <v>0</v>
      </c>
    </row>
    <row r="509" spans="1:19">
      <c r="A509" s="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0.02</v>
      </c>
      <c r="P509" s="719"/>
      <c r="Q509" s="24">
        <f t="shared" si="92"/>
        <v>0.04</v>
      </c>
      <c r="R509" s="715">
        <f t="shared" si="93"/>
        <v>0</v>
      </c>
      <c r="S509" s="361">
        <f t="shared" si="94"/>
        <v>0</v>
      </c>
    </row>
    <row r="510" spans="1:19">
      <c r="A510" s="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0.02</v>
      </c>
      <c r="P510" s="719"/>
      <c r="Q510" s="24">
        <f t="shared" si="92"/>
        <v>0.04</v>
      </c>
      <c r="R510" s="715">
        <f t="shared" si="93"/>
        <v>0</v>
      </c>
      <c r="S510" s="361">
        <f t="shared" si="94"/>
        <v>0</v>
      </c>
    </row>
    <row r="511" spans="1:19">
      <c r="A511" s="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0.02</v>
      </c>
      <c r="P511" s="719"/>
      <c r="Q511" s="24">
        <f t="shared" si="92"/>
        <v>0.04</v>
      </c>
      <c r="R511" s="715">
        <f t="shared" si="93"/>
        <v>0</v>
      </c>
      <c r="S511" s="361">
        <f t="shared" si="94"/>
        <v>0</v>
      </c>
    </row>
    <row r="512" spans="1:19">
      <c r="A512" s="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0.02</v>
      </c>
      <c r="P512" s="719"/>
      <c r="Q512" s="24">
        <f t="shared" si="92"/>
        <v>0.04</v>
      </c>
      <c r="R512" s="715">
        <f t="shared" si="93"/>
        <v>0</v>
      </c>
      <c r="S512" s="361">
        <f t="shared" si="94"/>
        <v>0</v>
      </c>
    </row>
    <row r="513" spans="1:19">
      <c r="A513" s="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0.02</v>
      </c>
      <c r="P513" s="719"/>
      <c r="Q513" s="24">
        <f t="shared" si="92"/>
        <v>0.04</v>
      </c>
      <c r="R513" s="715">
        <f t="shared" si="93"/>
        <v>0</v>
      </c>
      <c r="S513" s="361">
        <f t="shared" si="94"/>
        <v>0</v>
      </c>
    </row>
    <row r="514" spans="1:19">
      <c r="A514" s="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0.02</v>
      </c>
      <c r="P514" s="719"/>
      <c r="Q514" s="24">
        <f t="shared" si="92"/>
        <v>0.04</v>
      </c>
      <c r="R514" s="715">
        <f t="shared" si="93"/>
        <v>0</v>
      </c>
      <c r="S514" s="361">
        <f t="shared" si="94"/>
        <v>0</v>
      </c>
    </row>
    <row r="515" spans="1:19">
      <c r="A515" s="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0.02</v>
      </c>
      <c r="P515" s="719"/>
      <c r="Q515" s="24">
        <f t="shared" si="92"/>
        <v>0.04</v>
      </c>
      <c r="R515" s="715">
        <f t="shared" si="93"/>
        <v>0</v>
      </c>
      <c r="S515" s="361">
        <f t="shared" si="94"/>
        <v>0</v>
      </c>
    </row>
    <row r="516" spans="1:19">
      <c r="A516" s="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0.02</v>
      </c>
      <c r="P516" s="719"/>
      <c r="Q516" s="24">
        <f t="shared" si="92"/>
        <v>0.04</v>
      </c>
      <c r="R516" s="715">
        <f t="shared" si="93"/>
        <v>0</v>
      </c>
      <c r="S516" s="361">
        <f t="shared" si="94"/>
        <v>0</v>
      </c>
    </row>
    <row r="517" spans="1:19">
      <c r="A517" s="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0.02</v>
      </c>
      <c r="P517" s="719"/>
      <c r="Q517" s="24">
        <f t="shared" si="92"/>
        <v>0.04</v>
      </c>
      <c r="R517" s="715">
        <f t="shared" si="93"/>
        <v>0</v>
      </c>
      <c r="S517" s="361">
        <f t="shared" si="94"/>
        <v>0</v>
      </c>
    </row>
    <row r="518" spans="1:19">
      <c r="A518" s="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0.02</v>
      </c>
      <c r="P518" s="719"/>
      <c r="Q518" s="24">
        <f t="shared" si="92"/>
        <v>0.04</v>
      </c>
      <c r="R518" s="715">
        <f t="shared" si="93"/>
        <v>0</v>
      </c>
      <c r="S518" s="361">
        <f t="shared" si="94"/>
        <v>0</v>
      </c>
    </row>
    <row r="519" spans="1:19">
      <c r="A519" s="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0.02</v>
      </c>
      <c r="P519" s="719"/>
      <c r="Q519" s="24">
        <f t="shared" si="92"/>
        <v>0.04</v>
      </c>
      <c r="R519" s="715">
        <f t="shared" si="93"/>
        <v>0</v>
      </c>
      <c r="S519" s="361">
        <f t="shared" si="94"/>
        <v>0</v>
      </c>
    </row>
    <row r="520" spans="1:19">
      <c r="A520" s="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0.02</v>
      </c>
      <c r="P520" s="719"/>
      <c r="Q520" s="24">
        <f t="shared" si="92"/>
        <v>0.04</v>
      </c>
      <c r="R520" s="715">
        <f t="shared" si="93"/>
        <v>0</v>
      </c>
      <c r="S520" s="361">
        <f t="shared" si="94"/>
        <v>0</v>
      </c>
    </row>
    <row r="521" spans="1:19">
      <c r="A521" s="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0.02</v>
      </c>
      <c r="P521" s="719"/>
      <c r="Q521" s="24">
        <f t="shared" si="92"/>
        <v>0.04</v>
      </c>
      <c r="R521" s="715">
        <f t="shared" si="93"/>
        <v>0</v>
      </c>
      <c r="S521" s="361">
        <f t="shared" si="94"/>
        <v>0</v>
      </c>
    </row>
    <row r="522" spans="1:19">
      <c r="A522" s="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0.02</v>
      </c>
      <c r="P522" s="719"/>
      <c r="Q522" s="24">
        <f t="shared" si="92"/>
        <v>0.04</v>
      </c>
      <c r="R522" s="715">
        <f t="shared" si="93"/>
        <v>0</v>
      </c>
      <c r="S522" s="361">
        <f t="shared" si="94"/>
        <v>0</v>
      </c>
    </row>
    <row r="523" spans="1:19">
      <c r="A523" s="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0.02</v>
      </c>
      <c r="P523" s="719"/>
      <c r="Q523" s="24">
        <f t="shared" si="92"/>
        <v>0.04</v>
      </c>
      <c r="R523" s="715">
        <f t="shared" si="93"/>
        <v>0</v>
      </c>
      <c r="S523" s="361">
        <f t="shared" si="94"/>
        <v>0</v>
      </c>
    </row>
    <row r="524" spans="1:19">
      <c r="A524" s="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0.02</v>
      </c>
      <c r="P524" s="719"/>
      <c r="Q524" s="24">
        <f t="shared" si="92"/>
        <v>0.04</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9" sqref="A7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1" sqref="Q61"/>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320" t="str">
        <f>IF(项目基本情况!B9="房地产市场价值","估价结果一览表","结果表-2")</f>
        <v>结果表-2</v>
      </c>
      <c r="B1" s="3320"/>
      <c r="C1" s="3320"/>
      <c r="D1" s="3320"/>
      <c r="E1" s="3320"/>
      <c r="F1" s="3320"/>
      <c r="G1" s="3320"/>
      <c r="H1" s="3320"/>
      <c r="I1" s="3320"/>
    </row>
    <row r="2" spans="1:9" ht="30" customHeight="1" thickTop="1">
      <c r="A2" s="3321" t="s">
        <v>1637</v>
      </c>
      <c r="B2" s="3321" t="s">
        <v>1638</v>
      </c>
      <c r="C2" s="3321" t="s">
        <v>1639</v>
      </c>
      <c r="D2" s="3321" t="str">
        <f>结果表!D116</f>
        <v>出让国有建设用地使用权价值</v>
      </c>
      <c r="E2" s="3321"/>
      <c r="F2" s="3321" t="str">
        <f>结果表!F116</f>
        <v>在建建筑物价值</v>
      </c>
      <c r="G2" s="3321"/>
      <c r="H2" s="3321" t="str">
        <f>IF(项目基本情况!B9="房地产市场价值","房地产市场价值","房地产价值")</f>
        <v>房地产价值</v>
      </c>
      <c r="I2" s="3321"/>
    </row>
    <row r="3" spans="1:9" ht="15">
      <c r="A3" s="3315"/>
      <c r="B3" s="3315"/>
      <c r="C3" s="3315"/>
      <c r="D3" s="1046" t="s">
        <v>1634</v>
      </c>
      <c r="E3" s="1046" t="s">
        <v>1640</v>
      </c>
      <c r="F3" s="1046" t="s">
        <v>1634</v>
      </c>
      <c r="G3" s="1046" t="s">
        <v>1635</v>
      </c>
      <c r="H3" s="1046" t="s">
        <v>1634</v>
      </c>
      <c r="I3" s="1046" t="s">
        <v>1635</v>
      </c>
    </row>
    <row r="4" spans="1:9" ht="30">
      <c r="A4" s="1969" t="str">
        <f>项目基本情况!S2</f>
        <v>北京市昌平区北七家镇1、2、4、7房地产</v>
      </c>
      <c r="B4" s="1046">
        <f>项目基本情况!C17</f>
        <v>34081.78</v>
      </c>
      <c r="C4" s="1046">
        <f>项目基本情况!C18</f>
        <v>8774.68</v>
      </c>
      <c r="D4" s="1046" t="e">
        <f ca="1">结果表!D118</f>
        <v>#REF!</v>
      </c>
      <c r="E4" s="1046" t="e">
        <f ca="1">结果表!E118</f>
        <v>#REF!</v>
      </c>
      <c r="F4" s="1046" t="e">
        <f ca="1">结果表!F118</f>
        <v>#REF!</v>
      </c>
      <c r="G4" s="1046" t="e">
        <f ca="1">结果表!G118</f>
        <v>#REF!</v>
      </c>
      <c r="H4" s="1046">
        <f ca="1">结果表!H118</f>
        <v>441</v>
      </c>
      <c r="I4" s="1046">
        <f ca="1">结果表!I118</f>
        <v>129</v>
      </c>
    </row>
    <row r="5" spans="1:9" ht="30" customHeight="1">
      <c r="A5" s="3315" t="s">
        <v>1636</v>
      </c>
      <c r="B5" s="3315"/>
      <c r="C5" s="3315"/>
      <c r="D5" s="3316" t="e">
        <f ca="1">结果表!D119</f>
        <v>#REF!</v>
      </c>
      <c r="E5" s="3316"/>
      <c r="F5" s="3316" t="e">
        <f ca="1">结果表!F119</f>
        <v>#REF!</v>
      </c>
      <c r="G5" s="3316"/>
      <c r="H5" s="3316" t="str">
        <f ca="1">结果表!H119</f>
        <v>肆佰肆拾壹万元整</v>
      </c>
      <c r="I5" s="3316"/>
    </row>
    <row r="6" spans="1:9" ht="15.75">
      <c r="A6" s="3314" t="str">
        <f>结果表!A120</f>
        <v>估价师知悉的法定优先受偿款</v>
      </c>
      <c r="B6" s="3314"/>
      <c r="C6" s="3314"/>
      <c r="D6" s="3314">
        <f>结果表!D120</f>
        <v>0</v>
      </c>
      <c r="E6" s="3314"/>
      <c r="F6" s="3314"/>
      <c r="G6" s="3314"/>
      <c r="H6" s="3314"/>
      <c r="I6" s="3314"/>
    </row>
    <row r="7" spans="1:9" ht="15">
      <c r="A7" s="3315" t="s">
        <v>1636</v>
      </c>
      <c r="B7" s="3315"/>
      <c r="C7" s="3315"/>
      <c r="D7" s="3317" t="str">
        <f>结果表!D121</f>
        <v>零元整</v>
      </c>
      <c r="E7" s="3318"/>
      <c r="F7" s="3318"/>
      <c r="G7" s="3318"/>
      <c r="H7" s="3318"/>
      <c r="I7" s="3319"/>
    </row>
    <row r="8" spans="1:9" ht="15.75">
      <c r="A8" s="3314" t="str">
        <f>结果表!A122</f>
        <v>房地产抵押价值</v>
      </c>
      <c r="B8" s="3314"/>
      <c r="C8" s="3314"/>
      <c r="D8" s="3314">
        <f ca="1">结果表!D122</f>
        <v>441</v>
      </c>
      <c r="E8" s="3314"/>
      <c r="F8" s="3314"/>
      <c r="G8" s="3314"/>
      <c r="H8" s="3314"/>
      <c r="I8" s="3314"/>
    </row>
    <row r="9" spans="1:9" ht="15">
      <c r="A9" s="3315" t="s">
        <v>1636</v>
      </c>
      <c r="B9" s="3315"/>
      <c r="C9" s="3315"/>
      <c r="D9" s="3316" t="str">
        <f ca="1">结果表!D123</f>
        <v>肆佰肆拾壹万元整</v>
      </c>
      <c r="E9" s="3316"/>
      <c r="F9" s="3316"/>
      <c r="G9" s="3316"/>
      <c r="H9" s="3316"/>
      <c r="I9" s="3316"/>
    </row>
    <row r="10" spans="1:9" ht="15.75">
      <c r="A10" s="3314" t="str">
        <f>结果表!A124</f>
        <v/>
      </c>
      <c r="B10" s="3314"/>
      <c r="C10" s="3314"/>
      <c r="D10" s="3314" t="str">
        <f>结果表!D124</f>
        <v>——</v>
      </c>
      <c r="E10" s="3314"/>
      <c r="F10" s="3314"/>
      <c r="G10" s="3314"/>
      <c r="H10" s="3314"/>
      <c r="I10" s="3314"/>
    </row>
    <row r="11" spans="1:9" ht="15">
      <c r="A11" s="3315" t="s">
        <v>1636</v>
      </c>
      <c r="B11" s="3315"/>
      <c r="C11" s="3315"/>
      <c r="D11" s="3316" t="e">
        <f>结果表!D125</f>
        <v>#VALUE!</v>
      </c>
      <c r="E11" s="3316"/>
      <c r="F11" s="3316"/>
      <c r="G11" s="3316"/>
      <c r="H11" s="3316"/>
      <c r="I11" s="3316"/>
    </row>
    <row r="12" spans="1:9" ht="15.75">
      <c r="A12" s="3314" t="str">
        <f>结果表!A126</f>
        <v/>
      </c>
      <c r="B12" s="3314"/>
      <c r="C12" s="3314"/>
      <c r="D12" s="3314" t="str">
        <f>结果表!D126</f>
        <v>——</v>
      </c>
      <c r="E12" s="3314"/>
      <c r="F12" s="3314"/>
      <c r="G12" s="3314"/>
      <c r="H12" s="3314"/>
      <c r="I12" s="3314"/>
    </row>
    <row r="13" spans="1:9" ht="15.75" thickBot="1">
      <c r="A13" s="3311" t="s">
        <v>1636</v>
      </c>
      <c r="B13" s="3311"/>
      <c r="C13" s="3311"/>
      <c r="D13" s="3312" t="e">
        <f>结果表!D127</f>
        <v>#VALUE!</v>
      </c>
      <c r="E13" s="3312"/>
      <c r="F13" s="3312"/>
      <c r="G13" s="3312"/>
      <c r="H13" s="3312"/>
      <c r="I13" s="3312"/>
    </row>
    <row r="14" spans="1:9" ht="15" thickTop="1">
      <c r="A14" s="3313" t="s">
        <v>1641</v>
      </c>
      <c r="B14" s="3313"/>
      <c r="C14" s="3313"/>
      <c r="D14" s="3313"/>
      <c r="E14" s="3313"/>
      <c r="F14" s="3313"/>
      <c r="G14" s="3313"/>
      <c r="H14" s="3313"/>
      <c r="I14" s="3313"/>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328" t="s">
        <v>1658</v>
      </c>
      <c r="B1" s="3328"/>
      <c r="C1" s="3328"/>
      <c r="D1" s="3328"/>
    </row>
    <row r="2" spans="1:4" ht="18">
      <c r="A2" s="3329" t="s">
        <v>1642</v>
      </c>
      <c r="B2" s="3329"/>
      <c r="C2" s="3329"/>
      <c r="D2" s="3329"/>
    </row>
    <row r="3" spans="1:4" ht="18.75">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刘梅</v>
      </c>
      <c r="B5" s="1975">
        <f ca="1">项目基本情况!E4</f>
        <v>1120140022</v>
      </c>
      <c r="C5" s="1978"/>
      <c r="D5" s="1977" t="s">
        <v>1647</v>
      </c>
    </row>
    <row r="6" spans="1:4" ht="18">
      <c r="A6" s="3329" t="s">
        <v>1648</v>
      </c>
      <c r="B6" s="3329"/>
      <c r="C6" s="3329"/>
      <c r="D6" s="3329"/>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330" t="s">
        <v>1651</v>
      </c>
      <c r="B11" s="3322"/>
      <c r="C11" s="3322"/>
      <c r="D11" s="3322"/>
    </row>
    <row r="12" spans="1:4" ht="15.75">
      <c r="A12" s="3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7"/>
      <c r="C12" s="3327"/>
      <c r="D12" s="3327"/>
    </row>
    <row r="13" spans="1:4" ht="30" customHeight="1">
      <c r="A13" s="3322" t="str">
        <f>IF(项目基本情况!B8="抵押","3.抵押双方在办理抵押登记手续时，应使用本公司出具的正式《房地产评估报告》，特提醒报告使用者注意。","——")</f>
        <v>——</v>
      </c>
      <c r="B13" s="3327"/>
      <c r="C13" s="3327"/>
      <c r="D13" s="3327"/>
    </row>
    <row r="14" spans="1:4" ht="15.75" customHeight="1">
      <c r="A14" s="3322" t="str">
        <f>IF(项目基本情况!B8="抵押","4.本次评估估价师所知悉的法定优先受偿款情况说明如下：","——")</f>
        <v>——</v>
      </c>
      <c r="B14" s="3327"/>
      <c r="C14" s="3327"/>
      <c r="D14" s="3327"/>
    </row>
    <row r="15" spans="1:4" ht="42" customHeight="1">
      <c r="A15" s="3322" t="str">
        <f>IF(项目基本情况!B8="抵押","（1）"&amp;CONCATENATE(项目基本情况!L20,项目基本情况!L21,项目基本情况!L22),"——")</f>
        <v>——</v>
      </c>
      <c r="B15" s="3322"/>
      <c r="C15" s="3322"/>
      <c r="D15" s="3322"/>
    </row>
    <row r="16" spans="1:4" ht="30" customHeight="1">
      <c r="A16" s="3324" t="s">
        <v>1652</v>
      </c>
      <c r="B16" s="3324"/>
      <c r="C16" s="3324"/>
      <c r="D16" s="3324"/>
    </row>
    <row r="17" spans="1:4" ht="144" customHeight="1">
      <c r="A17" s="3324" t="s">
        <v>1653</v>
      </c>
      <c r="B17" s="3324"/>
      <c r="C17" s="3324"/>
      <c r="D17" s="3324"/>
    </row>
    <row r="18" spans="1:4" ht="15.75" customHeight="1">
      <c r="A18" s="3322" t="str">
        <f>IF(项目基本情况!B8="抵押",结果表!K120,"——")</f>
        <v>——</v>
      </c>
      <c r="B18" s="3322"/>
      <c r="C18" s="3322"/>
      <c r="D18" s="3322"/>
    </row>
    <row r="19" spans="1:4" ht="46.5" customHeight="1">
      <c r="A19" s="3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spans="1:4" ht="57.75" customHeight="1">
      <c r="A20" s="3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2"/>
      <c r="C20" s="3322"/>
      <c r="D20" s="3322"/>
    </row>
    <row r="21" spans="1:4" ht="57.75" customHeight="1">
      <c r="A21" s="33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5"/>
      <c r="C21" s="3325"/>
      <c r="D21" s="3325"/>
    </row>
    <row r="22" spans="1:4" ht="18.75" customHeight="1">
      <c r="A22" s="3326" t="s">
        <v>1654</v>
      </c>
      <c r="B22" s="3326"/>
      <c r="C22" s="3326"/>
      <c r="D22" s="3326"/>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323">
        <v>42551</v>
      </c>
      <c r="D31" s="33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336" t="s">
        <v>1665</v>
      </c>
      <c r="B15" s="3331" t="s">
        <v>136</v>
      </c>
      <c r="C15" s="3332"/>
    </row>
    <row r="16" spans="1:7" ht="13.5">
      <c r="A16" s="3337"/>
      <c r="B16" s="3331" t="s">
        <v>69</v>
      </c>
      <c r="C16" s="3332"/>
    </row>
    <row r="17" spans="1:3" ht="13.5">
      <c r="A17" s="3337"/>
      <c r="B17" s="3334" t="s">
        <v>1666</v>
      </c>
      <c r="C17" s="1996" t="s">
        <v>1665</v>
      </c>
    </row>
    <row r="18" spans="1:3" ht="13.5">
      <c r="A18" s="3337"/>
      <c r="B18" s="3334"/>
      <c r="C18" s="1996" t="s">
        <v>1667</v>
      </c>
    </row>
    <row r="19" spans="1:3" ht="13.5">
      <c r="A19" s="3337"/>
      <c r="B19" s="3334"/>
      <c r="C19" s="1996" t="s">
        <v>1668</v>
      </c>
    </row>
    <row r="20" spans="1:3" ht="13.5">
      <c r="A20" s="3338"/>
      <c r="B20" s="3333" t="s">
        <v>1669</v>
      </c>
      <c r="C20" s="3332"/>
    </row>
    <row r="21" spans="1:3" ht="13.5">
      <c r="A21" s="1997" t="s">
        <v>1670</v>
      </c>
      <c r="B21" s="1998"/>
      <c r="C21" s="1999"/>
    </row>
    <row r="22" spans="1:3" ht="13.5">
      <c r="A22" s="3335" t="s">
        <v>1671</v>
      </c>
      <c r="B22" s="3333" t="s">
        <v>1672</v>
      </c>
      <c r="C22" s="3332"/>
    </row>
    <row r="23" spans="1:3" ht="13.5">
      <c r="A23" s="3335"/>
      <c r="B23" s="3333" t="s">
        <v>1673</v>
      </c>
      <c r="C23" s="3332"/>
    </row>
    <row r="24" spans="1:3" ht="13.5">
      <c r="A24" s="3335"/>
      <c r="B24" s="3333" t="s">
        <v>1674</v>
      </c>
      <c r="C24" s="3332"/>
    </row>
    <row r="25" spans="1:3" ht="13.5">
      <c r="A25" s="3335"/>
      <c r="B25" s="3334" t="s">
        <v>1675</v>
      </c>
      <c r="C25" s="1996" t="s">
        <v>1676</v>
      </c>
    </row>
    <row r="26" spans="1:3" ht="13.5">
      <c r="A26" s="3335"/>
      <c r="B26" s="3334"/>
      <c r="C26" s="1996" t="s">
        <v>1677</v>
      </c>
    </row>
    <row r="27" spans="1:3" ht="13.5">
      <c r="A27" s="3335"/>
      <c r="B27" s="3334"/>
      <c r="C27" s="1996" t="s">
        <v>1678</v>
      </c>
    </row>
    <row r="28" spans="1:3" ht="13.5">
      <c r="A28" s="3335"/>
      <c r="B28" s="3334"/>
      <c r="C28" s="1996" t="s">
        <v>1679</v>
      </c>
    </row>
    <row r="29" spans="1:3" ht="13.5">
      <c r="A29" s="3335"/>
      <c r="B29" s="3334"/>
      <c r="C29" s="1996" t="s">
        <v>1680</v>
      </c>
    </row>
    <row r="30" spans="1:3" ht="13.5">
      <c r="A30" s="3335"/>
      <c r="B30" s="3334"/>
      <c r="C30" s="1996" t="s">
        <v>1681</v>
      </c>
    </row>
    <row r="31" spans="1:3" ht="13.5">
      <c r="A31" s="3335"/>
      <c r="B31" s="3334"/>
      <c r="C31" s="1996" t="s">
        <v>1682</v>
      </c>
    </row>
    <row r="32" spans="1:3" ht="13.5">
      <c r="A32" s="3335"/>
      <c r="B32" s="3334"/>
      <c r="C32" s="1996" t="s">
        <v>1683</v>
      </c>
    </row>
    <row r="33" spans="1:3" ht="13.5">
      <c r="A33" s="3335"/>
      <c r="B33" s="3334"/>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43486</v>
      </c>
      <c r="C2" s="1021" t="s">
        <v>826</v>
      </c>
      <c r="D2" s="1021"/>
    </row>
    <row r="3" spans="1:6" ht="24" customHeight="1">
      <c r="A3" s="1022" t="s">
        <v>827</v>
      </c>
      <c r="B3" s="1023" t="s">
        <v>828</v>
      </c>
      <c r="C3" s="2342" t="s">
        <v>829</v>
      </c>
      <c r="D3" s="2345" t="s">
        <v>830</v>
      </c>
      <c r="E3" s="1024" t="s">
        <v>831</v>
      </c>
      <c r="F3" s="1023" t="s">
        <v>829</v>
      </c>
    </row>
    <row r="4" spans="1:6" ht="24" customHeight="1">
      <c r="A4" s="1698" t="s">
        <v>832</v>
      </c>
      <c r="B4" s="1024">
        <f ca="1">IF(C4&lt;B2,"已过期",1119970066)</f>
        <v>1119970066</v>
      </c>
      <c r="C4" s="2343">
        <v>43849</v>
      </c>
      <c r="D4" s="2346" t="s">
        <v>832</v>
      </c>
      <c r="E4" s="1024">
        <f ca="1">IF(F4&lt;B2,"已过期",96010014)</f>
        <v>96010014</v>
      </c>
      <c r="F4" s="1032">
        <v>47118</v>
      </c>
    </row>
    <row r="5" spans="1:6" ht="24" customHeight="1">
      <c r="A5" s="1698" t="s">
        <v>833</v>
      </c>
      <c r="B5" s="1024">
        <f ca="1">IF(C5&lt;B2,"已过期",1119970074)</f>
        <v>1119970074</v>
      </c>
      <c r="C5" s="2343">
        <v>43849</v>
      </c>
      <c r="D5" s="2346" t="s">
        <v>833</v>
      </c>
      <c r="E5" s="1024">
        <f ca="1">IF(F5&lt;B2,"已过期",2002110027)</f>
        <v>2002110027</v>
      </c>
      <c r="F5" s="1032">
        <v>46752</v>
      </c>
    </row>
    <row r="6" spans="1:6" ht="24" customHeight="1">
      <c r="A6" s="1698" t="s">
        <v>834</v>
      </c>
      <c r="B6" s="1024">
        <f ca="1">IF(C6&lt;B2,"已过期",1119970111)</f>
        <v>1119970111</v>
      </c>
      <c r="C6" s="2343">
        <v>43849</v>
      </c>
      <c r="D6" s="2346" t="s">
        <v>834</v>
      </c>
      <c r="E6" s="1024">
        <f ca="1">IF(F6&lt;B2,"已过期",94010078)</f>
        <v>94010078</v>
      </c>
      <c r="F6" s="1032">
        <v>46387</v>
      </c>
    </row>
    <row r="7" spans="1:6" ht="24" customHeight="1">
      <c r="A7" s="1698" t="s">
        <v>835</v>
      </c>
      <c r="B7" s="1024">
        <f ca="1">IF(C7&lt;B2,"已过期",1120050019)</f>
        <v>1120050019</v>
      </c>
      <c r="C7" s="2343">
        <v>44395</v>
      </c>
      <c r="D7" s="2346" t="s">
        <v>835</v>
      </c>
      <c r="E7" s="1024">
        <f ca="1">IF(F7&lt;B2,"已过期",2002110030)</f>
        <v>2002110030</v>
      </c>
      <c r="F7" s="1032">
        <v>46387</v>
      </c>
    </row>
    <row r="8" spans="1:6" ht="24" customHeight="1">
      <c r="A8" s="1698" t="s">
        <v>836</v>
      </c>
      <c r="B8" s="1024">
        <f ca="1">IF(C8&lt;B2,"已过期",1120000080)</f>
        <v>1120000080</v>
      </c>
      <c r="C8" s="2343">
        <v>43849</v>
      </c>
      <c r="D8" s="2346" t="s">
        <v>836</v>
      </c>
      <c r="E8" s="1024">
        <f ca="1">IF(F8&lt;B2,"已过期",2000110082)</f>
        <v>2000110082</v>
      </c>
      <c r="F8" s="1032">
        <v>46387</v>
      </c>
    </row>
    <row r="9" spans="1:6" ht="24" customHeight="1">
      <c r="A9" s="1698" t="s">
        <v>837</v>
      </c>
      <c r="B9" s="1024">
        <f ca="1">IF(C9&lt;B2,"已过期",1419970001)</f>
        <v>1419970001</v>
      </c>
      <c r="C9" s="2343">
        <v>43867</v>
      </c>
      <c r="D9" s="2346" t="s">
        <v>837</v>
      </c>
      <c r="E9" s="1024">
        <f ca="1">IF(F9&lt;B2,"已过期",2002110125)</f>
        <v>2002110125</v>
      </c>
      <c r="F9" s="1032">
        <v>47118</v>
      </c>
    </row>
    <row r="10" spans="1:6" ht="24" customHeight="1">
      <c r="A10" s="1698" t="s">
        <v>838</v>
      </c>
      <c r="B10" s="1024" t="str">
        <f ca="1">IF(C10&lt;B2,"已过期",1120060040)</f>
        <v>已过期</v>
      </c>
      <c r="C10" s="2343">
        <v>43483</v>
      </c>
      <c r="D10" s="2346" t="s">
        <v>838</v>
      </c>
      <c r="E10" s="1024">
        <f ca="1">IF(F10&lt;B2,"已过期",2004110096)</f>
        <v>2004110096</v>
      </c>
      <c r="F10" s="1032">
        <v>47118</v>
      </c>
    </row>
    <row r="11" spans="1:6" ht="24" customHeight="1">
      <c r="A11" s="1698" t="s">
        <v>839</v>
      </c>
      <c r="B11" s="1024">
        <f ca="1">IF(C11&lt;B2,"已过期",1120100036)</f>
        <v>1120100036</v>
      </c>
      <c r="C11" s="2343">
        <v>43622</v>
      </c>
      <c r="D11" s="2346" t="s">
        <v>839</v>
      </c>
      <c r="E11" s="1024">
        <f ca="1">IF(F11&lt;B2,"已过期",2010110070)</f>
        <v>2010110070</v>
      </c>
      <c r="F11" s="1032">
        <v>47907</v>
      </c>
    </row>
    <row r="12" spans="1:6" ht="24" customHeight="1">
      <c r="A12" s="1698"/>
      <c r="B12" s="1024"/>
      <c r="C12" s="2937"/>
      <c r="D12" s="1698"/>
      <c r="E12" s="1024"/>
      <c r="F12" s="1032"/>
    </row>
    <row r="13" spans="1:6" ht="24" customHeight="1">
      <c r="A13" s="1698" t="s">
        <v>840</v>
      </c>
      <c r="B13" s="1024">
        <f ca="1">IF(C13&lt;B2,"已过期",1120070131)</f>
        <v>1120070131</v>
      </c>
      <c r="C13" s="2343">
        <v>43814</v>
      </c>
      <c r="D13" s="2346" t="s">
        <v>840</v>
      </c>
      <c r="E13" s="1024">
        <f ca="1">IF(F13&lt;B2,"已过期",2014110011)</f>
        <v>2014110011</v>
      </c>
      <c r="F13" s="1032">
        <v>49302</v>
      </c>
    </row>
    <row r="14" spans="1:6" ht="24" customHeight="1">
      <c r="A14" s="1698" t="s">
        <v>3042</v>
      </c>
      <c r="B14" s="1024">
        <f ca="1">IF(C14&lt;B2,"已过期",1120040230)</f>
        <v>1120040230</v>
      </c>
      <c r="C14" s="2343">
        <v>43835</v>
      </c>
      <c r="D14" s="2346" t="s">
        <v>3042</v>
      </c>
      <c r="E14" s="1024">
        <f ca="1">IF(F14&lt;B2,"已过期",98030020)</f>
        <v>98030020</v>
      </c>
      <c r="F14" s="1032">
        <v>47118</v>
      </c>
    </row>
    <row r="15" spans="1:6" ht="24" customHeight="1">
      <c r="A15" s="1699" t="s">
        <v>3043</v>
      </c>
      <c r="B15" s="1024">
        <f ca="1">IF(C15&lt;B2,"已过期",1120070085)</f>
        <v>1120070085</v>
      </c>
      <c r="C15" s="2343">
        <v>43814</v>
      </c>
      <c r="D15" s="2347" t="s">
        <v>3043</v>
      </c>
      <c r="E15" s="1024">
        <f ca="1">IF(F15&lt;B2,"已过期",2004110128)</f>
        <v>2004110128</v>
      </c>
      <c r="F15" s="1025">
        <v>47118</v>
      </c>
    </row>
    <row r="16" spans="1:6" ht="24" customHeight="1">
      <c r="A16" s="1698" t="s">
        <v>3044</v>
      </c>
      <c r="B16" s="1024">
        <f ca="1">IF(C16&lt;B2,"已过期",1120140022)</f>
        <v>1120140022</v>
      </c>
      <c r="C16" s="2937">
        <v>44029</v>
      </c>
      <c r="D16" s="2346" t="s">
        <v>3044</v>
      </c>
      <c r="E16" s="1024">
        <f ca="1">IF(F16&lt;B2,"已过期",2008110059)</f>
        <v>2008110059</v>
      </c>
      <c r="F16" s="1032">
        <v>47177</v>
      </c>
    </row>
    <row r="17" spans="1:7" ht="24" customHeight="1">
      <c r="A17" s="1698"/>
      <c r="B17" s="1024"/>
      <c r="C17" s="2343"/>
      <c r="D17" s="2346" t="s">
        <v>3045</v>
      </c>
      <c r="E17" s="1024">
        <f ca="1">IF(F17&lt;B2,"已过期",2014110076)</f>
        <v>2014110076</v>
      </c>
      <c r="F17" s="1032">
        <v>49302</v>
      </c>
    </row>
    <row r="18" spans="1:7" ht="24" customHeight="1">
      <c r="A18" s="1698"/>
      <c r="B18" s="1024"/>
      <c r="C18" s="2343"/>
      <c r="D18" s="2346"/>
      <c r="E18" s="1024"/>
      <c r="F18" s="1032"/>
    </row>
    <row r="19" spans="1:7" ht="24" customHeight="1">
      <c r="A19" s="1698"/>
      <c r="B19" s="1024"/>
      <c r="C19" s="2343"/>
      <c r="D19" s="2346"/>
      <c r="E19" s="1024"/>
      <c r="F19" s="1024"/>
    </row>
    <row r="20" spans="1:7" ht="24" customHeight="1">
      <c r="A20" s="1698"/>
      <c r="B20" s="1024"/>
      <c r="C20" s="2343"/>
      <c r="D20" s="2346"/>
      <c r="E20" s="1024"/>
      <c r="F20" s="1024"/>
    </row>
    <row r="21" spans="1:7" ht="24" customHeight="1">
      <c r="A21" s="1698"/>
      <c r="B21" s="1024"/>
      <c r="C21" s="2343"/>
      <c r="D21" s="2346" t="s">
        <v>841</v>
      </c>
      <c r="E21" s="1024">
        <f ca="1">IF(F21&lt;B2,"已过期",2011110090)</f>
        <v>2011110090</v>
      </c>
      <c r="F21" s="1032">
        <v>48302</v>
      </c>
    </row>
    <row r="22" spans="1:7" ht="24" customHeight="1">
      <c r="A22" s="1698" t="s">
        <v>842</v>
      </c>
      <c r="B22" s="1024">
        <f ca="1">IF(C22&lt;B2,"已过期",1120020033)</f>
        <v>1120020033</v>
      </c>
      <c r="C22" s="2937">
        <v>44339</v>
      </c>
      <c r="D22" s="2346" t="s">
        <v>842</v>
      </c>
      <c r="E22" s="1024">
        <f ca="1">IF(F22&lt;B2,"已过期",2000110137)</f>
        <v>2000110137</v>
      </c>
      <c r="F22" s="1032">
        <v>46387</v>
      </c>
    </row>
    <row r="23" spans="1:7" ht="24" customHeight="1">
      <c r="A23" s="1698"/>
      <c r="B23" s="1024"/>
      <c r="C23" s="2343"/>
      <c r="D23" s="2346"/>
      <c r="E23" s="1024"/>
      <c r="F23" s="1024"/>
    </row>
    <row r="24" spans="1:7" s="1026" customFormat="1" ht="24" customHeight="1">
      <c r="A24" s="1699" t="s">
        <v>1329</v>
      </c>
      <c r="B24" s="1699" t="s">
        <v>1329</v>
      </c>
      <c r="C24" s="2344" t="s">
        <v>1329</v>
      </c>
      <c r="D24" s="2347" t="s">
        <v>1329</v>
      </c>
      <c r="E24" s="1699" t="s">
        <v>1329</v>
      </c>
      <c r="F24" s="1699" t="s">
        <v>1329</v>
      </c>
    </row>
    <row r="25" spans="1:7" ht="24" customHeight="1">
      <c r="A25" s="3339" t="s">
        <v>843</v>
      </c>
      <c r="B25" s="3339"/>
      <c r="C25" s="3339"/>
      <c r="D25" s="3339"/>
      <c r="E25" s="3339"/>
      <c r="F25" s="3339"/>
      <c r="G25" s="3339"/>
    </row>
    <row r="26" spans="1:7" s="1027" customFormat="1" ht="24" customHeight="1">
      <c r="A26" s="3340" t="s">
        <v>844</v>
      </c>
      <c r="B26" s="3340"/>
      <c r="C26" s="3341"/>
      <c r="D26" s="3342" t="s">
        <v>845</v>
      </c>
      <c r="E26" s="3340"/>
      <c r="F26" s="3340"/>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比较法-办公租金</vt:lpstr>
      <vt:lpstr>办公面积明细</vt:lpstr>
      <vt:lpstr>典型户型修正</vt:lpstr>
      <vt:lpstr>案例</vt:lpstr>
      <vt:lpstr>租金案例</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2019-01-21T06:51:38Z</dcterms:modified>
</cp:coreProperties>
</file>