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61" i="9" l="1"/>
  <c r="P59" i="9"/>
  <c r="P53" i="9"/>
  <c r="P52" i="9"/>
  <c r="P54" i="9"/>
  <c r="I10" i="74" l="1"/>
  <c r="I11" i="74" l="1"/>
  <c r="D14" i="74" l="1"/>
  <c r="D45" i="9" l="1"/>
  <c r="I47" i="33"/>
  <c r="G47" i="33"/>
  <c r="M48" i="9" l="1"/>
  <c r="M49" i="9" s="1"/>
  <c r="I36" i="33"/>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4" i="67"/>
  <c r="F40" i="15"/>
  <c r="F4" i="73"/>
  <c r="E2" i="69"/>
  <c r="M28" i="15"/>
  <c r="F7" i="67"/>
  <c r="E2" i="68"/>
  <c r="E10" i="76"/>
  <c r="E12" i="76"/>
  <c r="F36" i="15"/>
  <c r="F6" i="73"/>
  <c r="J15" i="15"/>
  <c r="F37" i="67"/>
  <c r="L47" i="67"/>
  <c r="E7" i="76"/>
  <c r="B12" i="76"/>
  <c r="M29" i="67"/>
  <c r="F16" i="67"/>
  <c r="F37" i="15"/>
  <c r="F43" i="15"/>
  <c r="C76" i="15"/>
  <c r="E8" i="76"/>
  <c r="F26" i="15"/>
  <c r="E13" i="76"/>
  <c r="M29" i="15"/>
  <c r="E11" i="76"/>
  <c r="D7" i="73"/>
  <c r="F43" i="67"/>
  <c r="F36" i="67"/>
  <c r="M24" i="15"/>
  <c r="F8" i="15"/>
  <c r="D5" i="73"/>
  <c r="F26" i="67"/>
  <c r="D6" i="73"/>
  <c r="F9" i="67"/>
  <c r="F8" i="67"/>
  <c r="J15" i="67"/>
  <c r="B9" i="76"/>
  <c r="F42" i="67"/>
  <c r="D3" i="73"/>
  <c r="F16" i="15"/>
  <c r="M28" i="67"/>
  <c r="F3" i="73"/>
  <c r="L47" i="15"/>
  <c r="AO13" i="1"/>
  <c r="F7" i="73"/>
  <c r="L48" i="15"/>
  <c r="D4" i="73"/>
  <c r="M6" i="15"/>
  <c r="F5" i="73"/>
  <c r="B10" i="76"/>
  <c r="F9" i="15"/>
  <c r="M9" i="15"/>
  <c r="F38" i="15"/>
  <c r="F7" i="15"/>
  <c r="B8" i="76"/>
  <c r="F40" i="67"/>
  <c r="C76" i="67"/>
  <c r="M26" i="15"/>
  <c r="B7" i="76"/>
  <c r="M9" i="67"/>
  <c r="M8" i="15"/>
  <c r="B11" i="76"/>
  <c r="M8" i="67"/>
  <c r="E9" i="76"/>
  <c r="F20" i="31"/>
  <c r="F13" i="67"/>
  <c r="M23" i="15"/>
  <c r="M23" i="67"/>
  <c r="F13" i="15"/>
  <c r="M22" i="67"/>
  <c r="F6" i="15"/>
  <c r="F6" i="67"/>
  <c r="M6" i="67"/>
  <c r="F42" i="15"/>
  <c r="M22" i="15"/>
  <c r="M26" i="67"/>
  <c r="B13" i="76"/>
  <c r="F38"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15"/>
  <c r="L48" i="67"/>
  <c r="C16" i="67"/>
  <c r="D20" i="53" l="1"/>
  <c r="B40" i="72" s="1"/>
  <c r="F7" i="36"/>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M21" i="67"/>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D2" i="37"/>
  <c r="C19" i="9"/>
  <c r="D2" i="35"/>
  <c r="D2" i="36"/>
  <c r="D2" i="34"/>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D20" i="9"/>
  <c r="D35" i="9"/>
  <c r="AO12" i="1"/>
  <c r="AO7" i="1"/>
  <c r="AO8" i="1"/>
  <c r="AO9" i="1"/>
  <c r="C20" i="9"/>
  <c r="AO11" i="1"/>
  <c r="AO10" i="1"/>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B20" i="72" l="1"/>
  <c r="D6" i="53"/>
  <c r="B22" i="72" s="1"/>
  <c r="C93" i="9"/>
  <c r="C86" i="9" s="1"/>
  <c r="D52" i="9"/>
  <c r="D55" i="9"/>
  <c r="M53" i="9" s="1"/>
  <c r="D53" i="9"/>
  <c r="C85" i="9"/>
  <c r="C64" i="9"/>
  <c r="C63" i="9" s="1"/>
  <c r="C67" i="9" s="1"/>
  <c r="C78" i="9"/>
  <c r="C73" i="9" s="1"/>
  <c r="C72" i="9"/>
  <c r="D13" i="53"/>
  <c r="D122" i="9"/>
  <c r="H108"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48" i="9" s="1"/>
  <c r="M52" i="9" s="1"/>
  <c r="D59" i="9"/>
  <c r="M55" i="9" s="1"/>
  <c r="B30" i="72"/>
  <c r="D14" i="53"/>
  <c r="B32" i="72" s="1"/>
  <c r="D15" i="53"/>
  <c r="B31" i="72" s="1"/>
  <c r="C6" i="74"/>
  <c r="C81" i="9" l="1"/>
  <c r="C97" i="9"/>
  <c r="M69" i="9"/>
  <c r="N69" i="9" s="1"/>
  <c r="D58" i="9" l="1"/>
  <c r="D56" i="9" s="1"/>
  <c r="N57" i="9" l="1"/>
  <c r="P57" i="9" s="1"/>
  <c r="M54" i="9"/>
  <c r="N58" i="9" l="1"/>
  <c r="N59" i="9"/>
  <c r="I14" i="74" s="1"/>
  <c r="E9" i="74" s="1"/>
  <c r="B8" i="74" l="1"/>
  <c r="C8" i="74" s="1"/>
  <c r="N61" i="9"/>
  <c r="I12" i="74" s="1"/>
  <c r="N60" i="9"/>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<sst xmlns="http://schemas.openxmlformats.org/spreadsheetml/2006/main" count="7889" uniqueCount="3421">
  <si>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</si>
  <si>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</si>
  <si>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</si>
  <si>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</si>
  <si>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</si>
  <si>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</si>
  <si>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</si>
  <si>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</si>
  <si>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</si>
  <si>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</si>
  <si>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</si>
  <si>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</si>
  <si>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</si>
  <si>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</si>
  <si>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</si>
  <si>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</si>
  <si>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</si>
  <si>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</si>
  <si>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</si>
  <si>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</si>
  <si>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</si>
  <si>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</si>
  <si>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</si>
  <si>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</si>
  <si>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</si>
  <si>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</si>
  <si>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</si>
  <si>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</si>
  <si>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</si>
  <si>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</si>
  <si>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</si>
  <si>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</si>
  <si>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</si>
  <si>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</si>
  <si>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</si>
  <si>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</si>
  <si>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</si>
  <si>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</si>
  <si>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</si>
  <si>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</si>
  <si>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</si>
  <si>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</si>
  <si>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</si>
  <si>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</si>
  <si>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</si>
  <si>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</si>
  <si>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</si>
  <si>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</si>
  <si>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</si>
  <si>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</si>
  <si>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</si>
  <si>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</si>
  <si>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</si>
  <si>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</si>
  <si>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</si>
  <si>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</si>
  <si>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</si>
  <si>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</si>
  <si>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</si>
  <si>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</si>
  <si>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</si>
  <si>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</si>
  <si>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</si>
  <si>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</si>
  <si>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</si>
  <si>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</si>
  <si>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</si>
  <si>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</si>
  <si>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</si>
  <si>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</si>
  <si>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</si>
  <si>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</si>
  <si>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</si>
  <si>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</si>
  <si>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</si>
  <si>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</si>
  <si>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</si>
  <si>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</si>
  <si>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</si>
  <si>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</si>
  <si>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</si>
  <si>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</si>
  <si>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</si>
  <si>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</si>
  <si>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</si>
  <si>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</si>
  <si>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</si>
  <si>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</si>
  <si>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</si>
  <si>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</si>
  <si>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</si>
  <si>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</si>
  <si>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</si>
  <si>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</si>
  <si>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</si>
  <si>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</si>
  <si>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</si>
  <si>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</si>
  <si>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</si>
  <si>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</si>
  <si>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</si>
  <si>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</si>
  <si>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</si>
  <si>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</si>
  <si>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</si>
  <si>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</si>
  <si>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</si>
  <si>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</si>
  <si>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</si>
  <si>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</si>
  <si>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</si>
  <si>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</si>
  <si>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</si>
  <si>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</si>
  <si>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</si>
  <si>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</si>
  <si>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</si>
  <si>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</si>
  <si>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</si>
  <si>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</si>
  <si>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</si>
  <si>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</si>
  <si>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</si>
  <si>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</si>
  <si>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</si>
  <si>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</si>
  <si>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</si>
  <si>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</si>
  <si>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</si>
  <si>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</si>
  <si>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</si>
  <si>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</si>
  <si>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</si>
  <si>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</si>
  <si>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</si>
  <si>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</si>
  <si>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</si>
  <si>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</si>
  <si>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</si>
  <si>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</si>
  <si>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</si>
  <si>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</si>
  <si>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</si>
  <si>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</si>
  <si>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</si>
  <si>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</si>
  <si>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</si>
  <si>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</si>
  <si>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</si>
  <si>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</si>
  <si>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</si>
  <si>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</si>
  <si>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</si>
  <si>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</si>
  <si>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</si>
  <si>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</si>
  <si>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</si>
  <si>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</si>
  <si>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</si>
  <si>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</si>
  <si>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</si>
  <si>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</si>
  <si>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</si>
  <si>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</si>
  <si>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</si>
  <si>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</si>
  <si>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</si>
  <si>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</si>
  <si>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</si>
  <si>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</si>
  <si>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</si>
  <si>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</si>
  <si>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</si>
  <si>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</si>
  <si>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</si>
  <si>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</si>
  <si>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</si>
  <si>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</si>
  <si>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</si>
  <si>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</si>
  <si>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</si>
  <si>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</si>
  <si>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</si>
  <si>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</si>
  <si>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</si>
  <si>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</si>
  <si>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</si>
  <si>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</si>
  <si>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</si>
  <si>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</si>
  <si>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</si>
  <si>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</si>
  <si>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</si>
  <si>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</si>
  <si>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</si>
  <si>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</si>
  <si>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</si>
  <si>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</si>
  <si>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</si>
  <si>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</si>
  <si>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</si>
  <si>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</si>
  <si>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</si>
  <si>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</si>
  <si>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</si>
  <si>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</si>
  <si>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</si>
  <si>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</si>
  <si>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</si>
  <si>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</si>
  <si>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</si>
  <si>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</si>
  <si>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</si>
  <si>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</si>
  <si>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</si>
  <si>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</si>
  <si>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</si>
  <si>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</si>
  <si>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</si>
  <si>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</si>
  <si>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</si>
  <si>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</si>
  <si>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</si>
  <si>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</si>
  <si>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</si>
  <si>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</si>
  <si>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</si>
  <si>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</si>
  <si>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</si>
  <si>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</si>
  <si>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</si>
  <si>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</si>
  <si>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</si>
  <si>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</si>
  <si>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</si>
  <si>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</si>
  <si>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</si>
  <si>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</si>
  <si>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</si>
  <si>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</si>
  <si>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</si>
  <si>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</si>
  <si>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</si>
  <si>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</si>
  <si>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</si>
  <si>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</si>
  <si>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</si>
  <si>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</si>
  <si>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</si>
  <si>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</si>
  <si>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</si>
  <si>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</si>
  <si>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</si>
  <si>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</si>
  <si>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</si>
  <si>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</si>
  <si>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</si>
  <si>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</si>
  <si>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</si>
  <si>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</si>
  <si>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</si>
  <si>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</si>
  <si>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</si>
  <si>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</si>
  <si>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</si>
  <si>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</si>
  <si>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</si>
  <si>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</si>
  <si>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</si>
  <si>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</si>
  <si>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</si>
  <si>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</si>
  <si>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</si>
  <si>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</si>
  <si>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</si>
  <si>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</si>
  <si>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</si>
  <si>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</si>
  <si>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</si>
  <si>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</si>
  <si>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</si>
  <si>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</si>
  <si>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</si>
  <si>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</si>
  <si>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</si>
  <si>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</si>
  <si>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</si>
  <si>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</si>
  <si>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</si>
  <si>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</si>
  <si>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</si>
  <si>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</si>
  <si>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</si>
  <si>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</si>
  <si>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</si>
  <si>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</si>
  <si>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</si>
  <si>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</si>
  <si>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</si>
  <si>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</si>
  <si>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</si>
  <si>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</si>
  <si>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</si>
  <si>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</si>
  <si>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</si>
  <si>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</si>
  <si>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</si>
  <si>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</si>
  <si>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</si>
  <si>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</si>
  <si>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</si>
  <si>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</si>
  <si>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</si>
  <si>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</si>
  <si>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</si>
  <si>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</si>
  <si>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</si>
  <si>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</si>
  <si>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</si>
  <si>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</si>
  <si>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</si>
  <si>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</si>
  <si>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</si>
  <si>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</si>
  <si>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</si>
  <si>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</si>
  <si>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</si>
  <si>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</si>
  <si>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</si>
  <si>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</si>
  <si>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</si>
  <si>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</si>
  <si>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</si>
  <si>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</si>
  <si>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</si>
  <si>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</si>
  <si>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</si>
  <si>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</si>
  <si>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</si>
  <si>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</si>
  <si>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</si>
  <si>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</si>
  <si>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</si>
  <si>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</si>
  <si>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</si>
  <si>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</si>
  <si>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</si>
  <si>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</si>
  <si>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</si>
  <si>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</si>
  <si>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</si>
  <si>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</si>
  <si>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</si>
  <si>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</si>
  <si>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</si>
  <si>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</si>
  <si>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</si>
  <si>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</si>
  <si>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</si>
  <si>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</si>
  <si>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</si>
  <si>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</si>
  <si>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</si>
  <si>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</si>
  <si>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</si>
  <si>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</si>
  <si>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</si>
  <si>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</si>
  <si>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</si>
  <si>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</si>
  <si>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</si>
  <si>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</si>
  <si>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</si>
  <si>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</si>
  <si>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</si>
  <si>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</si>
  <si>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</si>
  <si>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</si>
  <si>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</si>
  <si>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</si>
  <si>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</si>
  <si>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</si>
  <si>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</si>
  <si>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</si>
  <si>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</si>
  <si>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</si>
  <si>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</si>
  <si>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</si>
  <si>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</si>
  <si>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</si>
  <si>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</si>
  <si>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</si>
  <si>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</si>
  <si>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</si>
  <si>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</si>
  <si>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</si>
  <si>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</si>
  <si>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</si>
  <si>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</si>
  <si>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</si>
  <si>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</si>
  <si>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</si>
  <si>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</si>
  <si>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</si>
  <si>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</si>
  <si>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</si>
  <si>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</si>
  <si>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</si>
  <si>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</si>
  <si>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</si>
  <si>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</si>
  <si>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</si>
  <si>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</si>
  <si>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</si>
  <si>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</si>
  <si>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</si>
  <si>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</si>
  <si>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</si>
  <si>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</si>
  <si>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</si>
  <si>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</si>
  <si>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</si>
  <si>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</si>
  <si>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</si>
  <si>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</si>
  <si>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</si>
  <si>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</si>
  <si>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</si>
  <si>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</si>
  <si>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</si>
  <si>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</si>
  <si>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</si>
  <si>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</si>
  <si>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</si>
  <si>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</si>
  <si>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</si>
  <si>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</si>
  <si>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</si>
  <si>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</si>
  <si>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</si>
  <si>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</si>
  <si>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</si>
  <si>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</si>
  <si>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</si>
  <si>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</si>
  <si>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</si>
  <si>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</si>
  <si>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</si>
  <si>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</si>
  <si>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</si>
  <si>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</si>
  <si>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</si>
  <si>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</si>
  <si>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</si>
  <si>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</si>
  <si>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</si>
  <si>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</si>
  <si>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</si>
  <si>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</si>
  <si>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</si>
  <si>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</si>
  <si>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</si>
  <si>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</si>
  <si>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</si>
  <si>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</si>
  <si>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</si>
  <si>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</si>
  <si>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</si>
  <si>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</si>
  <si>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</si>
  <si>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</si>
  <si>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</si>
  <si>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</si>
  <si>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</si>
  <si>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</si>
  <si>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</si>
  <si>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</si>
  <si>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</si>
  <si>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</si>
  <si>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</si>
  <si>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</si>
  <si>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</si>
  <si>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</si>
  <si>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</si>
  <si>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</si>
  <si>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</si>
  <si>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</si>
  <si>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</si>
  <si>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</si>
  <si>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</si>
  <si>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</si>
  <si>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</si>
  <si>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</si>
  <si>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</si>
  <si>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</si>
  <si>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</si>
  <si>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</si>
  <si>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</si>
  <si>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</si>
  <si>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</si>
  <si>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</si>
  <si>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</si>
  <si>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</si>
  <si>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</si>
  <si>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</si>
  <si>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</si>
  <si>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</si>
  <si>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</si>
  <si>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</si>
  <si>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</si>
  <si>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</si>
  <si>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</si>
  <si>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</si>
  <si>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</si>
  <si>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</si>
  <si>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</si>
  <si>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</si>
  <si>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</si>
  <si>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</si>
  <si>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</si>
  <si>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</si>
  <si>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</si>
  <si>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</si>
  <si>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</si>
  <si>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</si>
  <si>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</si>
  <si>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</si>
  <si>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</si>
  <si>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</si>
  <si>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</si>
  <si>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</si>
  <si>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</si>
  <si>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</si>
  <si>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</si>
  <si>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</si>
  <si>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</si>
  <si>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</si>
  <si>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</si>
  <si>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</si>
  <si>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</si>
  <si>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</si>
  <si>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</si>
  <si>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</si>
  <si>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</si>
  <si>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</si>
  <si>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</si>
  <si>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</si>
  <si>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</si>
  <si>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</si>
  <si>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</si>
  <si>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</si>
  <si>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</si>
  <si>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</si>
  <si>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</si>
  <si>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</si>
  <si>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</si>
  <si>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</si>
  <si>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</si>
  <si>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</si>
  <si>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</si>
  <si>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</si>
  <si>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</si>
  <si>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</si>
  <si>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</si>
  <si>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</si>
  <si>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</si>
  <si>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</si>
  <si>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</si>
  <si>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</si>
  <si>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</si>
  <si>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</si>
  <si>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</si>
  <si>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</si>
  <si>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</si>
  <si>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</si>
  <si>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</si>
  <si>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</si>
  <si>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</si>
  <si>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</si>
  <si>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</si>
  <si>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</si>
  <si>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</si>
  <si>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</si>
  <si>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</si>
  <si>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</si>
  <si>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</si>
  <si>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</si>
  <si>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</si>
  <si>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</si>
  <si>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</si>
  <si>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</si>
  <si>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</si>
  <si>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</si>
  <si>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</si>
  <si>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</si>
  <si>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</si>
  <si>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</si>
  <si>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</si>
  <si>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</si>
  <si>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</si>
  <si>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</si>
  <si>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</si>
  <si>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</si>
  <si>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</si>
  <si>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</si>
  <si>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</si>
  <si>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</si>
  <si>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</si>
  <si>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</si>
  <si>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</si>
  <si>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</si>
  <si>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</si>
  <si>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</si>
  <si>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</si>
  <si>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</si>
  <si>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</si>
  <si>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</si>
  <si>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</si>
  <si>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</si>
  <si>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</si>
  <si>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</si>
  <si>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</si>
  <si>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</si>
  <si>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</si>
  <si>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</si>
  <si>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</si>
  <si>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</si>
  <si>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</si>
  <si>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</si>
  <si>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</si>
  <si>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</si>
  <si>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</si>
  <si>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</si>
  <si>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</si>
  <si>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</si>
  <si>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</si>
  <si>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</si>
  <si>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</si>
  <si>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</si>
  <si>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</si>
  <si>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</si>
  <si>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</si>
  <si>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</si>
  <si>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</si>
  <si>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</si>
  <si>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</si>
  <si>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</si>
  <si>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</si>
  <si>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</si>
  <si>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</si>
  <si>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</si>
  <si>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</si>
  <si>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</si>
  <si>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</si>
  <si>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</si>
  <si>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</si>
  <si>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</si>
  <si>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</si>
  <si>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</si>
  <si>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</si>
  <si>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</si>
  <si>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</si>
  <si>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</si>
  <si>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</si>
  <si>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</si>
  <si>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</si>
  <si>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</si>
  <si>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</si>
  <si>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</si>
  <si>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</si>
  <si>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</si>
  <si>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</si>
  <si>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</si>
  <si>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</si>
  <si>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</si>
  <si>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</si>
  <si>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</si>
  <si>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</si>
  <si>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</si>
  <si>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</si>
  <si>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</si>
  <si>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</si>
  <si>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</si>
  <si>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</si>
  <si>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</si>
  <si>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</si>
  <si>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</si>
  <si>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</si>
  <si>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</si>
  <si>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</si>
  <si>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</si>
  <si>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</si>
  <si>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</si>
  <si>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</si>
  <si>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</si>
  <si>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</si>
  <si>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</si>
  <si>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</si>
  <si>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</si>
  <si>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</si>
  <si>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</si>
  <si>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</si>
  <si>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</si>
  <si>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</si>
  <si>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</si>
  <si>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</si>
  <si>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</si>
  <si>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</si>
  <si>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</si>
  <si>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</si>
  <si>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</si>
  <si>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</si>
  <si>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</si>
  <si>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</si>
  <si>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</si>
  <si>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</si>
  <si>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</si>
  <si>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</si>
  <si>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</si>
  <si>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</si>
  <si>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</si>
  <si>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</si>
  <si>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</si>
  <si>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</si>
  <si>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</si>
  <si>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</si>
  <si>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</si>
  <si>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</si>
  <si>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</si>
  <si>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</si>
  <si>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</si>
  <si>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</si>
  <si>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</si>
  <si>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</si>
  <si>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</si>
  <si>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</si>
  <si>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</si>
  <si>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</si>
  <si>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</si>
  <si>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</si>
  <si>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</si>
  <si>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</si>
  <si>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</si>
  <si>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</si>
  <si>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</si>
  <si>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</si>
  <si>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</si>
  <si>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</si>
  <si>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</si>
  <si>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</si>
  <si>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</si>
  <si>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</si>
  <si>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</si>
  <si>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</si>
  <si>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</si>
  <si>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</si>
  <si>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</si>
  <si>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</si>
  <si>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</si>
  <si>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</si>
  <si>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</si>
  <si>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</si>
  <si>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</si>
  <si>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</si>
  <si>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</si>
  <si>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</si>
  <si>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</si>
  <si>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</si>
  <si>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</si>
  <si>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</si>
  <si>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</si>
  <si>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</si>
  <si>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</si>
  <si>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</si>
  <si>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</si>
  <si>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</si>
  <si>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</si>
  <si>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</si>
  <si>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</si>
  <si>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</si>
  <si>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</si>
  <si>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</si>
  <si>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</si>
  <si>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</si>
  <si>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</si>
  <si>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</si>
  <si>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</si>
  <si>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</si>
  <si>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</si>
  <si>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</si>
  <si>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</si>
  <si>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</si>
  <si>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</si>
  <si>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</si>
  <si>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</si>
  <si>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</si>
  <si>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</si>
  <si>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</si>
  <si>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</si>
  <si>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</si>
  <si>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</si>
  <si>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</si>
  <si>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</si>
  <si>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</si>
  <si>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</si>
  <si>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</si>
  <si>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</si>
  <si>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</si>
  <si>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</si>
  <si>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</si>
  <si>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</si>
  <si>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</si>
  <si>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</si>
  <si>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</si>
  <si>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</si>
  <si>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</si>
  <si>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</si>
  <si>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</si>
  <si>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</si>
  <si>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</si>
  <si>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</si>
  <si>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</si>
  <si>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</si>
  <si>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</si>
  <si>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</si>
  <si>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</si>
  <si>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</si>
  <si>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</si>
  <si>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</si>
  <si>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</si>
  <si>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</si>
  <si>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</si>
  <si>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</si>
  <si>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</si>
  <si>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</si>
  <si>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</si>
  <si>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</si>
  <si>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</si>
  <si>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</si>
  <si>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</si>
  <si>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</si>
  <si>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</si>
  <si>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</si>
  <si>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</si>
  <si>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</si>
  <si>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</si>
  <si>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</si>
  <si>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</si>
  <si>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</si>
  <si>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</si>
  <si>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</si>
  <si>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</si>
  <si>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</si>
  <si>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</si>
  <si>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</si>
  <si>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</si>
  <si>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</si>
  <si>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</si>
  <si>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</si>
  <si>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</si>
  <si>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</si>
  <si>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</si>
  <si>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</si>
  <si>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</si>
  <si>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</si>
  <si>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</si>
  <si>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</si>
  <si>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</si>
  <si>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</si>
  <si>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</si>
  <si>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</si>
  <si>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</si>
  <si>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</si>
  <si>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</si>
  <si>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</si>
  <si>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</si>
  <si>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</si>
  <si>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</si>
  <si>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</si>
  <si>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</si>
  <si>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</si>
  <si>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</si>
  <si>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</si>
  <si>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</si>
  <si>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</si>
  <si>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</si>
  <si>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</si>
  <si>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</si>
  <si>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</si>
  <si>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</si>
  <si>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</si>
  <si>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</si>
  <si>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</si>
  <si>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</si>
  <si>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</si>
  <si>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</si>
  <si>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</si>
  <si>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</si>
  <si>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</si>
  <si>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</si>
  <si>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</si>
  <si>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</si>
  <si>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</si>
  <si>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</si>
  <si>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</si>
  <si>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</si>
  <si>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</si>
  <si>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</si>
  <si>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</si>
  <si>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</si>
  <si>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</si>
  <si>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</si>
  <si>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</si>
  <si>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</si>
  <si>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</si>
  <si>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</si>
  <si>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</si>
  <si>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</si>
  <si>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</si>
  <si>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</si>
  <si>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</si>
  <si>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</si>
  <si>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</si>
  <si>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</si>
  <si>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</si>
  <si>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</si>
  <si>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</si>
  <si>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</si>
  <si>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</si>
  <si>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</si>
  <si>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</si>
  <si>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</si>
  <si>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</si>
  <si>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</si>
  <si>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</si>
  <si>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</si>
  <si>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</si>
  <si>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</si>
  <si>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</si>
  <si>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</si>
  <si>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</si>
  <si>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</si>
  <si>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</si>
  <si>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</si>
  <si>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</si>
  <si>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</si>
  <si>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</si>
  <si>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</si>
  <si>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</si>
  <si>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</si>
  <si>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</si>
  <si>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</si>
  <si>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</si>
  <si>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</si>
  <si>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</si>
  <si>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</si>
  <si>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</si>
  <si>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</si>
  <si>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</si>
  <si>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</si>
  <si>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</si>
  <si>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</si>
  <si>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</si>
  <si>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</si>
  <si>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</si>
  <si>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</si>
  <si>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</si>
  <si>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</si>
  <si>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</si>
  <si>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</si>
  <si>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</si>
  <si>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</si>
  <si>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</si>
  <si>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</si>
  <si>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</si>
  <si>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</si>
  <si>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</si>
  <si>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</si>
  <si>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</si>
  <si>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</si>
  <si>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</si>
  <si>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</si>
  <si>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</si>
  <si>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</si>
  <si>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</si>
  <si>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</si>
  <si>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</si>
  <si>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</si>
  <si>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</si>
  <si>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</si>
  <si>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</si>
  <si>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</si>
  <si>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</si>
  <si>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</si>
  <si>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</si>
  <si>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</si>
  <si>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</si>
  <si>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</si>
  <si>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</si>
  <si>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</si>
  <si>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</si>
  <si>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</si>
  <si>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</si>
  <si>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</si>
  <si>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</si>
  <si>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</si>
  <si>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</si>
  <si>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</si>
  <si>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</si>
  <si>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</si>
  <si>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</si>
  <si>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</si>
  <si>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</si>
  <si>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</si>
  <si>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</si>
  <si>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</si>
  <si>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</si>
  <si>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</si>
  <si>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</si>
  <si>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</si>
  <si>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</si>
  <si>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</si>
  <si>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</si>
  <si>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</si>
  <si>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</si>
  <si>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</si>
  <si>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</si>
  <si>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</si>
  <si>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</si>
  <si>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</si>
  <si>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</si>
  <si>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</si>
  <si>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</si>
  <si>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</si>
  <si>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</si>
  <si>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</si>
  <si>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</si>
  <si>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</si>
  <si>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</si>
  <si>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</si>
  <si>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</si>
  <si>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</si>
  <si>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</si>
  <si>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</si>
  <si>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</si>
  <si>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</si>
  <si>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</si>
  <si>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</si>
  <si>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</si>
  <si>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</si>
  <si>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</si>
  <si>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</si>
  <si>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</si>
  <si>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</si>
  <si>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</si>
  <si>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</si>
  <si>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</si>
  <si>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</si>
  <si>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</si>
  <si>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</si>
  <si>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</si>
  <si>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</si>
  <si>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</si>
  <si>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</si>
  <si>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</si>
  <si>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</si>
  <si>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</si>
  <si>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</si>
  <si>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</si>
  <si>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</si>
  <si>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</si>
  <si>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</si>
  <si>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</si>
  <si>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</si>
  <si>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</si>
  <si>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</si>
  <si>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</si>
  <si>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</si>
  <si>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</si>
  <si>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</si>
  <si>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</si>
  <si>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</si>
  <si>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</si>
  <si>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</si>
  <si>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</si>
  <si>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</si>
  <si>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</si>
  <si>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</si>
  <si>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</si>
  <si>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</si>
  <si>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</si>
  <si>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</si>
  <si>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</si>
  <si>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</si>
  <si>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</si>
  <si>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</si>
  <si>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</si>
  <si>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</si>
  <si>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</si>
  <si>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</si>
  <si>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</si>
  <si>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</si>
  <si>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</si>
  <si>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</si>
  <si>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</si>
  <si>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</si>
  <si>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</si>
  <si>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</si>
  <si>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</si>
  <si>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</si>
  <si>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</si>
  <si>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</si>
  <si>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</si>
  <si>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</si>
  <si>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</si>
  <si>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</si>
  <si>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</si>
  <si>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</si>
  <si>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</si>
  <si>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</si>
  <si>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</si>
  <si>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</si>
  <si>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</si>
  <si>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</si>
  <si>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</si>
  <si>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</si>
  <si>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</si>
  <si>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</si>
  <si>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</si>
  <si>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</si>
  <si>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</si>
  <si>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</si>
  <si>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</si>
  <si>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</si>
  <si>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</si>
  <si>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</si>
  <si>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</si>
  <si>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</si>
  <si>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</si>
  <si>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</si>
  <si>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</si>
  <si>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</si>
  <si>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</si>
  <si>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</si>
  <si>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</si>
  <si>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</si>
  <si>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</si>
  <si>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</si>
  <si>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</si>
  <si>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</si>
  <si>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</si>
  <si>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</si>
  <si>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</si>
  <si>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</si>
  <si>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</si>
  <si>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</si>
  <si>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</si>
  <si>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</si>
  <si>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</si>
  <si>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</si>
  <si>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</si>
  <si>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</si>
  <si>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</si>
  <si>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</si>
  <si>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</si>
  <si>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</si>
  <si>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</si>
  <si>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</si>
  <si>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</si>
  <si>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</si>
  <si>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</si>
  <si>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</si>
  <si>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</si>
  <si>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</si>
  <si>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</si>
  <si>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</si>
  <si>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</si>
  <si>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</si>
  <si>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</si>
  <si>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</si>
  <si>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</si>
  <si>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</si>
  <si>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</si>
  <si>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</si>
  <si>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</si>
  <si>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</si>
  <si>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</si>
  <si>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</si>
  <si>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</si>
  <si>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</si>
  <si>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</si>
  <si>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</si>
  <si>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</si>
  <si>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</si>
  <si>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</si>
  <si>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</si>
  <si>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</si>
  <si>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</si>
  <si>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</si>
  <si>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</si>
  <si>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</si>
  <si>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</si>
  <si>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</si>
  <si>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</si>
  <si>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</si>
  <si>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</si>
  <si>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</si>
  <si>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</si>
  <si>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</si>
  <si>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</si>
  <si>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</si>
  <si>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</si>
  <si>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</si>
  <si>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</si>
  <si>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</si>
  <si>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</si>
  <si>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</si>
  <si>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</si>
  <si>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</si>
  <si>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</si>
  <si>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</si>
  <si>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</si>
  <si>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</si>
  <si>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</si>
  <si>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</si>
  <si>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</si>
  <si>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</si>
  <si>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</si>
  <si>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</si>
  <si>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</si>
  <si>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</si>
  <si>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</si>
  <si>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</si>
  <si>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</si>
  <si>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</si>
  <si>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</si>
  <si>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</si>
  <si>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</si>
  <si>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</si>
  <si>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</si>
  <si>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</si>
  <si>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</si>
  <si>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</si>
  <si>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</si>
  <si>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</si>
  <si>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</si>
  <si>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</si>
  <si>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</si>
  <si>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</si>
  <si>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</si>
  <si>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</si>
  <si>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</si>
  <si>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</si>
  <si>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</si>
  <si>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</si>
  <si>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</si>
  <si>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</si>
  <si>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</si>
  <si>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</si>
  <si>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</si>
  <si>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</si>
  <si>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</si>
  <si>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</si>
  <si>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</si>
  <si>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</si>
  <si>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</si>
  <si>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</si>
  <si>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</si>
  <si>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</si>
  <si>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</si>
  <si>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</si>
  <si>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</si>
  <si>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</si>
  <si>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</si>
  <si>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</si>
  <si>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</si>
  <si>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</si>
  <si>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</si>
  <si>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</si>
  <si>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</si>
  <si>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</si>
  <si>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</si>
  <si>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</si>
  <si>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</si>
  <si>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</si>
  <si>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</si>
  <si>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</si>
  <si>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</si>
  <si>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</si>
  <si>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</si>
  <si>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</si>
  <si>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</si>
  <si>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</si>
  <si>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</si>
  <si>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</si>
  <si>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</si>
  <si>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</si>
  <si>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</si>
  <si>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</si>
  <si>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</si>
  <si>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</si>
  <si>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</si>
  <si>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</si>
  <si>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</si>
  <si>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</si>
  <si>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</si>
  <si>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</si>
  <si>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</si>
  <si>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</si>
  <si>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</si>
  <si>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</si>
  <si>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</si>
  <si>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</si>
  <si>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</si>
  <si>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</si>
  <si>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</si>
  <si>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</si>
  <si>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</si>
  <si>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</si>
  <si>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</si>
  <si>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</si>
  <si>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</si>
  <si>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</si>
  <si>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</si>
  <si>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</si>
  <si>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</si>
  <si>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</si>
  <si>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</si>
  <si>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</si>
  <si>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</si>
  <si>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</si>
  <si>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</si>
  <si>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</si>
  <si>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</si>
  <si>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</si>
  <si>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</si>
  <si>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</si>
  <si>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</si>
  <si>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</si>
  <si>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</si>
  <si>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</si>
  <si>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</si>
  <si>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</si>
  <si>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</si>
  <si>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</si>
  <si>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</si>
  <si>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</si>
  <si>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</si>
  <si>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</si>
  <si>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</si>
  <si>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</si>
  <si>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</si>
  <si>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</si>
  <si>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</si>
  <si>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</si>
  <si>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</si>
  <si>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</si>
  <si>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</si>
  <si>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</si>
  <si>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</si>
  <si>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</si>
  <si>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</si>
  <si>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</si>
  <si>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</si>
  <si>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</si>
  <si>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</si>
  <si>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</si>
  <si>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</si>
  <si>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</si>
  <si>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</si>
  <si>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</si>
  <si>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</si>
  <si>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</si>
  <si>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</si>
  <si>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</si>
  <si>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</si>
  <si>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</si>
  <si>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</si>
  <si>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</si>
  <si>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</si>
  <si>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</si>
  <si>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</si>
  <si>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</si>
  <si>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</si>
  <si>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</si>
  <si>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</si>
  <si>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</si>
  <si>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</si>
  <si>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</si>
  <si>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</si>
  <si>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</si>
  <si>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</si>
  <si>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</si>
  <si>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</si>
  <si>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</si>
  <si>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</si>
  <si>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</si>
  <si>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</si>
  <si>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</si>
  <si>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</si>
  <si>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</si>
  <si>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</si>
  <si>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</si>
  <si>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</si>
  <si>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</si>
  <si>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</si>
  <si>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</si>
  <si>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</si>
  <si>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</si>
  <si>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</si>
  <si>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</si>
  <si>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</si>
  <si>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</si>
  <si>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</si>
  <si>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</si>
  <si>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</si>
  <si>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</si>
  <si>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</si>
  <si>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</si>
  <si>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</si>
  <si>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</si>
  <si>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</si>
  <si>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</si>
  <si>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</si>
  <si>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</si>
  <si>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</si>
  <si>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</si>
  <si>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</si>
  <si>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</si>
  <si>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</si>
  <si>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</si>
  <si>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</si>
  <si>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</si>
  <si>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</si>
  <si>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</si>
  <si>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</si>
  <si>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</si>
  <si>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</si>
  <si>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</si>
  <si>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</si>
  <si>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</si>
  <si>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</si>
  <si>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</si>
  <si>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</si>
  <si>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</si>
  <si>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</si>
  <si>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</si>
  <si>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</si>
  <si>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</si>
  <si>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</si>
  <si>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</si>
  <si>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</si>
  <si>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</si>
  <si>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</si>
  <si>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</si>
  <si>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</si>
  <si>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</si>
  <si>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</si>
  <si>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</si>
  <si>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</si>
  <si>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</si>
  <si>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</si>
  <si>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</si>
  <si>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</si>
  <si>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</si>
  <si>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</si>
  <si>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</si>
  <si>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</si>
  <si>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</si>
  <si>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</si>
  <si>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</si>
  <si>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</si>
  <si>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</si>
  <si>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</si>
  <si>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</si>
  <si>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</si>
  <si>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</si>
  <si>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</si>
  <si>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</si>
  <si>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</si>
  <si>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</si>
  <si>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</si>
  <si>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</si>
  <si>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</si>
  <si>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</si>
  <si>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</si>
  <si>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</si>
  <si>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</si>
  <si>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</si>
  <si>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</si>
  <si>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</si>
  <si>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</si>
  <si>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</si>
  <si>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</si>
  <si>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</si>
  <si>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</si>
  <si>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</si>
  <si>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</si>
  <si>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</si>
  <si>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</si>
  <si>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</si>
  <si>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</si>
  <si>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</si>
  <si>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</si>
  <si>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</si>
  <si>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</si>
  <si>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</si>
  <si>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</si>
  <si>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</si>
  <si>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</si>
  <si>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</si>
  <si>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</si>
  <si>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</si>
  <si>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</si>
  <si>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</si>
  <si>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</si>
  <si>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</si>
  <si>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</si>
  <si>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</si>
  <si>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</si>
  <si>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</si>
  <si>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</si>
  <si>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</si>
  <si>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</si>
  <si>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</si>
  <si>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</si>
  <si>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</si>
  <si>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</si>
  <si>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</si>
  <si>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</si>
  <si>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</si>
  <si>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</si>
  <si>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</si>
  <si>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</si>
  <si>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</si>
  <si>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</si>
  <si>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</si>
  <si>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</si>
  <si>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</si>
  <si>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</si>
  <si>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</si>
  <si>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</si>
  <si>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</si>
  <si>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</si>
  <si>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</si>
  <si>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</si>
  <si>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</si>
  <si>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</si>
  <si>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</si>
  <si>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</si>
  <si>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</si>
  <si>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</si>
  <si>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</si>
  <si>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</si>
  <si>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</si>
  <si>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</si>
  <si>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</si>
  <si>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</si>
  <si>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</si>
  <si>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</si>
  <si>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</si>
  <si>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</si>
  <si>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</si>
  <si>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</si>
  <si>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</si>
  <si>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</si>
  <si>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</si>
  <si>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</si>
  <si>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</si>
  <si>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</si>
  <si>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</si>
  <si>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</si>
  <si>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</si>
  <si>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</si>
  <si>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</si>
  <si>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</si>
  <si>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</si>
  <si>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</si>
  <si>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</si>
  <si>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</si>
  <si>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</si>
  <si>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</si>
  <si>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</si>
  <si>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</si>
  <si>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</si>
  <si>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</si>
  <si>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</si>
  <si>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</si>
  <si>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</si>
  <si>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</si>
  <si>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</si>
  <si>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</si>
  <si>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</si>
  <si>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</si>
  <si>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</si>
  <si>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</si>
  <si>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</si>
  <si>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</si>
  <si>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</si>
  <si>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</si>
  <si>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</si>
  <si>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</si>
  <si>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</si>
  <si>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</si>
  <si>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</si>
  <si>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</si>
  <si>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</si>
  <si>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</si>
  <si>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</si>
  <si>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</si>
  <si>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</si>
  <si>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</si>
  <si>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</si>
  <si>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</si>
  <si>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</si>
  <si>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</si>
  <si>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</si>
  <si>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</si>
  <si>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</si>
  <si>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</si>
  <si>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</si>
  <si>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</si>
  <si>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</si>
  <si>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</si>
  <si>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</si>
  <si>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</si>
  <si>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</si>
  <si>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</si>
  <si>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</si>
  <si>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</si>
  <si>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</si>
  <si>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</si>
  <si>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</si>
  <si>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</si>
  <si>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</si>
  <si>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</si>
  <si>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</si>
  <si>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</si>
  <si>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</si>
  <si>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</si>
  <si>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</si>
  <si>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</si>
  <si>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</si>
  <si>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</si>
  <si>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</si>
  <si>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</si>
  <si>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</si>
  <si>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</si>
  <si>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</si>
  <si>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</si>
  <si>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</si>
  <si>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</si>
  <si>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</si>
  <si>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</si>
  <si>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</si>
  <si>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</si>
  <si>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</si>
  <si>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</si>
  <si>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</si>
  <si>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</si>
  <si>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</si>
  <si>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</si>
  <si>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</si>
  <si>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</si>
  <si>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</si>
  <si>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</si>
  <si>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</si>
  <si>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</si>
  <si>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</si>
  <si>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</si>
  <si>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</si>
  <si>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</si>
  <si>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</si>
  <si>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</si>
  <si>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</si>
  <si>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</si>
  <si>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</si>
  <si>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</si>
  <si>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</si>
  <si>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</si>
  <si>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</si>
  <si>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</si>
  <si>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</si>
  <si>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</si>
  <si>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</si>
  <si>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</si>
  <si>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</si>
  <si>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</si>
  <si>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</si>
  <si>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</si>
  <si>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</si>
  <si>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</si>
  <si>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</si>
  <si>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</si>
  <si>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</si>
  <si>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</si>
  <si>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</si>
  <si>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</si>
  <si>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</si>
  <si>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</si>
  <si>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</si>
  <si>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</si>
  <si>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</si>
  <si>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</si>
  <si>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</si>
  <si>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</si>
  <si>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</si>
  <si>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</si>
  <si>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</si>
  <si>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</si>
  <si>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</si>
  <si>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</si>
  <si>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</si>
  <si>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</si>
  <si>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</si>
  <si>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</si>
  <si>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</si>
  <si>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</si>
  <si>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</si>
  <si>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</si>
  <si>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</si>
  <si>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</si>
  <si>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</si>
  <si>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</si>
  <si>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</si>
  <si>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</si>
  <si>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</si>
  <si>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</si>
  <si>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</si>
  <si>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</si>
  <si>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</si>
  <si>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</si>
  <si>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</si>
  <si>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</si>
  <si>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</si>
  <si>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</si>
  <si>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</si>
  <si>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</si>
  <si>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</si>
  <si>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</si>
  <si>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</si>
  <si>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</si>
  <si>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</si>
  <si>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</si>
  <si>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</si>
  <si>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</si>
  <si>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</si>
  <si>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</si>
  <si>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</si>
  <si>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</si>
  <si>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</si>
  <si>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</si>
  <si>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</si>
  <si>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</si>
  <si>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</si>
  <si>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</si>
  <si>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</si>
  <si>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</si>
  <si>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</si>
  <si>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</si>
  <si>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</si>
  <si>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</si>
  <si>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</si>
  <si>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</si>
  <si>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</si>
  <si>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</si>
  <si>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</si>
  <si>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</si>
  <si>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</si>
  <si>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</si>
  <si>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</si>
  <si>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</si>
  <si>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</si>
  <si>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</si>
  <si>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</si>
  <si>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</si>
  <si>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</si>
  <si>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</si>
  <si>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</si>
  <si>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</si>
  <si>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</si>
  <si>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</si>
  <si>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</si>
  <si>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</si>
  <si>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</si>
  <si>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</si>
  <si>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</si>
  <si>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</si>
  <si>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</si>
  <si>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</si>
  <si>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</si>
  <si>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</si>
  <si>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</si>
  <si>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</si>
  <si>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</si>
  <si>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</si>
  <si>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</si>
  <si>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</si>
  <si>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</si>
  <si>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</si>
  <si>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</si>
  <si>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</si>
  <si>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</si>
  <si>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</si>
  <si>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</si>
  <si>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</si>
  <si>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</si>
  <si>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</si>
  <si>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</si>
  <si>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</si>
  <si>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</si>
  <si>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</si>
  <si>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</si>
  <si>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</si>
  <si>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</si>
  <si>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</si>
  <si>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</si>
  <si>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</si>
  <si>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</si>
  <si>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</si>
  <si>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</si>
  <si>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</si>
  <si>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</si>
  <si>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</si>
  <si>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</si>
  <si>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</si>
  <si>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</si>
  <si>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</si>
  <si>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</si>
  <si>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</si>
  <si>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</si>
  <si>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</si>
  <si>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</si>
  <si>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</si>
  <si>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</si>
  <si>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</si>
  <si>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</si>
  <si>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</si>
  <si>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</si>
  <si>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</si>
  <si>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</si>
  <si>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</si>
  <si>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</si>
  <si>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</si>
  <si>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</si>
  <si>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</si>
  <si>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</si>
  <si>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</si>
  <si>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</si>
  <si>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</si>
  <si>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</si>
  <si>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</si>
  <si>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</si>
  <si>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</si>
  <si>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</si>
  <si>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</si>
  <si>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</si>
  <si>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</si>
  <si>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</si>
  <si>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</si>
  <si>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</si>
  <si>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</si>
  <si>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</si>
  <si>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</si>
  <si>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</si>
  <si>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</si>
  <si>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</si>
  <si>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</si>
  <si>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</si>
  <si>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</si>
  <si>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</si>
  <si>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</si>
  <si>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</si>
  <si>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</si>
  <si>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</si>
  <si>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</si>
  <si>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</si>
  <si>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</si>
  <si>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</si>
  <si>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</si>
  <si>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</si>
  <si>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</si>
  <si>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</si>
  <si>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</si>
  <si>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</si>
  <si>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</si>
  <si>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</si>
  <si>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</si>
  <si>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</si>
  <si>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</si>
  <si>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</si>
  <si>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</si>
  <si>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</si>
  <si>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</si>
  <si>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</si>
  <si>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</si>
  <si>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</si>
  <si>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</si>
  <si>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</si>
  <si>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</si>
  <si>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</si>
  <si>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</si>
  <si>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</si>
  <si>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</si>
  <si>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</si>
  <si>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</si>
  <si>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</si>
  <si>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</si>
  <si>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</si>
  <si>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</si>
  <si>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</si>
  <si>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</si>
  <si>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</si>
  <si>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</si>
  <si>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</si>
  <si>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</si>
  <si>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</si>
  <si>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</si>
  <si>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</si>
  <si>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</si>
  <si>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</si>
  <si>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</si>
  <si>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</si>
  <si>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</si>
  <si>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</si>
  <si>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</si>
  <si>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</si>
  <si>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</si>
  <si>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</si>
  <si>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</si>
  <si>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</si>
  <si>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</si>
  <si>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</si>
  <si>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</si>
  <si>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</si>
  <si>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</si>
  <si>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</si>
  <si>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</si>
  <si>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</si>
  <si>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</si>
  <si>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</si>
  <si>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</si>
  <si>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</si>
  <si>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</si>
  <si>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</si>
  <si>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</si>
  <si>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</si>
  <si>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</si>
  <si>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</si>
  <si>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</si>
  <si>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</si>
  <si>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</si>
  <si>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</si>
  <si>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</si>
  <si>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</si>
  <si>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</si>
  <si>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</si>
  <si>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</si>
  <si>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</si>
  <si>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</si>
  <si>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</si>
  <si>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</si>
  <si>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</si>
  <si>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</si>
  <si>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</si>
  <si>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</si>
  <si>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</si>
  <si>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</si>
  <si>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</si>
  <si>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</si>
  <si>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</si>
  <si>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</si>
  <si>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</si>
  <si>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</si>
  <si>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</si>
  <si>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</si>
  <si>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</si>
  <si>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</si>
  <si>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</si>
  <si>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</si>
  <si>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</si>
  <si>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</si>
  <si>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</si>
  <si>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</si>
  <si>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</si>
  <si>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</si>
  <si>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</si>
  <si>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</si>
  <si>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</si>
  <si>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</si>
  <si>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</si>
  <si>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</si>
  <si>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</si>
  <si>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</si>
  <si>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</si>
  <si>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</si>
  <si>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</si>
  <si>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</si>
  <si>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</si>
  <si>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</si>
  <si>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</si>
  <si>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</si>
  <si>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</si>
  <si>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</si>
  <si>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</si>
  <si>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</si>
  <si>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</si>
  <si>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</si>
  <si>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</si>
  <si>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</si>
  <si>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</si>
  <si>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</si>
  <si>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</si>
  <si>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</si>
  <si>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</si>
  <si>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</si>
  <si>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</si>
  <si>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</si>
  <si>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</si>
  <si>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</si>
  <si>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</si>
  <si>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</si>
  <si>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</si>
  <si>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</si>
  <si>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</si>
  <si>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</si>
  <si>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</si>
  <si>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</si>
  <si>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</si>
  <si>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</si>
  <si>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</si>
  <si>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</si>
  <si>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</si>
  <si>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</si>
  <si>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</si>
  <si>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</si>
  <si>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</si>
  <si>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</si>
  <si>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</si>
  <si>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</si>
  <si>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</si>
  <si>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</si>
  <si>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</si>
  <si>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</si>
  <si>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</si>
  <si>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</si>
  <si>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</si>
  <si>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</si>
  <si>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</si>
  <si>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</si>
  <si>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</si>
  <si>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</si>
  <si>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</si>
  <si>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</si>
  <si>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</si>
  <si>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</si>
  <si>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</si>
  <si>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</si>
  <si>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</si>
  <si>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</si>
  <si>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</si>
  <si>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</si>
  <si>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</si>
  <si>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</si>
  <si>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</si>
  <si>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</si>
  <si>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</si>
  <si>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</si>
  <si>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</si>
  <si>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</si>
  <si>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</si>
  <si>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</si>
  <si>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</si>
  <si>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</si>
  <si>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</si>
  <si>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</si>
  <si>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</si>
  <si>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</si>
  <si>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</si>
  <si>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</si>
  <si>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</si>
  <si>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</si>
  <si>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</si>
  <si>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</si>
  <si>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</si>
  <si>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</si>
  <si>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</si>
  <si>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</si>
  <si>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</si>
  <si>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</si>
  <si>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</si>
  <si>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</si>
  <si>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</si>
  <si>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</si>
  <si>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</si>
  <si>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</si>
  <si>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</si>
  <si>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</si>
  <si>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</si>
  <si>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</si>
  <si>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</si>
  <si>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</si>
  <si>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</si>
  <si>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</si>
  <si>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</si>
  <si>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</si>
  <si>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</si>
  <si>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</si>
  <si>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</si>
  <si>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</si>
  <si>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</si>
  <si>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</si>
  <si>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</si>
  <si>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</si>
  <si>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</si>
  <si>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</si>
  <si>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</si>
  <si>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</si>
  <si>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</si>
  <si>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</si>
  <si>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</si>
  <si>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</si>
  <si>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</si>
  <si>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</si>
  <si>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</si>
  <si>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</si>
  <si>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</si>
  <si>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</si>
  <si>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</si>
  <si>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</si>
  <si>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</si>
  <si>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</si>
  <si>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</si>
  <si>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</si>
  <si>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</si>
  <si>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</si>
  <si>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</si>
  <si>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</si>
  <si>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</si>
  <si>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</si>
  <si>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</si>
  <si>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</si>
  <si>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</si>
  <si>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</si>
  <si>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</si>
  <si>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</si>
  <si>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</si>
  <si>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</si>
  <si>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</si>
  <si>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</si>
  <si>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</si>
  <si>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</si>
  <si>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</si>
  <si>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</si>
  <si>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</si>
  <si>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</si>
  <si>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</si>
  <si>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</si>
  <si>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</si>
  <si>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</si>
  <si>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</si>
  <si>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</si>
  <si>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</si>
  <si>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</si>
  <si>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</si>
  <si>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</si>
  <si>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</si>
  <si>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</si>
  <si>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</si>
  <si>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</si>
  <si>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</si>
  <si>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</si>
  <si>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</si>
  <si>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</si>
  <si>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</si>
  <si>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</si>
  <si>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</si>
  <si>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</si>
  <si>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</si>
  <si>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</si>
  <si>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</si>
  <si>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</si>
  <si>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</si>
  <si>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</si>
  <si>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</si>
  <si>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</si>
  <si>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</si>
  <si>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</si>
  <si>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</si>
  <si>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</si>
  <si>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</si>
  <si>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</si>
  <si>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</si>
  <si>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</si>
  <si>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</si>
  <si>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</si>
  <si>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</si>
  <si>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</si>
  <si>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</si>
  <si>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</si>
  <si>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</si>
  <si>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</si>
  <si>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</si>
  <si>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</si>
  <si>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</si>
  <si>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</si>
  <si>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</si>
  <si>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</si>
  <si>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</si>
  <si>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</si>
  <si>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</si>
  <si>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</si>
  <si>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</si>
  <si>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</si>
  <si>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</si>
  <si>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</si>
  <si>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</si>
  <si>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</si>
  <si>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</si>
  <si>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</si>
  <si>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</si>
  <si>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</si>
  <si>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</si>
  <si>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</si>
  <si>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</si>
  <si>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</si>
  <si>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</si>
  <si>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</si>
  <si>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</si>
  <si>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</si>
  <si>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</si>
  <si>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</si>
  <si>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</si>
  <si>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</si>
  <si>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</si>
  <si>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</si>
  <si>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</si>
  <si>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</si>
  <si>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</si>
  <si>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</si>
  <si>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</si>
  <si>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</si>
  <si>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</si>
  <si>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</si>
  <si>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</si>
  <si>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</si>
  <si>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</si>
  <si>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</si>
  <si>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</si>
  <si>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</si>
  <si>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</si>
  <si>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</si>
  <si>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</si>
  <si>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</si>
  <si>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</si>
  <si>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</si>
  <si>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</si>
  <si>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</si>
  <si>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</si>
  <si>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</si>
  <si>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</si>
  <si>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</si>
  <si>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</si>
  <si>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</si>
  <si>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</si>
  <si>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</si>
  <si>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</si>
  <si>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</si>
  <si>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</si>
  <si>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</si>
  <si>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</si>
  <si>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</si>
  <si>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</si>
  <si>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</si>
  <si>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</si>
  <si>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</si>
  <si>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</si>
  <si>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</si>
  <si>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</si>
  <si>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</si>
  <si>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</si>
  <si>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</si>
  <si>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</si>
  <si>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</si>
  <si>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</si>
  <si>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</si>
  <si>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</si>
  <si>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</si>
  <si>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</si>
  <si>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</si>
  <si>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</si>
  <si>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</si>
  <si>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</si>
  <si>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</si>
  <si>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</si>
  <si>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</si>
  <si>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</si>
  <si>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</si>
  <si>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</si>
  <si>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</si>
  <si>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</si>
  <si>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</si>
  <si>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</si>
  <si>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</si>
  <si>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</si>
  <si>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</si>
  <si>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</si>
  <si>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</si>
  <si>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</si>
  <si>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</si>
  <si>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</si>
  <si>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</si>
  <si>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</si>
  <si>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</si>
  <si>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</si>
  <si>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</si>
  <si>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</si>
  <si>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</si>
  <si>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</si>
  <si>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</si>
  <si>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</si>
  <si>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</si>
  <si>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</si>
  <si>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</si>
  <si>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</si>
  <si>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</si>
  <si>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</si>
  <si>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</si>
  <si>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</si>
  <si>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</si>
  <si>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</si>
  <si>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</si>
  <si>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</si>
  <si>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</si>
  <si>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</si>
  <si>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</si>
  <si>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</si>
  <si>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</si>
  <si>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</si>
  <si>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</si>
  <si>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</si>
  <si>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</si>
  <si>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</si>
  <si>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</si>
  <si>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</si>
  <si>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</si>
  <si>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</si>
  <si>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</si>
  <si>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</si>
  <si>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</si>
  <si>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</si>
  <si>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</si>
  <si>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</si>
  <si>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</si>
  <si>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</si>
  <si>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</si>
  <si>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</si>
  <si>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</si>
  <si>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</si>
  <si>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</si>
  <si>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</si>
  <si>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</si>
  <si>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</si>
  <si>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</si>
  <si>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</si>
  <si>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</si>
  <si>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</si>
  <si>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</si>
  <si>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</si>
  <si>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</si>
  <si>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</si>
  <si>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</si>
  <si>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</si>
  <si>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</si>
  <si>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</si>
  <si>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</si>
  <si>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</si>
  <si>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</si>
  <si>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</si>
  <si>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</si>
  <si>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</si>
  <si>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</si>
  <si>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</si>
  <si>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</si>
  <si>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</si>
  <si>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</si>
  <si>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</si>
  <si>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</si>
  <si>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</si>
  <si>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</si>
  <si>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</si>
  <si>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</si>
  <si>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</si>
  <si>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</si>
  <si>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</si>
  <si>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</si>
  <si>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</si>
  <si>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</si>
  <si>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</si>
  <si>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</si>
  <si>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</si>
  <si>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</si>
  <si>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</si>
  <si>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</si>
  <si>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</si>
  <si>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</si>
  <si>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</si>
  <si>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</si>
  <si>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</si>
  <si>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</si>
  <si>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</si>
  <si>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</si>
  <si>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</si>
  <si>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</si>
  <si>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</si>
  <si>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</si>
  <si>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</si>
  <si>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</si>
  <si>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</si>
  <si>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</si>
  <si>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</si>
  <si>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</si>
  <si>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</si>
  <si>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</si>
  <si>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</si>
  <si>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</si>
  <si>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</si>
  <si>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</si>
  <si>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</si>
  <si>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</si>
  <si>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</si>
  <si>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</si>
  <si>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</si>
  <si>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</si>
  <si>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</si>
  <si>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</si>
  <si>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</si>
  <si>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</si>
  <si>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</si>
  <si>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</si>
  <si>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</si>
  <si>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</si>
  <si>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</si>
  <si>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</si>
  <si>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</si>
  <si>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</si>
  <si>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</si>
  <si>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</si>
  <si>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</si>
  <si>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</si>
  <si>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</si>
  <si>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</si>
  <si>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</si>
  <si>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</si>
  <si>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</si>
  <si>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</si>
  <si>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</si>
  <si>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</si>
  <si>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</si>
  <si>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</si>
  <si>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</si>
  <si>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</si>
  <si>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</si>
  <si>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</si>
  <si>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</si>
  <si>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</si>
  <si>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</si>
  <si>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</si>
  <si>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</si>
  <si>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</si>
  <si>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</si>
  <si>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</si>
  <si>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</si>
  <si>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</si>
  <si>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</si>
  <si>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</si>
  <si>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</si>
  <si>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</si>
  <si>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</si>
  <si>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</si>
  <si>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</si>
  <si>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</si>
  <si>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</si>
  <si>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</si>
  <si>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</si>
  <si>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</si>
  <si>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</si>
  <si>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</si>
  <si>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</si>
  <si>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</si>
  <si>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</si>
  <si>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</si>
  <si>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</si>
  <si>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</si>
  <si>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</si>
  <si>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</si>
  <si>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</si>
  <si>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</si>
  <si>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</si>
  <si>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</si>
  <si>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</si>
  <si>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</si>
  <si>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</si>
  <si>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</si>
  <si>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</si>
  <si>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</si>
  <si>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</si>
  <si>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</si>
  <si>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</si>
  <si>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</si>
  <si>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</si>
  <si>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</si>
  <si>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</si>
  <si>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</si>
  <si>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</si>
  <si>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</si>
  <si>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</si>
  <si>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</si>
  <si>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</si>
  <si>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</si>
  <si>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</si>
  <si>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</si>
  <si>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</si>
  <si>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</si>
  <si>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</si>
  <si>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</si>
  <si>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</si>
  <si>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</si>
  <si>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</si>
  <si>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</si>
  <si>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</si>
  <si>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</si>
  <si>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</si>
  <si>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</si>
  <si>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</si>
  <si>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</si>
  <si>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</si>
  <si>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</si>
  <si>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</si>
  <si>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</si>
  <si>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</si>
  <si>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</si>
  <si>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</si>
  <si>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</si>
  <si>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</si>
  <si>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</si>
  <si>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</si>
  <si>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</si>
  <si>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</si>
  <si>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</si>
  <si>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</si>
  <si>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</si>
  <si>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</si>
  <si>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</si>
  <si>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</si>
  <si>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</si>
  <si>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</si>
  <si>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</si>
  <si>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</si>
  <si>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</si>
  <si>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</si>
  <si>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</si>
  <si>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</si>
  <si>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</si>
  <si>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</si>
  <si>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</si>
  <si>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</si>
  <si>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</si>
  <si>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</si>
  <si>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</si>
  <si>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</si>
  <si>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</si>
  <si>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</si>
  <si>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</si>
  <si>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</si>
  <si>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</si>
  <si>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</si>
  <si>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</si>
  <si>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</si>
  <si>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</si>
  <si>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</si>
  <si>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</si>
  <si>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</si>
  <si>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</si>
  <si>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</si>
  <si>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</si>
  <si>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</si>
  <si>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</si>
  <si>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</si>
  <si>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</si>
  <si>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</si>
  <si>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</si>
  <si>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</si>
  <si>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</si>
  <si>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</si>
  <si>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</si>
  <si>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</si>
  <si>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</si>
  <si>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</si>
  <si>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</si>
  <si>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</si>
  <si>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</si>
  <si>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</si>
  <si>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</si>
  <si>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</si>
  <si>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</si>
  <si>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</si>
  <si>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</si>
  <si>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</si>
  <si>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</si>
  <si>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</si>
  <si>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</si>
  <si>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</si>
  <si>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</si>
  <si>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</si>
  <si>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</si>
  <si>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</si>
  <si>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</si>
  <si>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</si>
  <si>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</si>
  <si>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</si>
  <si>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</si>
  <si>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</si>
  <si>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</si>
  <si>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</si>
  <si>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</si>
  <si>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</si>
  <si>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</si>
  <si>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</si>
  <si>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</si>
  <si>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</si>
  <si>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</si>
  <si>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</si>
  <si>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</si>
  <si>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</si>
  <si>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</si>
  <si>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</si>
  <si>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</si>
  <si>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</si>
  <si>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</si>
  <si>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</si>
  <si>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</si>
  <si>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</si>
  <si>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</si>
  <si>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</si>
  <si>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</si>
  <si>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</si>
  <si>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</si>
  <si>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</si>
  <si>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</si>
  <si>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</si>
  <si>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</si>
  <si>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</si>
  <si>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</si>
  <si>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</si>
  <si>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</si>
  <si>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</si>
  <si>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</si>
  <si>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</si>
  <si>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</si>
  <si>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</si>
  <si>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</si>
  <si>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</si>
  <si>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</si>
  <si>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</si>
  <si>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</si>
  <si>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</si>
  <si>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</si>
  <si>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</si>
  <si>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</si>
  <si>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</si>
  <si>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</si>
  <si>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</si>
  <si>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</si>
  <si>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</si>
  <si>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</si>
  <si>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</si>
  <si>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</si>
  <si>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</si>
  <si>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</si>
  <si>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</si>
  <si>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</si>
  <si>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</si>
  <si>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</si>
  <si>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</si>
  <si>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</si>
  <si>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</si>
  <si>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</si>
  <si>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</si>
  <si>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</si>
  <si>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</si>
  <si>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</si>
  <si>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</si>
  <si>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</si>
  <si>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</si>
  <si>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</si>
  <si>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</si>
  <si>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</si>
  <si>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</si>
  <si>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</si>
  <si>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</si>
  <si>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</si>
  <si>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</si>
  <si>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</si>
  <si>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</si>
  <si>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</si>
  <si>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</si>
  <si>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</si>
  <si>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</si>
  <si>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</si>
  <si>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</si>
  <si>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</si>
  <si>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</si>
  <si>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</si>
  <si>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</si>
  <si>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</si>
  <si>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</si>
  <si>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</si>
  <si>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</si>
  <si>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</si>
  <si>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</si>
  <si>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</si>
  <si>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</si>
  <si>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</si>
  <si>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</si>
  <si>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</si>
  <si>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</si>
  <si>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</si>
  <si>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</si>
  <si>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</si>
  <si>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</si>
  <si>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</si>
  <si>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</si>
  <si>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</si>
  <si>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</si>
  <si>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</si>
  <si>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</si>
  <si>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</si>
  <si>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</si>
  <si>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</si>
  <si>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</si>
  <si>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</si>
  <si>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</si>
  <si>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</si>
  <si>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</si>
  <si>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</si>
  <si>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</si>
  <si>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</si>
  <si>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</si>
  <si>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</si>
  <si>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</si>
  <si>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</si>
  <si>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</si>
  <si>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</si>
  <si>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</si>
  <si>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</si>
  <si>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</si>
  <si>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</si>
  <si>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</si>
  <si>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</si>
  <si>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</si>
  <si>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</si>
  <si>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</si>
  <si>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</si>
  <si>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</si>
  <si>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</si>
  <si>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</si>
  <si>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</si>
  <si>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</si>
  <si>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</si>
  <si>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</si>
  <si>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</si>
  <si>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</si>
  <si>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</si>
  <si>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</si>
  <si>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</si>
  <si>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</si>
  <si>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</si>
  <si>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</si>
  <si>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</si>
  <si>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</si>
  <si>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</si>
  <si>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</si>
  <si>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</si>
  <si>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</si>
  <si>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</si>
  <si>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</si>
  <si>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</si>
  <si>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</si>
  <si>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</si>
  <si>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</si>
  <si>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</si>
  <si>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</si>
  <si>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</si>
  <si>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</si>
  <si>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</si>
  <si>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</si>
  <si>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</si>
  <si>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</si>
  <si>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</si>
  <si>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</si>
  <si>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</si>
  <si>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</si>
  <si>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</si>
  <si>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</si>
  <si>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</si>
  <si>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</si>
  <si>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</si>
  <si>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</si>
  <si>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</si>
  <si>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</si>
  <si>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</si>
  <si>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</si>
  <si>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</si>
  <si>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</si>
  <si>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</si>
  <si>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</si>
  <si>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</si>
  <si>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</si>
  <si>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</si>
  <si>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</si>
  <si>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</si>
  <si>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</si>
  <si>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</si>
  <si>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</si>
  <si>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</si>
  <si>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</si>
  <si>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</si>
  <si>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</si>
  <si>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</si>
  <si>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</si>
  <si>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</si>
  <si>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</si>
  <si>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</si>
  <si>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</si>
  <si>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</si>
  <si>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</si>
  <si>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</si>
  <si>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</si>
  <si>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</si>
  <si>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</si>
  <si>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</si>
  <si>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</si>
  <si>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</si>
  <si>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</si>
  <si>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</si>
  <si>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</si>
  <si>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</si>
  <si>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</si>
  <si>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</si>
  <si>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</si>
  <si>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</si>
  <si>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</si>
  <si>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</si>
  <si>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</si>
  <si>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</si>
  <si>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</si>
  <si>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</si>
  <si>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</si>
  <si>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</si>
  <si>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</si>
  <si>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</si>
  <si>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</si>
  <si>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</si>
  <si>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</si>
  <si>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</si>
  <si>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</si>
  <si>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</si>
  <si>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</si>
  <si>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</si>
  <si>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</si>
  <si>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</si>
  <si>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</si>
  <si>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</si>
  <si>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</si>
  <si>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</si>
  <si>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</si>
  <si>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</si>
  <si>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</si>
  <si>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</si>
  <si>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</si>
  <si>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</si>
  <si>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</si>
  <si>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</si>
  <si>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</si>
  <si>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</si>
  <si>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</si>
  <si>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</si>
  <si>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</si>
  <si>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</si>
  <si>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</si>
  <si>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</si>
  <si>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</si>
  <si>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</si>
  <si>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</si>
  <si>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</si>
  <si>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</si>
  <si>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</si>
  <si>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</si>
  <si>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</si>
  <si>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</si>
  <si>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</si>
  <si>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</si>
  <si>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</si>
  <si>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</si>
  <si>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</si>
  <si>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</si>
  <si>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</si>
  <si>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</si>
  <si>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</si>
  <si>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</si>
  <si>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</si>
  <si>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</si>
  <si>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</si>
  <si>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</si>
  <si>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</si>
  <si>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</si>
  <si>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</si>
  <si>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</si>
  <si>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</si>
  <si>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</si>
  <si>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</si>
  <si>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</si>
  <si>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</si>
  <si>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</si>
  <si>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</si>
  <si>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</si>
  <si>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</si>
  <si>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</si>
  <si>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</si>
  <si>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</si>
  <si>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</si>
  <si>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</si>
  <si>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</si>
  <si>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</si>
  <si>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</si>
  <si>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</si>
  <si>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</si>
  <si>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</si>
  <si>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</si>
  <si>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</si>
  <si>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</si>
  <si>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</si>
  <si>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</si>
  <si>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</si>
  <si>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</si>
  <si>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</si>
  <si>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</si>
  <si>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</si>
  <si>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</si>
  <si>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</si>
  <si>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</si>
  <si>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</si>
  <si>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</si>
  <si>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</si>
  <si>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</si>
  <si>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</si>
  <si>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</si>
  <si>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</si>
  <si>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</si>
  <si>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</si>
  <si>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</si>
  <si>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</si>
  <si>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</si>
  <si>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</si>
  <si>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</si>
  <si>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</si>
  <si>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</si>
  <si>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</si>
  <si>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</si>
  <si>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</si>
  <si>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</si>
  <si>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</si>
  <si>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</si>
  <si>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</si>
  <si>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</si>
  <si>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</si>
  <si>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</si>
  <si>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</si>
  <si>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</si>
  <si>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</si>
  <si>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</si>
  <si>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</si>
  <si>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</si>
  <si>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</si>
  <si>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</si>
  <si>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</si>
  <si>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</si>
  <si>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</si>
  <si>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</si>
  <si>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</si>
  <si>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</si>
  <si>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</si>
  <si>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</si>
  <si>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</si>
  <si>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</si>
  <si>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</si>
  <si>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</si>
  <si>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</si>
  <si>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</si>
  <si>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</si>
  <si>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</si>
  <si>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</si>
  <si>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</si>
  <si>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</si>
  <si>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</si>
  <si>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</si>
  <si>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</si>
  <si>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</si>
  <si>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</si>
  <si>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</si>
  <si>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</si>
  <si>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</si>
  <si>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</si>
  <si>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</si>
  <si>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</si>
  <si>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</si>
  <si>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</si>
  <si>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</si>
  <si>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</si>
  <si>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</si>
  <si>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</si>
  <si>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</si>
  <si>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</si>
  <si>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</si>
  <si>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</si>
  <si>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</si>
  <si>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</si>
  <si>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</si>
  <si>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</si>
  <si>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</si>
  <si>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</si>
  <si>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</si>
  <si>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</si>
  <si>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</si>
  <si>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</si>
  <si>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</si>
  <si>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</si>
  <si>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</si>
  <si>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</si>
  <si>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</si>
  <si>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</si>
  <si>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</si>
  <si>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</si>
  <si>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</si>
  <si>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</si>
  <si>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</si>
  <si>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</si>
  <si>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</si>
  <si>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</si>
  <si>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</si>
  <si>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</si>
  <si>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</si>
  <si>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</si>
  <si>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</si>
  <si>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</si>
  <si>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</si>
  <si>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</si>
  <si>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</si>
  <si>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</si>
  <si>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</si>
  <si>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</si>
  <si>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</si>
  <si>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</si>
  <si>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</si>
  <si>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</si>
  <si>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</si>
  <si>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</si>
  <si>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</si>
  <si>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</si>
  <si>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</si>
  <si>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</si>
  <si>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</si>
  <si>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</si>
  <si>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</si>
  <si>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</si>
  <si>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</si>
  <si>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</si>
  <si>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</si>
  <si>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</si>
  <si>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</si>
  <si>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</si>
  <si>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</si>
  <si>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</si>
  <si>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</si>
  <si>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</si>
  <si>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</si>
  <si>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</si>
  <si>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</si>
  <si>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</si>
  <si>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</si>
  <si>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</si>
  <si>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</si>
  <si>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</si>
  <si>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</si>
  <si>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</si>
  <si>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</si>
  <si>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</si>
  <si>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</si>
  <si>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</si>
  <si>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</si>
  <si>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</si>
  <si>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</si>
  <si>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</si>
  <si>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</si>
  <si>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</si>
  <si>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</si>
  <si>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</si>
  <si>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</si>
  <si>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</si>
  <si>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</si>
  <si>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</si>
  <si>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</si>
  <si>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</si>
  <si>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</si>
  <si>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</si>
  <si>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</si>
  <si>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</si>
  <si>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</si>
  <si>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</si>
  <si>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</si>
  <si>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</si>
  <si>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</si>
  <si>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</si>
  <si>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</si>
  <si>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</si>
  <si>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</si>
  <si>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</si>
  <si>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</si>
  <si>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</si>
  <si>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</si>
  <si>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</si>
  <si>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</si>
  <si>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</si>
  <si>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</si>
  <si>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</si>
  <si>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</si>
  <si>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</si>
  <si>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</si>
  <si>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</si>
  <si>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</si>
  <si>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</si>
  <si>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</si>
  <si>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</si>
  <si>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</si>
  <si>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</si>
  <si>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</si>
  <si>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</si>
  <si>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</si>
  <si>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</si>
  <si>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</si>
  <si>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</si>
  <si>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</si>
  <si>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</si>
  <si>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</si>
  <si>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</si>
  <si>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</si>
  <si>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</si>
  <si>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</si>
  <si>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</si>
  <si>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</si>
  <si>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</si>
  <si>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</si>
  <si>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</si>
  <si>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</si>
  <si>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</si>
  <si>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</si>
  <si>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</si>
  <si>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</si>
  <si>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</si>
  <si>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</si>
  <si>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</si>
  <si>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</si>
  <si>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</si>
  <si>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</si>
  <si>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</si>
  <si>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</si>
  <si>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</si>
  <si>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</si>
  <si>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</si>
  <si>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</si>
  <si>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</si>
  <si>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</si>
  <si>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</si>
  <si>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</si>
  <si>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</si>
  <si>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</si>
  <si>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</si>
  <si>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</si>
  <si>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</si>
  <si>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</si>
  <si>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</si>
  <si>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</si>
  <si>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</si>
  <si>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</si>
  <si>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</si>
  <si>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</si>
  <si>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</si>
  <si>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</si>
  <si>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</si>
  <si>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</si>
  <si>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</si>
  <si>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</si>
  <si>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</si>
  <si>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</si>
  <si>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</si>
  <si>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</si>
  <si>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</si>
  <si>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</si>
  <si>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</si>
  <si>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</si>
  <si>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</si>
  <si>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</si>
  <si>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</si>
  <si>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</si>
  <si>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</si>
  <si>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</si>
  <si>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</si>
  <si>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</si>
  <si>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</si>
  <si>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</si>
  <si>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</si>
  <si>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</si>
  <si>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</si>
  <si>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</si>
  <si>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</si>
  <si>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</si>
  <si>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</si>
  <si>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</si>
  <si>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</si>
  <si>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</si>
  <si>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</si>
  <si>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</si>
  <si>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</si>
  <si>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</si>
  <si>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</si>
  <si>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</si>
  <si>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</si>
  <si>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</si>
  <si>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</si>
  <si>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</si>
  <si>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</si>
  <si>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</si>
  <si>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</si>
  <si>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</si>
  <si>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</si>
  <si>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</si>
  <si>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</si>
  <si>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</si>
  <si>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</si>
  <si>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</si>
  <si>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</si>
  <si>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</si>
  <si>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</si>
  <si>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</si>
  <si>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</si>
  <si>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</si>
  <si>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</si>
  <si>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</si>
  <si>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</si>
  <si>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</si>
  <si>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</si>
  <si>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</si>
  <si>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</si>
  <si>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</si>
  <si>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</si>
  <si>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</si>
  <si>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</si>
  <si>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</si>
  <si>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</si>
  <si>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</si>
  <si>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</si>
  <si>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</si>
  <si>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</si>
  <si>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</si>
  <si>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</si>
  <si>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</si>
  <si>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</si>
  <si>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</si>
  <si>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</si>
  <si>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</si>
  <si>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</si>
  <si>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</si>
  <si>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</si>
  <si>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</si>
  <si>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</si>
  <si>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</si>
  <si>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</si>
  <si>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</si>
  <si>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</si>
  <si>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</si>
  <si>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</si>
  <si>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</si>
  <si>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</si>
  <si>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</si>
  <si>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</si>
  <si>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</si>
  <si>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</si>
  <si>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</si>
  <si>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</si>
  <si>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</si>
  <si>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</si>
  <si>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</si>
  <si>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</si>
  <si>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</si>
  <si>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</si>
  <si>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</si>
  <si>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</si>
  <si>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</si>
  <si>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</si>
  <si>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</si>
  <si>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</si>
  <si>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</si>
  <si>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</si>
  <si>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</si>
  <si>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</si>
  <si>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</si>
  <si>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</si>
  <si>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</si>
  <si>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</si>
  <si>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</si>
  <si>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</si>
  <si>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</si>
  <si>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</si>
  <si>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</si>
  <si>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</si>
  <si>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</si>
  <si>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</si>
  <si>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</si>
  <si>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</si>
  <si>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</si>
  <si>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</si>
  <si>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</si>
  <si>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</si>
  <si>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</si>
  <si>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</si>
  <si>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</si>
  <si>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</si>
  <si>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</si>
  <si>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</si>
  <si>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</si>
  <si>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</si>
  <si>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</si>
  <si>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</si>
  <si>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</si>
  <si>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</si>
  <si>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</si>
  <si>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</si>
  <si>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</si>
  <si>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</si>
  <si>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</si>
  <si>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</si>
  <si>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</si>
  <si>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</si>
  <si>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</si>
  <si>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</si>
  <si>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</si>
  <si>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</si>
  <si>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</si>
  <si>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</si>
  <si>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</si>
  <si>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</si>
  <si>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</si>
  <si>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</si>
  <si>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</si>
  <si>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</si>
  <si>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</si>
  <si>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</si>
  <si>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</si>
  <si>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</si>
  <si>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</si>
  <si>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</si>
  <si>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</si>
  <si>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</si>
  <si>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</si>
  <si>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</si>
  <si>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</si>
  <si>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</si>
  <si>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</si>
  <si>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</si>
  <si>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</si>
  <si>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</si>
  <si>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</si>
  <si>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</si>
  <si>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</si>
  <si>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</si>
  <si>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</si>
  <si>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</si>
  <si>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</si>
  <si>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</si>
  <si>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</si>
  <si>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</si>
  <si>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</si>
  <si>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</si>
  <si>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</si>
  <si>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</si>
  <si>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</si>
  <si>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</si>
  <si>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</si>
  <si>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</si>
  <si>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</si>
  <si>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</si>
  <si>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</si>
  <si>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</si>
  <si>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</si>
  <si>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</si>
  <si>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</si>
  <si>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</si>
  <si>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</si>
  <si>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</si>
  <si>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</si>
  <si>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</si>
  <si>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</si>
  <si>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</si>
  <si>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</si>
  <si>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情况4</t>
  </si>
  <si>
    <t>转让取得</t>
  </si>
  <si>
    <t>非个人房产</t>
  </si>
  <si>
    <t>购房发票</t>
  </si>
  <si>
    <t>2016年5月1日前购买</t>
  </si>
  <si>
    <t>正常扣</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</si>
</sst>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2025年1月16日（评估专业人员实地查勘之日）</v>
      </c>
    </row>
    <row r="13" spans="1:2" s="1201" customFormat="1">
      <c r="A13" s="1199" t="s">
        <v>529</v>
      </c>
      <c r="B13" s="1200" t="str">
        <f>'预评函-1'!A18</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45673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1.92</v>
      </c>
      <c r="D5" s="3023">
        <f>IF(ISERROR(ROUND(POWER(1+E5,A5-C5)*(POWER(1+E5,C5)-1)/(POWER(1+E5,A5)-1),3)),0,ROUND(POWER(1+E5,A5-C5)*(POWER(1+E5,C5)-1)/(POWER(1+E5,A5)-1),4))</f>
        <v>9.1600000000000001E-2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11.93</v>
      </c>
      <c r="D6" s="3023">
        <f>IF(ISERROR(ROUND(POWER(1+E6,A6-C6)*(POWER(1+E6,C6)-1)/(POWER(1+E6,A6)-1),3)),0,ROUND(POWER(1+E6,A6-C6)*(POWER(1+E6,C6)-1)/(POWER(1+E6,A6)-1),4))</f>
        <v>0.43490000000000001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31.94</v>
      </c>
      <c r="D7" s="3023">
        <f>IF(ISERROR(ROUND(POWER(1+E7,A7-C7)*(POWER(1+E7,C7)-1)/(POWER(1+E7,A7)-1),3)),0,ROUND(POWER(1+E7,A7-C7)*(POWER(1+E7,C7)-1)/(POWER(1+E7,A7)-1),4))</f>
        <v>0.76329999999999998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45673</v>
      </c>
      <c r="C3" s="2372" t="s">
        <v>2170</v>
      </c>
      <c r="D3" s="2371">
        <f>B3</f>
        <v>45673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35.53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45673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35.53</v>
      </c>
      <c r="G6" s="65">
        <f>IF(ISERROR(ROUND(POWER(1+H6,D6-F6)*(POWER(1+H6,F6)-1)/(POWER(1+H6,D6)-1),3)),0,ROUND(POWER(1+H6,D6-F6)*(POWER(1+H6,F6)-1)/(POWER(1+H6,D6)-1),3))</f>
        <v>0.96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35.53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26.922000000000001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1304.1400000000001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45673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1252</v>
      </c>
      <c r="C5" s="2510" t="e">
        <f ca="1">IF(B5=D14,结果表!H102,ROUND(B5*10000/$B$1,0))</f>
        <v>#DIV/0!</v>
      </c>
      <c r="D5" s="2510" t="e">
        <f>ROUND(B5*10000/$B$2,0)</f>
        <v>#DIV/0!</v>
      </c>
      <c r="E5" s="2684"/>
      <c r="F5" s="2685"/>
      <c r="G5" s="2685"/>
      <c r="H5" s="2686"/>
      <c r="I5" s="2686"/>
      <c r="J5" s="2686"/>
      <c r="K5" s="2686"/>
    </row>
    <row r="6" spans="1:11" ht="16.5">
      <c r="A6" s="2510" t="s">
        <v>656</v>
      </c>
      <c r="B6" s="2510">
        <f>SUM(G14:G23)</f>
        <v>1252</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1251</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f>I14*0.6</f>
        <v>750.6</v>
      </c>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3450">
        <f>H11/E14</f>
        <v>0</v>
      </c>
      <c r="J10" s="2686"/>
      <c r="K10" s="2686"/>
    </row>
    <row r="11" spans="1:11" ht="16.5">
      <c r="A11" s="2510" t="s">
        <v>670</v>
      </c>
      <c r="B11" s="2518"/>
      <c r="C11" s="2684"/>
      <c r="D11" s="2684"/>
      <c r="E11" s="2684"/>
      <c r="F11" s="2685"/>
      <c r="G11" s="2685" t="s">
        <v>3414</v>
      </c>
      <c r="H11" s="2686"/>
      <c r="I11" s="2686">
        <f>H10/1.1</f>
        <v>0</v>
      </c>
      <c r="J11" s="2686"/>
      <c r="K11" s="2686"/>
    </row>
    <row r="12" spans="1:11" ht="16.5">
      <c r="A12" s="2684"/>
      <c r="B12" s="2684"/>
      <c r="C12" s="2684"/>
      <c r="D12" s="2684"/>
      <c r="E12" s="2684"/>
      <c r="F12" s="2685"/>
      <c r="G12" s="2685"/>
      <c r="H12" s="2686"/>
      <c r="I12" s="2686">
        <f>结果表!N61</f>
        <v>9593</v>
      </c>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1304.1400000000001</v>
      </c>
      <c r="C14" s="2516"/>
      <c r="D14" s="2516">
        <f>ROUND(E14*B14/10000,0)</f>
        <v>1252</v>
      </c>
      <c r="E14" s="2516">
        <v>9600</v>
      </c>
      <c r="F14" s="2516" t="e">
        <f>ROUND(D14*10000/C14,0)</f>
        <v>#DIV/0!</v>
      </c>
      <c r="G14" s="2516">
        <f>D14</f>
        <v>1252</v>
      </c>
      <c r="H14" s="2516"/>
      <c r="I14" s="2516">
        <f>结果表!N59</f>
        <v>1251</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I37" zoomScaleNormal="100" zoomScaleSheetLayoutView="100" zoomScalePageLayoutView="80" workbookViewId="0">
      <selection activeCell="P64" sqref="P6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f>ROUND(系统读取表!D14*F45,0)</f>
        <v>1252</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45673</v>
      </c>
      <c r="N47" s="3625"/>
      <c r="O47" s="3625"/>
    </row>
    <row r="48" spans="1:15" ht="25.5">
      <c r="A48" s="3573" t="s">
        <v>1338</v>
      </c>
      <c r="B48" s="3556"/>
      <c r="C48" s="3556"/>
      <c r="D48" s="2322">
        <f>IF(H48="情况1",0,IF(H48="情况2",D52,IF(H48="情况3",D53,IF(H48="情况4",D54))))</f>
        <v>0</v>
      </c>
      <c r="E48" s="2332" t="str">
        <f>IF(H48="情况4","(销售额-原购置价)×税（费）率","销售额×税（费）率")</f>
        <v>(销售额-原购置价)×税（费）率</v>
      </c>
      <c r="F48" s="2546">
        <f>IF(H48="情况1","免征",'数据-取费表'!B41)</f>
        <v>5.5000000000000007E-2</v>
      </c>
      <c r="G48" s="2547" t="s">
        <v>1339</v>
      </c>
      <c r="H48" s="2548" t="s">
        <v>3415</v>
      </c>
      <c r="I48" s="1804"/>
      <c r="J48" s="2521">
        <v>3</v>
      </c>
      <c r="K48" s="3604" t="s">
        <v>1340</v>
      </c>
      <c r="L48" s="3604"/>
      <c r="M48" s="3626">
        <f>D45</f>
        <v>1252</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f>M48</f>
        <v>1252</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c r="P51" s="3790" t="s">
        <v>3420</v>
      </c>
    </row>
    <row r="52" spans="1:35" ht="24" customHeight="1">
      <c r="A52" s="2333" t="s">
        <v>1352</v>
      </c>
      <c r="B52" s="3540" t="s">
        <v>1353</v>
      </c>
      <c r="C52" s="3540"/>
      <c r="D52" s="1085">
        <f>ROUND(D45*'数据-取费表'!B41/(1+'数据-取费表'!C42),0)</f>
        <v>66</v>
      </c>
      <c r="E52" s="2332" t="s">
        <v>1354</v>
      </c>
      <c r="F52" s="2552">
        <f>'数据-取费表'!B41</f>
        <v>5.5000000000000007E-2</v>
      </c>
      <c r="G52" s="2553"/>
      <c r="H52" s="2542"/>
      <c r="I52" s="1805"/>
      <c r="J52" s="2521">
        <v>1</v>
      </c>
      <c r="K52" s="3605" t="s">
        <v>1355</v>
      </c>
      <c r="L52" s="3605"/>
      <c r="M52" s="2523">
        <f>D48</f>
        <v>0</v>
      </c>
      <c r="N52" s="2521" t="str">
        <f>E48</f>
        <v>(销售额-原购置价)×税（费）率</v>
      </c>
      <c r="O52" s="2524">
        <f>F48</f>
        <v>5.5000000000000007E-2</v>
      </c>
      <c r="P52" s="723">
        <f>ROUND(D45/1.05*5.5%,0)</f>
        <v>66</v>
      </c>
    </row>
    <row r="53" spans="1:35" ht="12" customHeight="1">
      <c r="A53" s="2333" t="s">
        <v>1356</v>
      </c>
      <c r="B53" s="3566" t="s">
        <v>2290</v>
      </c>
      <c r="C53" s="3567"/>
      <c r="D53" s="1085">
        <f>ROUND(D45*'数据-取费表'!B41/(1+'数据-取费表'!C42),0)</f>
        <v>66</v>
      </c>
      <c r="E53" s="2332" t="s">
        <v>1354</v>
      </c>
      <c r="F53" s="2552">
        <f>'数据-取费表'!B41</f>
        <v>5.5000000000000007E-2</v>
      </c>
      <c r="G53" s="2553"/>
      <c r="H53" s="2542"/>
      <c r="I53" s="1805"/>
      <c r="J53" s="2521">
        <v>2</v>
      </c>
      <c r="K53" s="3605" t="s">
        <v>1357</v>
      </c>
      <c r="L53" s="3605"/>
      <c r="M53" s="2523">
        <f t="shared" ref="M53:O54" si="0">D55</f>
        <v>1</v>
      </c>
      <c r="N53" s="2521" t="str">
        <f t="shared" si="0"/>
        <v>销售额×税（费）率</v>
      </c>
      <c r="O53" s="2524">
        <f t="shared" si="0"/>
        <v>5.0000000000000001E-4</v>
      </c>
      <c r="P53" s="723">
        <f>D55</f>
        <v>1</v>
      </c>
    </row>
    <row r="54" spans="1:35" ht="12" customHeight="1">
      <c r="A54" s="2333" t="s">
        <v>1358</v>
      </c>
      <c r="B54" s="3566" t="s">
        <v>2291</v>
      </c>
      <c r="C54" s="3567"/>
      <c r="D54" s="1085">
        <f>C68</f>
        <v>0</v>
      </c>
      <c r="E54" s="327" t="s">
        <v>1359</v>
      </c>
      <c r="F54" s="2552">
        <f>'数据-取费表'!B41</f>
        <v>5.5000000000000007E-2</v>
      </c>
      <c r="G54" s="2553"/>
      <c r="H54" s="2554"/>
      <c r="I54" s="1805"/>
      <c r="J54" s="2521">
        <v>3</v>
      </c>
      <c r="K54" s="3605" t="s">
        <v>1360</v>
      </c>
      <c r="L54" s="3605"/>
      <c r="M54" s="2523">
        <f>D56</f>
        <v>0</v>
      </c>
      <c r="N54" s="2521" t="str">
        <f t="shared" si="0"/>
        <v>增值额×税（费）率</v>
      </c>
      <c r="O54" s="2525" t="str">
        <f t="shared" si="0"/>
        <v>——</v>
      </c>
      <c r="P54" s="723">
        <f>ROUND(D45/1.05*5%,0)</f>
        <v>60</v>
      </c>
    </row>
    <row r="55" spans="1:35" ht="24" customHeight="1">
      <c r="A55" s="3555" t="s">
        <v>1361</v>
      </c>
      <c r="B55" s="3556"/>
      <c r="C55" s="3556"/>
      <c r="D55" s="2322">
        <f>IF(H55="个人住宅",0,ROUND(D45*I55,0))</f>
        <v>1</v>
      </c>
      <c r="E55" s="2332" t="s">
        <v>1362</v>
      </c>
      <c r="F55" s="2552">
        <f>IF(H55="正常",I55,"免征")</f>
        <v>5.0000000000000001E-4</v>
      </c>
      <c r="G55" s="2553"/>
      <c r="H55" s="2548" t="s">
        <v>3407</v>
      </c>
      <c r="I55" s="165">
        <f>'数据-取费表'!B49</f>
        <v>5.0000000000000001E-4</v>
      </c>
      <c r="J55" s="2521" t="str">
        <f>IF(H59="非个人房产","",4)</f>
        <v/>
      </c>
      <c r="K55" s="3605" t="str">
        <f>IF(H59="非个人房产","——","个人所得税")</f>
        <v>——</v>
      </c>
      <c r="L55" s="3605"/>
      <c r="M55" s="2526" t="str">
        <f>D59</f>
        <v>——</v>
      </c>
      <c r="N55" s="2038" t="str">
        <f>E59</f>
        <v>——</v>
      </c>
      <c r="O55" s="2527" t="str">
        <f>F59</f>
        <v>——</v>
      </c>
    </row>
    <row r="56" spans="1:35" ht="24.75">
      <c r="A56" s="3555" t="s">
        <v>1363</v>
      </c>
      <c r="B56" s="3556"/>
      <c r="C56" s="3556"/>
      <c r="D56" s="2322">
        <f>IF(H56="个人住宅",D57,D58)</f>
        <v>0</v>
      </c>
      <c r="E56" s="2332" t="s">
        <v>1364</v>
      </c>
      <c r="F56" s="2552" t="str">
        <f>IF(H56="正常",F58,"免征")</f>
        <v>——</v>
      </c>
      <c r="G56" s="2555" t="s">
        <v>1365</v>
      </c>
      <c r="H56" s="2556" t="s">
        <v>3407</v>
      </c>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4</v>
      </c>
      <c r="K57" s="3605" t="s">
        <v>1367</v>
      </c>
      <c r="L57" s="2528" t="s">
        <v>1368</v>
      </c>
      <c r="M57" s="2529"/>
      <c r="N57" s="2530">
        <f>SUMIF(M52:M56,"&lt;9e307")</f>
        <v>1</v>
      </c>
      <c r="O57" s="2531"/>
      <c r="P57" s="2688">
        <f>N57/M49</f>
        <v>7.9872204472843447E-4</v>
      </c>
    </row>
    <row r="58" spans="1:35" ht="24.75">
      <c r="A58" s="2333" t="s">
        <v>1352</v>
      </c>
      <c r="B58" s="3566" t="s">
        <v>1369</v>
      </c>
      <c r="C58" s="3540"/>
      <c r="D58" s="2322">
        <f>IF(H58="转让取得",C81,C97)</f>
        <v>0</v>
      </c>
      <c r="E58" s="2332" t="s">
        <v>1364</v>
      </c>
      <c r="F58" s="302" t="s">
        <v>28</v>
      </c>
      <c r="G58" s="2553"/>
      <c r="H58" s="2556" t="s">
        <v>3416</v>
      </c>
      <c r="I58" s="1806"/>
      <c r="J58" s="3605"/>
      <c r="K58" s="3605"/>
      <c r="L58" s="2528" t="s">
        <v>1370</v>
      </c>
      <c r="M58" s="2532"/>
      <c r="N58" s="2533" t="str">
        <f>NUMBERSTRING(INT(N57*10000),2)&amp;"元整"</f>
        <v>壹万元整</v>
      </c>
      <c r="O58" s="2534"/>
    </row>
    <row r="59" spans="1:35" ht="24.75" thickBot="1">
      <c r="A59" s="3608" t="s">
        <v>1371</v>
      </c>
      <c r="B59" s="3609"/>
      <c r="C59" s="3609"/>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3417</v>
      </c>
      <c r="I59" s="2311" t="s">
        <v>2136</v>
      </c>
      <c r="J59" s="3606">
        <f>J57+1</f>
        <v>5</v>
      </c>
      <c r="K59" s="3605" t="s">
        <v>1372</v>
      </c>
      <c r="L59" s="2521" t="s">
        <v>1368</v>
      </c>
      <c r="M59" s="2535"/>
      <c r="N59" s="2536">
        <f>M49-N57</f>
        <v>1251</v>
      </c>
      <c r="O59" s="2537"/>
      <c r="P59" s="723">
        <f>D45-P52-P53-P54</f>
        <v>1125</v>
      </c>
    </row>
    <row r="60" spans="1:35" ht="12" customHeight="1">
      <c r="A60" s="1807"/>
      <c r="B60" s="1745"/>
      <c r="C60" s="1745"/>
      <c r="D60" s="1745"/>
      <c r="E60" s="1576"/>
      <c r="F60" s="1806"/>
      <c r="G60" s="1806"/>
      <c r="H60" s="1808"/>
      <c r="I60" s="129"/>
      <c r="J60" s="3607"/>
      <c r="K60" s="3605"/>
      <c r="L60" s="2528" t="s">
        <v>1370</v>
      </c>
      <c r="M60" s="2532"/>
      <c r="N60" s="2533" t="str">
        <f>NUMBERSTRING(INT(N59*10000),2)&amp;"元整"</f>
        <v>壹仟贰佰伍拾壹万元整</v>
      </c>
      <c r="O60" s="2534"/>
    </row>
    <row r="61" spans="1:35" ht="13.5" thickBot="1">
      <c r="A61" s="3553" t="s">
        <v>1373</v>
      </c>
      <c r="B61" s="3553"/>
      <c r="C61" s="3553"/>
      <c r="D61" s="3553"/>
      <c r="E61" s="3553"/>
      <c r="F61" s="1806"/>
      <c r="G61" s="1806"/>
      <c r="H61" s="1808"/>
      <c r="I61" s="129"/>
      <c r="J61" s="2521">
        <f>J59+1</f>
        <v>6</v>
      </c>
      <c r="K61" s="3605" t="s">
        <v>1374</v>
      </c>
      <c r="L61" s="3605"/>
      <c r="M61" s="2538"/>
      <c r="N61" s="2539">
        <f>ROUND(N59*10000/系统读取表!B14,0)</f>
        <v>9593</v>
      </c>
      <c r="O61" s="2540"/>
      <c r="P61" s="723">
        <f>ROUND(P59*10000/系统读取表!B14,0)</f>
        <v>8626</v>
      </c>
    </row>
    <row r="62" spans="1:35" ht="12.75">
      <c r="A62" s="3571" t="s">
        <v>1375</v>
      </c>
      <c r="B62" s="3572"/>
      <c r="C62" s="2019"/>
      <c r="D62" s="2019" t="s">
        <v>1376</v>
      </c>
      <c r="E62" s="166" t="s">
        <v>1377</v>
      </c>
      <c r="F62" s="1806"/>
      <c r="G62" s="1806"/>
      <c r="H62" s="1808"/>
      <c r="I62" s="129"/>
    </row>
    <row r="63" spans="1:35" ht="12.75">
      <c r="A63" s="173" t="s">
        <v>330</v>
      </c>
      <c r="B63" s="167" t="s">
        <v>1378</v>
      </c>
      <c r="C63" s="2562">
        <f>ROUND((C64+C65)/(1+'数据-取费表'!C42),0)</f>
        <v>1192</v>
      </c>
      <c r="D63" s="167"/>
      <c r="E63" s="168"/>
      <c r="F63" s="1806"/>
      <c r="G63" s="1806"/>
      <c r="H63" s="1808"/>
      <c r="I63" s="129"/>
      <c r="J63" s="3630" t="s">
        <v>1379</v>
      </c>
      <c r="K63" s="1330" t="s">
        <v>1380</v>
      </c>
      <c r="L63" s="1330">
        <f>IF(M49&gt;10000,M49*0.5%,IF(AND(M49&gt;1000,M49&lt;=10000),M49*1%,IF(AND(M49&gt;100,M49&lt;=1000),M49*3%,IF(AND(M49&gt;10,M49&lt;=100),M49*5%,M49*8%))))</f>
        <v>12.52</v>
      </c>
      <c r="M63" s="302">
        <f>ROUND(L63,1)</f>
        <v>12.5</v>
      </c>
      <c r="N63" s="2541"/>
      <c r="Z63" s="1750"/>
      <c r="AI63" s="1751"/>
    </row>
    <row r="64" spans="1:35" ht="14.25" customHeight="1">
      <c r="A64" s="169" t="s">
        <v>325</v>
      </c>
      <c r="B64" s="170" t="s">
        <v>1381</v>
      </c>
      <c r="C64" s="2563">
        <f>D45</f>
        <v>1252</v>
      </c>
      <c r="D64" s="170" t="s">
        <v>26</v>
      </c>
      <c r="E64" s="172"/>
      <c r="F64" s="1806"/>
      <c r="G64" s="1806"/>
      <c r="H64" s="1808"/>
      <c r="I64" s="129"/>
      <c r="J64" s="3630"/>
      <c r="K64" s="1330" t="s">
        <v>1382</v>
      </c>
      <c r="L64" s="1330">
        <f>IF(M49&gt;2000,M49*0.5%,IF(AND(M49&gt;1000,M49&lt;=2000),M49*0.6%,IF(AND(M49&gt;500,M49&lt;=1000),M49*0.7%,IF(AND(M49&gt;200,M49&lt;=500),M49*0.8%,IF(AND(M49&gt;100,M49&lt;=200),M49*0.9%,IF(AND(M49&gt;50,M49&lt;=100),M49*1%,IF(AND(M49&gt;20,M49&lt;=50),M49*1.5%,IF(AND(M49&gt;10,M49&lt;=20),M49*2%,IF(AND(M49&gt;1,M49&lt;=10),M49*2.5%)))))))))</f>
        <v>7.5120000000000005</v>
      </c>
      <c r="M64" s="302">
        <f t="shared" ref="M64:M65" si="1">ROUND(L64,1)</f>
        <v>7.5</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f>IF(M49&gt;1000,M49*0.1%,IF(AND(M49&gt;500,M49&lt;=1000),M49*0.5%,IF(AND(M49&gt;50,M49&lt;=500),M49*1%,IF(AND(M49&gt;1,M49&lt;=50),M49*1.5%))))</f>
        <v>1.252</v>
      </c>
      <c r="M65" s="302">
        <f t="shared" si="1"/>
        <v>1.3</v>
      </c>
      <c r="N65" s="2542" t="s">
        <v>1383</v>
      </c>
      <c r="Z65" s="1750"/>
      <c r="AI65" s="1751"/>
    </row>
    <row r="66" spans="1:35" ht="14.25" customHeight="1">
      <c r="A66" s="173" t="s">
        <v>327</v>
      </c>
      <c r="B66" s="174" t="s">
        <v>1386</v>
      </c>
      <c r="C66" s="2565">
        <v>1300</v>
      </c>
      <c r="D66" s="174" t="s">
        <v>26</v>
      </c>
      <c r="E66" s="1336" t="s">
        <v>671</v>
      </c>
      <c r="F66" s="1806"/>
      <c r="G66" s="1806"/>
      <c r="H66" s="1808"/>
      <c r="I66" s="129"/>
      <c r="J66" s="3630"/>
      <c r="K66" s="1330" t="s">
        <v>1387</v>
      </c>
      <c r="L66" s="1330">
        <f>M49*0.5%</f>
        <v>6.26</v>
      </c>
      <c r="M66" s="302">
        <f>IF(L66&gt;0.5,0.5,ROUND(L66,0))</f>
        <v>0.5</v>
      </c>
      <c r="N66" s="2542" t="s">
        <v>1388</v>
      </c>
      <c r="Z66" s="1750"/>
      <c r="AI66" s="1751"/>
    </row>
    <row r="67" spans="1:35" ht="14.25" customHeight="1">
      <c r="A67" s="173" t="s">
        <v>328</v>
      </c>
      <c r="B67" s="174" t="s">
        <v>1389</v>
      </c>
      <c r="C67" s="2566">
        <f>C63-C66</f>
        <v>-108</v>
      </c>
      <c r="D67" s="170" t="s">
        <v>26</v>
      </c>
      <c r="E67" s="172"/>
      <c r="F67" s="1806"/>
      <c r="G67" s="1806"/>
      <c r="H67" s="1808"/>
      <c r="I67" s="129"/>
      <c r="J67" s="3630"/>
      <c r="K67" s="1330" t="s">
        <v>1390</v>
      </c>
      <c r="L67" s="1330">
        <f>IF(M49&gt;=10000,(8.25+(M49-10000)*0.01%),IF(AND(M49&gt;=8000,M49&lt;10000),(7.85+(M49-8000)*0.02%),IF(AND(M49&gt;=5000,M49&lt;8000),(6.65+(M49-5000)*0.04%),IF(AND(M49&gt;=2000,M49&lt;5000),(4.25+(PM49-2000)*0.08%),IF(AND(M49&gt;=1000,M49&lt;2000),(2.75+(M49-1000)*0.15%),IF(AND(M49&gt;=100,M49&lt;1000),(0.5+(M49-100)*0.25%),IF(AND(M49&gt;0,M49&lt;100),M49*0.5%)))))))</f>
        <v>3.1280000000000001</v>
      </c>
      <c r="M67" s="302">
        <f>ROUND(L67*0.9,1)</f>
        <v>2.8</v>
      </c>
      <c r="N67" s="2541"/>
      <c r="Z67" s="1750"/>
      <c r="AI67" s="1751"/>
    </row>
    <row r="68" spans="1:35" ht="14.25" customHeight="1" thickBot="1">
      <c r="A68" s="176" t="s">
        <v>329</v>
      </c>
      <c r="B68" s="177" t="s">
        <v>1391</v>
      </c>
      <c r="C68" s="2567">
        <f>IF(C67&lt;=0,0,ROUND(C67*D68,0))</f>
        <v>0</v>
      </c>
      <c r="D68" s="2568">
        <f>'数据-取费表'!B41</f>
        <v>5.5000000000000007E-2</v>
      </c>
      <c r="E68" s="178"/>
      <c r="F68" s="1806"/>
      <c r="G68" s="1806"/>
      <c r="H68" s="1808"/>
      <c r="I68" s="129"/>
      <c r="J68" s="3630"/>
      <c r="K68" s="1330" t="s">
        <v>1392</v>
      </c>
      <c r="L68" s="1330">
        <f>IF(M49&gt;10000,M49*0.5%,IF(AND(M49&gt;5000,M49&lt;=10000),M49*1%,IF(AND(M49&gt;1000,M49&lt;=5000),M49*2%,IF(AND(M49&gt;200,M49&lt;=1000),M49*3%,M49*5%))))</f>
        <v>25.04</v>
      </c>
      <c r="M68" s="302">
        <f>ROUND(L68,1)</f>
        <v>25</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f>ROUND(SUM(M63:M68),0)</f>
        <v>50</v>
      </c>
      <c r="N69" s="2543">
        <f>M69/M49</f>
        <v>3.9936102236421724E-2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ROUND(D45/(1+'数据-取费表'!C42),0)</f>
        <v>1192</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C74+C78</f>
        <v>1346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1340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v>1300</v>
      </c>
      <c r="D75" s="170" t="s">
        <v>26</v>
      </c>
      <c r="E75" s="184" t="s">
        <v>1399</v>
      </c>
      <c r="F75" s="2570" t="s">
        <v>3418</v>
      </c>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40</v>
      </c>
      <c r="D77" s="2573">
        <f>'数据-取费表'!B48+'数据-取费表'!B49</f>
        <v>3.0499999999999999E-2</v>
      </c>
      <c r="E77" s="2322" t="s">
        <v>1404</v>
      </c>
      <c r="F77" s="186"/>
      <c r="G77" s="1820" t="s">
        <v>3419</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ROUND(D45*D78/(1+'数据-取费表'!C42),0)</f>
        <v>6</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C72-C73</f>
        <v>-154</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IF(C79&lt;=0,0,C79/C73)</f>
        <v>0</v>
      </c>
      <c r="D80" s="170" t="s">
        <v>26</v>
      </c>
      <c r="E80" s="2322" t="str">
        <f>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ROUND(IF(C79&lt;=0,0,IF(C80&gt;=200%,C79*60%-C73*35%,IF(C80&gt;=100%,C79*50%-C73*15%,IF(C80&gt;=50%,C79*40%-C73*5%,IF(C80&lt;50%,C79*30%,0))))),0)</f>
        <v>0</v>
      </c>
      <c r="D81" s="2578"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ROUND(D45/(1+'数据-取费表'!C42),0)</f>
        <v>1192</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ROUND(D45*D93/(1+'数据-取费表'!C42),0)</f>
        <v>6</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ROUND(C85-C86,0)</f>
        <v>1186</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IF(C95&lt;=0,0,C95/C86)</f>
        <v>197.66666666666666</v>
      </c>
      <c r="D96" s="170" t="s">
        <v>26</v>
      </c>
      <c r="E96" s="2322" t="str">
        <f>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ROUND(IF(C95&lt;=0,0,IF(C96&gt;=200%,C95*60%-C86*35%,IF(C96&gt;=100%,C95*50%-C86*15%,IF(C96&gt;=50%,C95*40%-C86*5%,IF(C96&lt;50%,C95*30%,0))))),0)</f>
        <v>710</v>
      </c>
      <c r="D97" s="2578"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26.922000000000001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26.922000000000001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2025-1</v>
      </c>
      <c r="D58" s="1183">
        <f>EDATE(C58,-1)</f>
        <v>45627</v>
      </c>
      <c r="E58" s="1183">
        <f>EDATE(D58,-1)</f>
        <v>45597</v>
      </c>
      <c r="F58" s="1183">
        <f t="shared" ref="F58:O58" si="19">EDATE(E58,-1)</f>
        <v>45566</v>
      </c>
      <c r="G58" s="1183">
        <f t="shared" si="19"/>
        <v>45536</v>
      </c>
      <c r="H58" s="1183">
        <f t="shared" si="19"/>
        <v>45505</v>
      </c>
      <c r="I58" s="1183">
        <f t="shared" si="19"/>
        <v>45474</v>
      </c>
      <c r="J58" s="1183">
        <f t="shared" si="19"/>
        <v>45444</v>
      </c>
      <c r="K58" s="1183">
        <f t="shared" si="19"/>
        <v>45413</v>
      </c>
      <c r="L58" s="1183">
        <f t="shared" si="19"/>
        <v>45383</v>
      </c>
      <c r="M58" s="1183">
        <f t="shared" si="19"/>
        <v>45352</v>
      </c>
      <c r="N58" s="1183">
        <f t="shared" si="19"/>
        <v>45323</v>
      </c>
      <c r="O58" s="1183">
        <f t="shared" si="19"/>
        <v>45292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45673</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2025-1</v>
      </c>
      <c r="D58" s="1183">
        <f>EDATE(C58,-1)</f>
        <v>45627</v>
      </c>
      <c r="E58" s="1183">
        <f t="shared" ref="E58:N58" si="16">EDATE(D58,-1)</f>
        <v>45597</v>
      </c>
      <c r="F58" s="1183">
        <f t="shared" si="16"/>
        <v>45566</v>
      </c>
      <c r="G58" s="1183">
        <f t="shared" si="16"/>
        <v>45536</v>
      </c>
      <c r="H58" s="1183">
        <f t="shared" si="16"/>
        <v>45505</v>
      </c>
      <c r="I58" s="1183">
        <f t="shared" si="16"/>
        <v>45474</v>
      </c>
      <c r="J58" s="1183">
        <f t="shared" si="16"/>
        <v>45444</v>
      </c>
      <c r="K58" s="1183">
        <f t="shared" si="16"/>
        <v>45413</v>
      </c>
      <c r="L58" s="1183">
        <f t="shared" si="16"/>
        <v>45383</v>
      </c>
      <c r="M58" s="1183">
        <f t="shared" si="16"/>
        <v>45352</v>
      </c>
      <c r="N58" s="1183">
        <f t="shared" si="16"/>
        <v>45323</v>
      </c>
      <c r="O58" s="1183">
        <f>EDATE(N58,-1)</f>
        <v>45292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45673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2025-1</v>
      </c>
      <c r="D59" s="1183">
        <f>EDATE(C59,-1)</f>
        <v>45627</v>
      </c>
      <c r="E59" s="1183">
        <f>EDATE(D59,-1)</f>
        <v>45597</v>
      </c>
      <c r="F59" s="1183">
        <f t="shared" ref="F59:O59" si="16">EDATE(E59,-1)</f>
        <v>45566</v>
      </c>
      <c r="G59" s="1183">
        <f t="shared" si="16"/>
        <v>45536</v>
      </c>
      <c r="H59" s="1183">
        <f t="shared" si="16"/>
        <v>45505</v>
      </c>
      <c r="I59" s="1183">
        <f t="shared" si="16"/>
        <v>45474</v>
      </c>
      <c r="J59" s="1183">
        <f t="shared" si="16"/>
        <v>45444</v>
      </c>
      <c r="K59" s="1183">
        <f t="shared" si="16"/>
        <v>45413</v>
      </c>
      <c r="L59" s="1183">
        <f t="shared" si="16"/>
        <v>45383</v>
      </c>
      <c r="M59" s="1183">
        <f t="shared" si="16"/>
        <v>45352</v>
      </c>
      <c r="N59" s="1183">
        <f t="shared" si="16"/>
        <v>45323</v>
      </c>
      <c r="O59" s="1183">
        <f t="shared" si="16"/>
        <v>45292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2025-1</v>
      </c>
      <c r="D52" s="1183">
        <f>EDATE(C52,-1)</f>
        <v>45627</v>
      </c>
      <c r="E52" s="1183">
        <f t="shared" ref="E52:O52" si="16">EDATE(D52,-1)</f>
        <v>45597</v>
      </c>
      <c r="F52" s="1183">
        <f t="shared" si="16"/>
        <v>45566</v>
      </c>
      <c r="G52" s="1183">
        <f t="shared" si="16"/>
        <v>45536</v>
      </c>
      <c r="H52" s="1183">
        <f t="shared" si="16"/>
        <v>45505</v>
      </c>
      <c r="I52" s="1183">
        <f t="shared" si="16"/>
        <v>45474</v>
      </c>
      <c r="J52" s="1183">
        <f t="shared" si="16"/>
        <v>45444</v>
      </c>
      <c r="K52" s="1183">
        <f t="shared" si="16"/>
        <v>45413</v>
      </c>
      <c r="L52" s="1183">
        <f t="shared" si="16"/>
        <v>45383</v>
      </c>
      <c r="M52" s="1183">
        <f t="shared" si="16"/>
        <v>45352</v>
      </c>
      <c r="N52" s="1183">
        <f t="shared" si="16"/>
        <v>45323</v>
      </c>
      <c r="O52" s="1183">
        <f t="shared" si="16"/>
        <v>45292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2025-1</v>
      </c>
      <c r="D48" s="1183">
        <f>EDATE(C48,-1)</f>
        <v>45627</v>
      </c>
      <c r="E48" s="1183">
        <f t="shared" ref="E48:O48" si="16">EDATE(D48,-1)</f>
        <v>45597</v>
      </c>
      <c r="F48" s="1183">
        <f t="shared" si="16"/>
        <v>45566</v>
      </c>
      <c r="G48" s="1183">
        <f t="shared" si="16"/>
        <v>45536</v>
      </c>
      <c r="H48" s="1183">
        <f t="shared" si="16"/>
        <v>45505</v>
      </c>
      <c r="I48" s="1183">
        <f t="shared" si="16"/>
        <v>45474</v>
      </c>
      <c r="J48" s="1183">
        <f t="shared" si="16"/>
        <v>45444</v>
      </c>
      <c r="K48" s="1183">
        <f t="shared" si="16"/>
        <v>45413</v>
      </c>
      <c r="L48" s="1183">
        <f t="shared" si="16"/>
        <v>45383</v>
      </c>
      <c r="M48" s="1183">
        <f t="shared" si="16"/>
        <v>45352</v>
      </c>
      <c r="N48" s="1183">
        <f t="shared" si="16"/>
        <v>45323</v>
      </c>
      <c r="O48" s="1183">
        <f t="shared" si="16"/>
        <v>45292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2025年1月16日（评估专业人员实地查勘之日）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2025-1</v>
      </c>
      <c r="D46" s="1183">
        <f>EDATE(C46,-1)</f>
        <v>45627</v>
      </c>
      <c r="E46" s="1183">
        <f t="shared" ref="E46:O46" si="16">EDATE(D46,-1)</f>
        <v>45597</v>
      </c>
      <c r="F46" s="1183">
        <f t="shared" si="16"/>
        <v>45566</v>
      </c>
      <c r="G46" s="1183">
        <f t="shared" si="16"/>
        <v>45536</v>
      </c>
      <c r="H46" s="1183">
        <f t="shared" si="16"/>
        <v>45505</v>
      </c>
      <c r="I46" s="1183">
        <f t="shared" si="16"/>
        <v>45474</v>
      </c>
      <c r="J46" s="1183">
        <f t="shared" si="16"/>
        <v>45444</v>
      </c>
      <c r="K46" s="1183">
        <f t="shared" si="16"/>
        <v>45413</v>
      </c>
      <c r="L46" s="1183">
        <f t="shared" si="16"/>
        <v>45383</v>
      </c>
      <c r="M46" s="1183">
        <f t="shared" si="16"/>
        <v>45352</v>
      </c>
      <c r="N46" s="1183">
        <f t="shared" si="16"/>
        <v>45323</v>
      </c>
      <c r="O46" s="1183">
        <f t="shared" si="16"/>
        <v>45292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45673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2025-1-1</v>
      </c>
      <c r="D67" s="690">
        <f>EDATE(C67,-3)</f>
        <v>45566</v>
      </c>
      <c r="E67" s="690">
        <f>EDATE(D67,-3)</f>
        <v>45474</v>
      </c>
      <c r="F67" s="690">
        <f t="shared" ref="F67:O67" si="18">EDATE(E67,-3)</f>
        <v>45383</v>
      </c>
      <c r="G67" s="690">
        <f t="shared" si="18"/>
        <v>45292</v>
      </c>
      <c r="H67" s="690">
        <f t="shared" si="18"/>
        <v>45200</v>
      </c>
      <c r="I67" s="690">
        <f t="shared" si="18"/>
        <v>45108</v>
      </c>
      <c r="J67" s="690">
        <f t="shared" si="18"/>
        <v>45017</v>
      </c>
      <c r="K67" s="690">
        <f t="shared" si="18"/>
        <v>44927</v>
      </c>
      <c r="L67" s="690">
        <f t="shared" si="18"/>
        <v>44835</v>
      </c>
      <c r="M67" s="690">
        <f t="shared" si="18"/>
        <v>44743</v>
      </c>
      <c r="N67" s="690">
        <f t="shared" si="18"/>
        <v>44652</v>
      </c>
      <c r="O67" s="690">
        <f t="shared" si="18"/>
        <v>44562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45673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2025-1-1</v>
      </c>
      <c r="D63" s="690">
        <f>EDATE(C63,-3)</f>
        <v>45566</v>
      </c>
      <c r="E63" s="690">
        <f>EDATE(D63,-3)</f>
        <v>45474</v>
      </c>
      <c r="F63" s="690">
        <f t="shared" ref="F63:O63" si="18">EDATE(E63,-3)</f>
        <v>45383</v>
      </c>
      <c r="G63" s="690">
        <f t="shared" si="18"/>
        <v>45292</v>
      </c>
      <c r="H63" s="690">
        <f t="shared" si="18"/>
        <v>45200</v>
      </c>
      <c r="I63" s="690">
        <f t="shared" si="18"/>
        <v>45108</v>
      </c>
      <c r="J63" s="690">
        <f t="shared" si="18"/>
        <v>45017</v>
      </c>
      <c r="K63" s="690">
        <f t="shared" si="18"/>
        <v>44927</v>
      </c>
      <c r="L63" s="690">
        <f t="shared" si="18"/>
        <v>44835</v>
      </c>
      <c r="M63" s="690">
        <f t="shared" si="18"/>
        <v>44743</v>
      </c>
      <c r="N63" s="690">
        <f t="shared" si="18"/>
        <v>44652</v>
      </c>
      <c r="O63" s="690">
        <f t="shared" si="18"/>
        <v>44562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35.53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26.922000000000001</v>
      </c>
      <c r="C2" s="1385" t="s">
        <v>879</v>
      </c>
      <c r="D2" s="1469">
        <f ca="1">C40+J29+L46</f>
        <v>269220</v>
      </c>
      <c r="E2" s="1386" t="s">
        <v>880</v>
      </c>
      <c r="F2" s="1387"/>
      <c r="G2" s="2704"/>
      <c r="H2" s="2693"/>
      <c r="I2" s="2693"/>
      <c r="J2" s="2693"/>
      <c r="K2" s="2694"/>
      <c r="L2" s="2693"/>
      <c r="M2" s="2693"/>
    </row>
    <row r="3" spans="1:37" ht="18" customHeight="1" thickBot="1">
      <c r="A3" s="1388" t="s">
        <v>881</v>
      </c>
      <c r="B3" s="1389">
        <f ca="1">IF(ISERROR(D2/F43),0,ROUND(D2/F43,0))</f>
        <v>4943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260810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35.53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4788</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-28.823599999999999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8410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260810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35.53</v>
      </c>
      <c r="O48" s="1416" t="s">
        <v>404</v>
      </c>
      <c r="P48" s="1417" t="s">
        <v>821</v>
      </c>
      <c r="Q48" s="1418">
        <f ca="1">J60</f>
        <v>8410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35.53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35.53</v>
      </c>
      <c r="K53" s="3637" t="s">
        <v>837</v>
      </c>
      <c r="L53" s="3638"/>
      <c r="O53" s="1416" t="s">
        <v>409</v>
      </c>
      <c r="P53" s="1417" t="s">
        <v>838</v>
      </c>
      <c r="Q53" s="1418">
        <f ca="1">Q47+Q48</f>
        <v>269220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0.35799999999999998</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260810</v>
      </c>
      <c r="R56" s="1418" t="s">
        <v>818</v>
      </c>
    </row>
    <row r="57" spans="1:18" s="1382" customFormat="1" ht="24.75" thickBot="1">
      <c r="A57" s="1449"/>
      <c r="B57" s="948" t="s">
        <v>767</v>
      </c>
      <c r="C57" s="238">
        <f ca="1">C29</f>
        <v>274595</v>
      </c>
      <c r="D57" s="1450"/>
      <c r="E57" s="1451"/>
      <c r="F57" s="1452"/>
      <c r="I57" s="1453" t="s">
        <v>844</v>
      </c>
      <c r="J57" s="1454">
        <f ca="1">IF(OR(M47="住宅",J51&lt;L48,J56="是"),"——",J51-L48)</f>
        <v>21.47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8410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260810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260810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-27426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35.53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-504</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260810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-2.0999999999999908E-2</v>
      </c>
    </row>
    <row r="83" spans="2:3">
      <c r="B83" s="273" t="s">
        <v>803</v>
      </c>
      <c r="C83" s="274">
        <f ca="1">ROUND(C13/C40,3)</f>
        <v>1.0209999999999999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45673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45673</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45673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45680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2025-01-23T01:46:39Z</dcterms:modified>
</cp:coreProperties>
</file>