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业信托重庆\"/>
    </mc:Choice>
  </mc:AlternateContent>
  <bookViews>
    <workbookView xWindow="45" yWindow="210" windowWidth="11565" windowHeight="943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明细"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市调" sheetId="70"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9" hidden="1">土地案例!$A$1:$Q$89</definedName>
    <definedName name="_xlnm._FilterDatabase" localSheetId="10" hidden="1">项目基本情况!$A$48:$N$48</definedName>
    <definedName name="_xlnm.Print_Area" localSheetId="13">'数据-汇总表'!$A$1:$I$32</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7" i="1" l="1"/>
  <c r="C10" i="12" l="1"/>
  <c r="D10" i="12"/>
  <c r="D8" i="12"/>
  <c r="E8" i="12"/>
  <c r="E10" i="12" s="1"/>
  <c r="F20" i="6"/>
  <c r="B18" i="68"/>
  <c r="M13" i="3"/>
  <c r="K13" i="3"/>
  <c r="I13" i="3"/>
  <c r="A3" i="3"/>
  <c r="I7" i="39" l="1"/>
  <c r="G7" i="39"/>
  <c r="I9" i="39"/>
  <c r="G9" i="39"/>
  <c r="I48" i="39"/>
  <c r="G48" i="39"/>
  <c r="I40" i="39"/>
  <c r="G40" i="39"/>
  <c r="E48" i="39"/>
  <c r="E40" i="39"/>
  <c r="D73" i="39"/>
  <c r="E73" i="39" s="1"/>
  <c r="F73" i="39" s="1"/>
  <c r="G73" i="39" s="1"/>
  <c r="H73" i="39" s="1"/>
  <c r="I73" i="39" s="1"/>
  <c r="J73" i="39" s="1"/>
  <c r="K73" i="39" s="1"/>
  <c r="L73" i="39" s="1"/>
  <c r="M73" i="39" s="1"/>
  <c r="N73" i="39" s="1"/>
  <c r="E9" i="39"/>
  <c r="E7" i="39"/>
  <c r="R30" i="69"/>
  <c r="R33" i="69"/>
  <c r="S33" i="69"/>
  <c r="S13" i="69"/>
  <c r="R25" i="69"/>
  <c r="R13" i="69"/>
  <c r="G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2" i="69"/>
  <c r="M10" i="12"/>
  <c r="L10" i="12"/>
  <c r="N9" i="12"/>
  <c r="L9" i="12"/>
  <c r="L8" i="12"/>
  <c r="C40" i="39"/>
  <c r="G21" i="6"/>
  <c r="F19" i="6"/>
  <c r="K19" i="68"/>
  <c r="K20" i="68"/>
  <c r="L20" i="68"/>
  <c r="K18" i="68"/>
  <c r="I26" i="68"/>
  <c r="I25" i="68"/>
  <c r="I24" i="68"/>
  <c r="I23" i="68"/>
  <c r="I22" i="68"/>
  <c r="D24" i="68"/>
  <c r="D22" i="68"/>
  <c r="E17" i="68"/>
  <c r="D17" i="4"/>
  <c r="D3" i="4"/>
  <c r="H5" i="68"/>
  <c r="D18" i="68"/>
  <c r="B12" i="68"/>
  <c r="G10" i="68"/>
  <c r="D10" i="68"/>
  <c r="D12" i="68" s="1"/>
  <c r="D6" i="68"/>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c r="AD7" i="59"/>
  <c r="Q8" i="59"/>
  <c r="Q9" i="59"/>
  <c r="P8" i="59"/>
  <c r="P9" i="59"/>
  <c r="O8" i="59"/>
  <c r="O9" i="59"/>
  <c r="N8" i="59"/>
  <c r="N9" i="59"/>
  <c r="AH8" i="59"/>
  <c r="AG8" i="59"/>
  <c r="AE8" i="59"/>
  <c r="AF8" i="59" s="1"/>
  <c r="AD8" i="59"/>
  <c r="F25" i="12"/>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D3" i="59" s="1"/>
  <c r="AH11" i="59"/>
  <c r="AG11" i="59"/>
  <c r="AE11" i="59"/>
  <c r="AF11" i="59" s="1"/>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s="1"/>
  <c r="AD13" i="59"/>
  <c r="AE14" i="59"/>
  <c r="AF14" i="59"/>
  <c r="AG14" i="59"/>
  <c r="AH14" i="59"/>
  <c r="AD14" i="59"/>
  <c r="Q14" i="59"/>
  <c r="F14" i="59" s="1"/>
  <c r="P14" i="59"/>
  <c r="O14" i="59"/>
  <c r="N14" i="59"/>
  <c r="N15" i="59"/>
  <c r="Q15" i="59"/>
  <c r="P15" i="59"/>
  <c r="O15" i="59"/>
  <c r="K59" i="15"/>
  <c r="P62" i="15"/>
  <c r="P75" i="15"/>
  <c r="Q74" i="44"/>
  <c r="Q61" i="44"/>
  <c r="Q60" i="44"/>
  <c r="Q53" i="44"/>
  <c r="J51" i="44"/>
  <c r="J52" i="44" s="1"/>
  <c r="M48" i="44"/>
  <c r="A16" i="55"/>
  <c r="A15" i="55"/>
  <c r="B66" i="63" s="1"/>
  <c r="A10" i="55"/>
  <c r="B61" i="63" s="1"/>
  <c r="A9" i="55"/>
  <c r="B60" i="63" s="1"/>
  <c r="A8" i="55"/>
  <c r="B59" i="63" s="1"/>
  <c r="A6" i="54"/>
  <c r="A8" i="54"/>
  <c r="A7" i="54"/>
  <c r="A27" i="51"/>
  <c r="B20" i="63"/>
  <c r="Q16" i="59"/>
  <c r="O16" i="59"/>
  <c r="N17" i="59"/>
  <c r="O17" i="59"/>
  <c r="P17" i="59"/>
  <c r="Q17" i="59"/>
  <c r="N16" i="59"/>
  <c r="P16" i="59"/>
  <c r="K75" i="9"/>
  <c r="K6" i="4"/>
  <c r="O76" i="9"/>
  <c r="L76" i="9"/>
  <c r="K76" i="9"/>
  <c r="B22" i="31"/>
  <c r="E15" i="66"/>
  <c r="F15" i="66"/>
  <c r="E16" i="66"/>
  <c r="F16" i="66"/>
  <c r="E17" i="66"/>
  <c r="F17" i="66"/>
  <c r="E18" i="66"/>
  <c r="F18" i="66"/>
  <c r="E19" i="66"/>
  <c r="F19" i="66"/>
  <c r="E20" i="66"/>
  <c r="F20" i="66"/>
  <c r="E21" i="66"/>
  <c r="F21" i="66"/>
  <c r="E22" i="66"/>
  <c r="F22" i="66"/>
  <c r="E23" i="66"/>
  <c r="F23" i="66"/>
  <c r="B3" i="66"/>
  <c r="T18" i="59"/>
  <c r="B14" i="59"/>
  <c r="B13" i="59" s="1"/>
  <c r="B12" i="59" s="1"/>
  <c r="F16" i="59"/>
  <c r="V14" i="59"/>
  <c r="S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3" i="65"/>
  <c r="C1" i="65"/>
  <c r="N1" i="65" s="1"/>
  <c r="D14" i="59"/>
  <c r="B76" i="63"/>
  <c r="M5" i="54"/>
  <c r="A23" i="51"/>
  <c r="Y12" i="46"/>
  <c r="AA9" i="46"/>
  <c r="AB9" i="46"/>
  <c r="AB10" i="46" s="1"/>
  <c r="AC9" i="46"/>
  <c r="AC12" i="46" s="1"/>
  <c r="AD9" i="46"/>
  <c r="AD10" i="46"/>
  <c r="AE9" i="46"/>
  <c r="AF9" i="46"/>
  <c r="AF10" i="46" s="1"/>
  <c r="AG9" i="46"/>
  <c r="AH9" i="46"/>
  <c r="AH10" i="46" s="1"/>
  <c r="AI9" i="46"/>
  <c r="AI10" i="46" s="1"/>
  <c r="AJ9" i="46"/>
  <c r="AJ10" i="46"/>
  <c r="Z9" i="46"/>
  <c r="Z10" i="46"/>
  <c r="AG10" i="46"/>
  <c r="AE10" i="46"/>
  <c r="AC10" i="46"/>
  <c r="AA10" i="46"/>
  <c r="Y10" i="46"/>
  <c r="Z12" i="46"/>
  <c r="AI12" i="46"/>
  <c r="AG12" i="46"/>
  <c r="AE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B17" i="63"/>
  <c r="A15" i="51"/>
  <c r="B12" i="63"/>
  <c r="A14" i="51"/>
  <c r="B11" i="63" s="1"/>
  <c r="A4" i="55"/>
  <c r="B57" i="63" s="1"/>
  <c r="B41" i="63"/>
  <c r="G5" i="54"/>
  <c r="B34" i="63" s="1"/>
  <c r="E5" i="54"/>
  <c r="B32" i="63" s="1"/>
  <c r="R2" i="54"/>
  <c r="B24" i="63" s="1"/>
  <c r="B49" i="50"/>
  <c r="B5" i="63"/>
  <c r="B40" i="50"/>
  <c r="B3" i="63"/>
  <c r="B67" i="63"/>
  <c r="I19" i="46"/>
  <c r="Q18" i="59"/>
  <c r="F18" i="59" s="1"/>
  <c r="F17" i="59" s="1"/>
  <c r="P18" i="59"/>
  <c r="E18" i="59" s="1"/>
  <c r="O18" i="59"/>
  <c r="C18" i="59" s="1"/>
  <c r="N18" i="59"/>
  <c r="B18" i="59" s="1"/>
  <c r="D79" i="59"/>
  <c r="F78" i="59"/>
  <c r="F77" i="59" s="1"/>
  <c r="F76" i="59" s="1"/>
  <c r="E78" i="59"/>
  <c r="E77" i="59"/>
  <c r="E76" i="59" s="1"/>
  <c r="C78" i="59"/>
  <c r="D78" i="59" s="1"/>
  <c r="B78" i="59"/>
  <c r="B77" i="59" s="1"/>
  <c r="B76" i="59"/>
  <c r="D75" i="59"/>
  <c r="F74" i="59"/>
  <c r="F73" i="59" s="1"/>
  <c r="F72" i="59" s="1"/>
  <c r="E74" i="59"/>
  <c r="E73" i="59"/>
  <c r="E72" i="59" s="1"/>
  <c r="C74" i="59"/>
  <c r="D74" i="59" s="1"/>
  <c r="B74" i="59"/>
  <c r="B73" i="59" s="1"/>
  <c r="B72"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V58" i="59"/>
  <c r="E58" i="59"/>
  <c r="E57" i="59"/>
  <c r="P57" i="59" s="1"/>
  <c r="C58" i="59"/>
  <c r="B58" i="59"/>
  <c r="N58" i="59"/>
  <c r="F57" i="59"/>
  <c r="F56" i="59"/>
  <c r="B57" i="59"/>
  <c r="N57" i="59" s="1"/>
  <c r="D55" i="59"/>
  <c r="Q54" i="59"/>
  <c r="P54" i="59"/>
  <c r="O54" i="59"/>
  <c r="N54" i="59"/>
  <c r="Q53" i="59"/>
  <c r="P53" i="59"/>
  <c r="O53" i="59"/>
  <c r="N53" i="59"/>
  <c r="Q52" i="59"/>
  <c r="P52" i="59"/>
  <c r="O52" i="59"/>
  <c r="N52" i="59"/>
  <c r="Q51" i="59"/>
  <c r="F52" i="59"/>
  <c r="P51" i="59"/>
  <c r="E52" i="59"/>
  <c r="E53" i="59" s="1"/>
  <c r="E54" i="59"/>
  <c r="U54" i="59" s="1"/>
  <c r="O51" i="59"/>
  <c r="C52" i="59" s="1"/>
  <c r="N51" i="59"/>
  <c r="B52" i="59" s="1"/>
  <c r="B53" i="59" s="1"/>
  <c r="B54" i="59" s="1"/>
  <c r="S54" i="59" s="1"/>
  <c r="D51" i="59"/>
  <c r="Q50" i="59"/>
  <c r="P50" i="59"/>
  <c r="O50" i="59"/>
  <c r="N50" i="59"/>
  <c r="Q49" i="59"/>
  <c r="P49" i="59"/>
  <c r="O49" i="59"/>
  <c r="N49" i="59"/>
  <c r="Q48" i="59"/>
  <c r="P48" i="59"/>
  <c r="O48" i="59"/>
  <c r="N48" i="59"/>
  <c r="Q47" i="59"/>
  <c r="F48" i="59" s="1"/>
  <c r="F49" i="59" s="1"/>
  <c r="P47" i="59"/>
  <c r="E48" i="59" s="1"/>
  <c r="E49" i="59"/>
  <c r="E50" i="59" s="1"/>
  <c r="U50" i="59" s="1"/>
  <c r="O47" i="59"/>
  <c r="C48" i="59"/>
  <c r="N47" i="59"/>
  <c r="B48" i="59"/>
  <c r="B49" i="59" s="1"/>
  <c r="B50" i="59"/>
  <c r="S50" i="59" s="1"/>
  <c r="D47" i="59"/>
  <c r="Q46" i="59"/>
  <c r="P46" i="59"/>
  <c r="O46" i="59"/>
  <c r="N46" i="59"/>
  <c r="Q45" i="59"/>
  <c r="P45" i="59"/>
  <c r="O45" i="59"/>
  <c r="N45" i="59"/>
  <c r="Q44" i="59"/>
  <c r="P44" i="59"/>
  <c r="O44" i="59"/>
  <c r="N44" i="59"/>
  <c r="Q43" i="59"/>
  <c r="F44" i="59"/>
  <c r="P43" i="59"/>
  <c r="E44" i="59"/>
  <c r="E45" i="59" s="1"/>
  <c r="E46" i="59"/>
  <c r="U46" i="59" s="1"/>
  <c r="O43" i="59"/>
  <c r="C44" i="59" s="1"/>
  <c r="N43" i="59"/>
  <c r="B44" i="59" s="1"/>
  <c r="B45" i="59" s="1"/>
  <c r="B46" i="59" s="1"/>
  <c r="S46" i="59"/>
  <c r="D43" i="59"/>
  <c r="Q42" i="59"/>
  <c r="P42" i="59"/>
  <c r="O42" i="59"/>
  <c r="N42" i="59"/>
  <c r="Q41" i="59"/>
  <c r="P41" i="59"/>
  <c r="O41" i="59"/>
  <c r="N41" i="59"/>
  <c r="Q40" i="59"/>
  <c r="P40" i="59"/>
  <c r="O40" i="59"/>
  <c r="N40" i="59"/>
  <c r="Q39" i="59"/>
  <c r="F40" i="59" s="1"/>
  <c r="F41" i="59" s="1"/>
  <c r="F42" i="59" s="1"/>
  <c r="V42" i="59" s="1"/>
  <c r="P39" i="59"/>
  <c r="E40" i="59"/>
  <c r="E41" i="59" s="1"/>
  <c r="O39" i="59"/>
  <c r="C40" i="59"/>
  <c r="D40" i="59" s="1"/>
  <c r="N39" i="59"/>
  <c r="B40" i="59"/>
  <c r="D39" i="59"/>
  <c r="T38" i="59"/>
  <c r="Q38" i="59"/>
  <c r="P38" i="59"/>
  <c r="O38" i="59"/>
  <c r="N38" i="59"/>
  <c r="D38" i="59"/>
  <c r="Q37" i="59"/>
  <c r="P37" i="59"/>
  <c r="O37" i="59"/>
  <c r="N37" i="59"/>
  <c r="Q36" i="59"/>
  <c r="P36" i="59"/>
  <c r="O36" i="59"/>
  <c r="N36" i="59"/>
  <c r="Q35" i="59"/>
  <c r="F36" i="59" s="1"/>
  <c r="F37" i="59" s="1"/>
  <c r="P35" i="59"/>
  <c r="E36" i="59" s="1"/>
  <c r="E37" i="59"/>
  <c r="E38" i="59" s="1"/>
  <c r="U38" i="59"/>
  <c r="O35" i="59"/>
  <c r="C36" i="59"/>
  <c r="N35" i="59"/>
  <c r="B36" i="59"/>
  <c r="B37" i="59" s="1"/>
  <c r="B38" i="59" s="1"/>
  <c r="S38" i="59" s="1"/>
  <c r="D35" i="59"/>
  <c r="Q34" i="59"/>
  <c r="P34" i="59"/>
  <c r="O34" i="59"/>
  <c r="N34" i="59"/>
  <c r="Q33" i="59"/>
  <c r="P33" i="59"/>
  <c r="O33" i="59"/>
  <c r="N33" i="59"/>
  <c r="Q32" i="59"/>
  <c r="P32" i="59"/>
  <c r="O32" i="59"/>
  <c r="N32" i="59"/>
  <c r="Q31" i="59"/>
  <c r="F32" i="59"/>
  <c r="P31" i="59"/>
  <c r="E32" i="59"/>
  <c r="E33" i="59" s="1"/>
  <c r="E34" i="59" s="1"/>
  <c r="U34" i="59" s="1"/>
  <c r="O31" i="59"/>
  <c r="C32" i="59" s="1"/>
  <c r="C33" i="59" s="1"/>
  <c r="C34" i="59" s="1"/>
  <c r="T34" i="59" s="1"/>
  <c r="N31" i="59"/>
  <c r="B32" i="59" s="1"/>
  <c r="B33" i="59"/>
  <c r="B34" i="59" s="1"/>
  <c r="S34" i="59" s="1"/>
  <c r="D31" i="59"/>
  <c r="Q30" i="59"/>
  <c r="P30" i="59"/>
  <c r="O30" i="59"/>
  <c r="N30" i="59"/>
  <c r="Q29" i="59"/>
  <c r="AB29" i="59" s="1"/>
  <c r="P29" i="59"/>
  <c r="O29" i="59"/>
  <c r="Y29" i="59"/>
  <c r="Z29" i="59" s="1"/>
  <c r="N29" i="59"/>
  <c r="X29" i="59" s="1"/>
  <c r="Q28" i="59"/>
  <c r="AB28" i="59" s="1"/>
  <c r="P28" i="59"/>
  <c r="O28" i="59"/>
  <c r="Y28" i="59" s="1"/>
  <c r="Z28" i="59" s="1"/>
  <c r="N28" i="59"/>
  <c r="Q27" i="59"/>
  <c r="P27" i="59"/>
  <c r="O27" i="59"/>
  <c r="C28" i="59"/>
  <c r="N27" i="59"/>
  <c r="B28" i="59"/>
  <c r="B29" i="59" s="1"/>
  <c r="B30" i="59"/>
  <c r="S30" i="59" s="1"/>
  <c r="D27" i="59"/>
  <c r="Q26" i="59"/>
  <c r="AB26" i="59" s="1"/>
  <c r="P26" i="59"/>
  <c r="O26" i="59"/>
  <c r="N26" i="59"/>
  <c r="X26" i="59" s="1"/>
  <c r="Q25" i="59"/>
  <c r="P25" i="59"/>
  <c r="AA25" i="59" s="1"/>
  <c r="O25" i="59"/>
  <c r="Y25" i="59" s="1"/>
  <c r="Z25" i="59" s="1"/>
  <c r="N25" i="59"/>
  <c r="X25" i="59" s="1"/>
  <c r="Q24" i="59"/>
  <c r="P24" i="59"/>
  <c r="AA24" i="59" s="1"/>
  <c r="O24" i="59"/>
  <c r="N24" i="59"/>
  <c r="X24" i="59" s="1"/>
  <c r="Q23" i="59"/>
  <c r="F24" i="59"/>
  <c r="P23" i="59"/>
  <c r="AA23" i="59" s="1"/>
  <c r="E24" i="59"/>
  <c r="E25" i="59" s="1"/>
  <c r="E26" i="59"/>
  <c r="U26" i="59" s="1"/>
  <c r="O23" i="59"/>
  <c r="N23" i="59"/>
  <c r="D23" i="59"/>
  <c r="Q22" i="59"/>
  <c r="AB22" i="59" s="1"/>
  <c r="P22" i="59"/>
  <c r="O22" i="59"/>
  <c r="Y22" i="59" s="1"/>
  <c r="Z22" i="59" s="1"/>
  <c r="N22" i="59"/>
  <c r="Q21" i="59"/>
  <c r="AB21" i="59" s="1"/>
  <c r="P21" i="59"/>
  <c r="O21" i="59"/>
  <c r="Y21" i="59" s="1"/>
  <c r="Z21" i="59" s="1"/>
  <c r="N21" i="59"/>
  <c r="Q20" i="59"/>
  <c r="AB20" i="59" s="1"/>
  <c r="P20" i="59"/>
  <c r="O20" i="59"/>
  <c r="N20" i="59"/>
  <c r="Q19" i="59"/>
  <c r="P19" i="59"/>
  <c r="AA19" i="59" s="1"/>
  <c r="O19" i="59"/>
  <c r="C20" i="59"/>
  <c r="N19" i="59"/>
  <c r="B20" i="59"/>
  <c r="B21" i="59" s="1"/>
  <c r="D19" i="59"/>
  <c r="X3" i="59"/>
  <c r="X16" i="59"/>
  <c r="X18" i="59"/>
  <c r="AA15" i="59"/>
  <c r="AA17" i="59"/>
  <c r="Y15" i="59"/>
  <c r="Z15" i="59" s="1"/>
  <c r="Y16" i="59"/>
  <c r="Z16" i="59" s="1"/>
  <c r="Y17" i="59"/>
  <c r="Z17" i="59" s="1"/>
  <c r="Y18" i="59"/>
  <c r="Z18" i="59" s="1"/>
  <c r="AB18" i="59"/>
  <c r="AB15" i="59"/>
  <c r="AB17" i="59"/>
  <c r="B22" i="59"/>
  <c r="S22" i="59" s="1"/>
  <c r="E20" i="59"/>
  <c r="E21" i="59" s="1"/>
  <c r="E22" i="59" s="1"/>
  <c r="U22" i="59" s="1"/>
  <c r="B41" i="59"/>
  <c r="B42" i="59" s="1"/>
  <c r="S42" i="59" s="1"/>
  <c r="E42" i="59"/>
  <c r="U42" i="59" s="1"/>
  <c r="S58" i="59"/>
  <c r="AA29" i="59"/>
  <c r="F25" i="59"/>
  <c r="F26" i="59" s="1"/>
  <c r="V26" i="59" s="1"/>
  <c r="F33" i="59"/>
  <c r="F34" i="59" s="1"/>
  <c r="V34" i="59"/>
  <c r="F38" i="59"/>
  <c r="V38" i="59" s="1"/>
  <c r="F45" i="59"/>
  <c r="F46" i="59" s="1"/>
  <c r="V46" i="59" s="1"/>
  <c r="F50" i="59"/>
  <c r="V50" i="59" s="1"/>
  <c r="F53" i="59"/>
  <c r="F54" i="59" s="1"/>
  <c r="V54" i="59"/>
  <c r="D20" i="59"/>
  <c r="D28" i="59"/>
  <c r="D32" i="59"/>
  <c r="C41" i="59"/>
  <c r="C42" i="59" s="1"/>
  <c r="T42" i="59" s="1"/>
  <c r="C45" i="59"/>
  <c r="C46" i="59" s="1"/>
  <c r="T46" i="59" s="1"/>
  <c r="D44" i="59"/>
  <c r="C49" i="59"/>
  <c r="D49" i="59" s="1"/>
  <c r="D48" i="59"/>
  <c r="C53" i="59"/>
  <c r="C54" i="59" s="1"/>
  <c r="T54" i="59" s="1"/>
  <c r="D52" i="59"/>
  <c r="E56" i="59"/>
  <c r="P55" i="59" s="1"/>
  <c r="B56" i="59"/>
  <c r="N55" i="59" s="1"/>
  <c r="Q57" i="59"/>
  <c r="T58" i="59"/>
  <c r="O58" i="59"/>
  <c r="D58" i="59"/>
  <c r="C57" i="59"/>
  <c r="P58" i="59"/>
  <c r="U58" i="59"/>
  <c r="Q58" i="59"/>
  <c r="E61" i="59"/>
  <c r="E60" i="59" s="1"/>
  <c r="D62" i="59"/>
  <c r="C65" i="59"/>
  <c r="E65" i="59"/>
  <c r="E64" i="59" s="1"/>
  <c r="D66" i="59"/>
  <c r="E69" i="59"/>
  <c r="E68" i="59" s="1"/>
  <c r="D70" i="59"/>
  <c r="C73" i="59"/>
  <c r="C77" i="59"/>
  <c r="D77" i="59" s="1"/>
  <c r="U16" i="4"/>
  <c r="S16" i="4"/>
  <c r="Q16" i="4"/>
  <c r="O16" i="4"/>
  <c r="M16" i="4"/>
  <c r="K16" i="4"/>
  <c r="P56" i="59"/>
  <c r="C76" i="59"/>
  <c r="D76" i="59" s="1"/>
  <c r="C56" i="59"/>
  <c r="O57" i="59"/>
  <c r="D57" i="59"/>
  <c r="D73" i="59"/>
  <c r="C72" i="59"/>
  <c r="D72" i="59" s="1"/>
  <c r="D65" i="59"/>
  <c r="C64" i="59"/>
  <c r="D64" i="59"/>
  <c r="N56" i="59"/>
  <c r="D53" i="59"/>
  <c r="C50" i="59"/>
  <c r="T50" i="59" s="1"/>
  <c r="D45" i="59"/>
  <c r="D41" i="59"/>
  <c r="D33" i="59"/>
  <c r="D34" i="59"/>
  <c r="D42" i="59"/>
  <c r="D46" i="59"/>
  <c r="D54" i="59"/>
  <c r="D56"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C21" i="37"/>
  <c r="F77" i="37"/>
  <c r="G77" i="37" s="1"/>
  <c r="D77" i="37"/>
  <c r="E77" i="37" s="1"/>
  <c r="Q21" i="34"/>
  <c r="Z21" i="34" s="1"/>
  <c r="C21" i="34"/>
  <c r="D84" i="34"/>
  <c r="E84" i="34" s="1"/>
  <c r="F21" i="34"/>
  <c r="AA21" i="34"/>
  <c r="Q21" i="33"/>
  <c r="Z21" i="33" s="1"/>
  <c r="C21" i="33"/>
  <c r="D83" i="33"/>
  <c r="E83" i="33" s="1"/>
  <c r="F83" i="33"/>
  <c r="G83" i="33" s="1"/>
  <c r="Z21" i="21"/>
  <c r="Q21" i="21"/>
  <c r="D83" i="21"/>
  <c r="E83" i="21" s="1"/>
  <c r="F83" i="21" s="1"/>
  <c r="G83" i="21" s="1"/>
  <c r="F21" i="21"/>
  <c r="C21" i="21"/>
  <c r="Q27" i="40"/>
  <c r="Z27" i="40" s="1"/>
  <c r="D96" i="40"/>
  <c r="E96" i="40"/>
  <c r="F96" i="40" s="1"/>
  <c r="F27" i="40"/>
  <c r="AA27" i="40"/>
  <c r="Q31" i="39"/>
  <c r="Z31" i="39" s="1"/>
  <c r="D105" i="39"/>
  <c r="E105" i="39"/>
  <c r="F105" i="39" s="1"/>
  <c r="F31" i="39"/>
  <c r="AA31" i="39"/>
  <c r="G20" i="20"/>
  <c r="B85" i="46"/>
  <c r="C22" i="20"/>
  <c r="B65" i="46"/>
  <c r="S18" i="36"/>
  <c r="S18" i="35"/>
  <c r="S21" i="34"/>
  <c r="S27" i="40"/>
  <c r="S31" i="39"/>
  <c r="C27" i="40"/>
  <c r="C31" i="39"/>
  <c r="B54" i="46"/>
  <c r="B74" i="46"/>
  <c r="E66" i="36"/>
  <c r="H18" i="35"/>
  <c r="J18" i="35"/>
  <c r="H21" i="37"/>
  <c r="J21" i="37"/>
  <c r="F84" i="34"/>
  <c r="G84" i="34" s="1"/>
  <c r="J21" i="34"/>
  <c r="H21" i="34"/>
  <c r="F21" i="33"/>
  <c r="H21" i="33"/>
  <c r="J21" i="33"/>
  <c r="H21" i="21"/>
  <c r="J21" i="21"/>
  <c r="H27" i="40"/>
  <c r="H31" i="39"/>
  <c r="U31" i="39" s="1"/>
  <c r="F23" i="15"/>
  <c r="D22" i="15" s="1"/>
  <c r="G17" i="11"/>
  <c r="D23" i="15"/>
  <c r="F15" i="15"/>
  <c r="F17" i="15"/>
  <c r="F18" i="15"/>
  <c r="F20" i="15"/>
  <c r="F21" i="15"/>
  <c r="F33" i="15"/>
  <c r="F60" i="15" s="1"/>
  <c r="K2" i="4"/>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D9" i="12" s="1"/>
  <c r="E21" i="6"/>
  <c r="K8" i="1" s="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J31" i="35"/>
  <c r="H31" i="35"/>
  <c r="F31" i="35"/>
  <c r="S31" i="35" s="1"/>
  <c r="D87" i="35"/>
  <c r="E87" i="35"/>
  <c r="F87" i="35" s="1"/>
  <c r="G87" i="35"/>
  <c r="H87" i="35" s="1"/>
  <c r="I87" i="35" s="1"/>
  <c r="J87" i="35" s="1"/>
  <c r="K87" i="35"/>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c r="L112" i="34" s="1"/>
  <c r="M112" i="34" s="1"/>
  <c r="F40" i="33"/>
  <c r="J41" i="33"/>
  <c r="D113" i="33"/>
  <c r="E113" i="33" s="1"/>
  <c r="F113" i="33" s="1"/>
  <c r="G113" i="33" s="1"/>
  <c r="H113" i="33" s="1"/>
  <c r="F37" i="33"/>
  <c r="AA37" i="33"/>
  <c r="D111" i="33"/>
  <c r="E111" i="33"/>
  <c r="F111" i="33" s="1"/>
  <c r="G111" i="33" s="1"/>
  <c r="H111" i="33" s="1"/>
  <c r="I111" i="33"/>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B122" i="40"/>
  <c r="F42" i="40" s="1"/>
  <c r="AA42" i="40"/>
  <c r="B120" i="40"/>
  <c r="B118" i="40"/>
  <c r="F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J17" i="40"/>
  <c r="AC17" i="40" s="1"/>
  <c r="B83" i="40"/>
  <c r="F16" i="40"/>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E97" i="39" s="1"/>
  <c r="F97" i="39" s="1"/>
  <c r="G97" i="39" s="1"/>
  <c r="D95" i="39"/>
  <c r="E95" i="39" s="1"/>
  <c r="F95" i="39" s="1"/>
  <c r="G95" i="39" s="1"/>
  <c r="D93" i="39"/>
  <c r="E93" i="39" s="1"/>
  <c r="F93" i="39" s="1"/>
  <c r="G93" i="39" s="1"/>
  <c r="D91" i="39"/>
  <c r="E91" i="39" s="1"/>
  <c r="F91" i="39"/>
  <c r="G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B68"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H30" i="37"/>
  <c r="F30" i="37"/>
  <c r="AA30" i="37" s="1"/>
  <c r="Q29" i="37"/>
  <c r="Z29" i="37"/>
  <c r="H29" i="37"/>
  <c r="U29" i="37"/>
  <c r="Q28" i="37"/>
  <c r="Z28" i="37"/>
  <c r="Q27" i="37"/>
  <c r="Z27" i="37"/>
  <c r="Q26" i="37"/>
  <c r="Z26" i="37"/>
  <c r="H26" i="37"/>
  <c r="AB26" i="37" s="1"/>
  <c r="F26" i="37"/>
  <c r="Q25" i="37"/>
  <c r="Z25" i="37" s="1"/>
  <c r="J25" i="37"/>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C52" i="37" s="1"/>
  <c r="D52" i="37" s="1"/>
  <c r="E52" i="37" s="1"/>
  <c r="F52" i="37" s="1"/>
  <c r="G52" i="37" s="1"/>
  <c r="H52" i="37" s="1"/>
  <c r="I52" i="37" s="1"/>
  <c r="J31" i="36"/>
  <c r="H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W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Q33" i="35"/>
  <c r="Z33" i="35" s="1"/>
  <c r="Q32" i="35"/>
  <c r="Z32" i="35" s="1"/>
  <c r="H32" i="35"/>
  <c r="AB32" i="35" s="1"/>
  <c r="F32" i="35"/>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c r="G120" i="34" s="1"/>
  <c r="H120" i="34" s="1"/>
  <c r="I120" i="34" s="1"/>
  <c r="J120" i="34"/>
  <c r="K120" i="34" s="1"/>
  <c r="L120" i="34" s="1"/>
  <c r="M120" i="34" s="1"/>
  <c r="D90" i="34"/>
  <c r="C15" i="34"/>
  <c r="F67" i="34"/>
  <c r="G67" i="34" s="1"/>
  <c r="H67" i="34" s="1"/>
  <c r="I67" i="34" s="1"/>
  <c r="H10" i="34"/>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W27" i="34" s="1"/>
  <c r="D88" i="34"/>
  <c r="E88" i="34"/>
  <c r="F88" i="34" s="1"/>
  <c r="G88" i="34" s="1"/>
  <c r="H88" i="34" s="1"/>
  <c r="I88" i="34"/>
  <c r="J88" i="34" s="1"/>
  <c r="K88" i="34" s="1"/>
  <c r="L88" i="34" s="1"/>
  <c r="M88" i="34" s="1"/>
  <c r="D86" i="34"/>
  <c r="E86" i="34"/>
  <c r="F86" i="34" s="1"/>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H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U12" i="33" s="1"/>
  <c r="F12" i="33"/>
  <c r="Q11" i="33"/>
  <c r="Z11" i="33" s="1"/>
  <c r="Q10" i="33"/>
  <c r="Z10" i="33" s="1"/>
  <c r="Q9" i="33"/>
  <c r="Z9" i="33" s="1"/>
  <c r="J9" i="33"/>
  <c r="AC9" i="33" s="1"/>
  <c r="H9" i="33"/>
  <c r="F9" i="33"/>
  <c r="J8" i="33"/>
  <c r="W8" i="33" s="1"/>
  <c r="H8" i="33"/>
  <c r="U8" i="33" s="1"/>
  <c r="F8" i="33"/>
  <c r="M102" i="21"/>
  <c r="D102" i="21"/>
  <c r="E102" i="21"/>
  <c r="F102" i="21"/>
  <c r="G102" i="21"/>
  <c r="H102" i="21"/>
  <c r="I102" i="21"/>
  <c r="J102" i="21"/>
  <c r="K102" i="21"/>
  <c r="L102" i="21"/>
  <c r="C102" i="21"/>
  <c r="C63" i="21"/>
  <c r="F9" i="21"/>
  <c r="G18" i="20"/>
  <c r="C25" i="40"/>
  <c r="G16" i="20"/>
  <c r="B81" i="46"/>
  <c r="G15" i="20"/>
  <c r="B80" i="46"/>
  <c r="C24" i="20"/>
  <c r="B72" i="46"/>
  <c r="C21" i="20"/>
  <c r="B73" i="46" s="1"/>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F30" i="21" s="1"/>
  <c r="S30" i="21" s="1"/>
  <c r="B94" i="21"/>
  <c r="B92" i="21"/>
  <c r="B90" i="21"/>
  <c r="B7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K13" i="3"/>
  <c r="BM13" i="3"/>
  <c r="BN13" i="3"/>
  <c r="BO13" i="3"/>
  <c r="BP13" i="3"/>
  <c r="BS13" i="3"/>
  <c r="BT13" i="3"/>
  <c r="BB570" i="3"/>
  <c r="BB5" i="3" s="1"/>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AB8" i="21" s="1"/>
  <c r="H9" i="21"/>
  <c r="AB9" i="21"/>
  <c r="H10" i="21"/>
  <c r="U10" i="21"/>
  <c r="H39" i="21"/>
  <c r="AB39" i="21"/>
  <c r="J34" i="21"/>
  <c r="W34" i="21"/>
  <c r="H36" i="21"/>
  <c r="U36" i="21"/>
  <c r="F35" i="21"/>
  <c r="AA35" i="21"/>
  <c r="J33" i="21"/>
  <c r="W33" i="21"/>
  <c r="H33" i="21"/>
  <c r="U33" i="21"/>
  <c r="F33" i="21"/>
  <c r="J10" i="21"/>
  <c r="H26" i="21"/>
  <c r="F19" i="21"/>
  <c r="AA19" i="21"/>
  <c r="H19" i="21"/>
  <c r="AB19" i="21"/>
  <c r="J19" i="21"/>
  <c r="W19" i="21"/>
  <c r="H12" i="21"/>
  <c r="J26" i="21"/>
  <c r="W26" i="21" s="1"/>
  <c r="F26" i="21"/>
  <c r="AA26" i="21" s="1"/>
  <c r="AB41" i="21"/>
  <c r="AA41" i="21"/>
  <c r="W41" i="21"/>
  <c r="S10" i="39"/>
  <c r="F39" i="37"/>
  <c r="W39" i="37"/>
  <c r="F29" i="36"/>
  <c r="AA29" i="36"/>
  <c r="F16" i="36"/>
  <c r="AA16" i="36"/>
  <c r="U22" i="36"/>
  <c r="W23" i="36"/>
  <c r="W22" i="36"/>
  <c r="U26" i="36"/>
  <c r="AC27" i="35"/>
  <c r="U31" i="35"/>
  <c r="W24" i="35"/>
  <c r="W31" i="35"/>
  <c r="F36" i="34"/>
  <c r="S36" i="34" s="1"/>
  <c r="W9" i="34"/>
  <c r="S34" i="34"/>
  <c r="W39" i="34"/>
  <c r="H39" i="33"/>
  <c r="AB39" i="33"/>
  <c r="F26" i="33"/>
  <c r="AA26" i="33"/>
  <c r="U33" i="33"/>
  <c r="S40" i="33"/>
  <c r="W33" i="33"/>
  <c r="S8" i="21"/>
  <c r="H39" i="37"/>
  <c r="S10" i="40"/>
  <c r="W10" i="40"/>
  <c r="S11" i="40"/>
  <c r="U11" i="40"/>
  <c r="S36" i="40"/>
  <c r="U36" i="40"/>
  <c r="S36" i="39"/>
  <c r="F11" i="21"/>
  <c r="S11" i="21"/>
  <c r="AA38" i="21"/>
  <c r="AB36" i="21"/>
  <c r="AC35" i="21"/>
  <c r="C23" i="39"/>
  <c r="U36" i="39"/>
  <c r="S42" i="39"/>
  <c r="H32" i="33"/>
  <c r="AB32" i="33"/>
  <c r="H11" i="21"/>
  <c r="U11" i="21"/>
  <c r="J11" i="21"/>
  <c r="W11" i="21"/>
  <c r="F86" i="40"/>
  <c r="G86" i="40" s="1"/>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c r="L101" i="37" s="1"/>
  <c r="M101" i="37" s="1"/>
  <c r="J34" i="37"/>
  <c r="W34" i="37"/>
  <c r="H43" i="34"/>
  <c r="AB43" i="34" s="1"/>
  <c r="U42" i="34"/>
  <c r="E114" i="34"/>
  <c r="F114" i="34" s="1"/>
  <c r="H36" i="34"/>
  <c r="U36" i="34"/>
  <c r="F37" i="34"/>
  <c r="AA37" i="34"/>
  <c r="F33" i="34"/>
  <c r="S33" i="34"/>
  <c r="F19" i="34"/>
  <c r="AA19" i="34" s="1"/>
  <c r="J10" i="34"/>
  <c r="AC10" i="34" s="1"/>
  <c r="J28" i="34"/>
  <c r="F36" i="33"/>
  <c r="S36" i="33" s="1"/>
  <c r="F19" i="33"/>
  <c r="S19" i="33" s="1"/>
  <c r="J19" i="33"/>
  <c r="W19" i="33" s="1"/>
  <c r="G125" i="21"/>
  <c r="S22" i="35"/>
  <c r="H29" i="35"/>
  <c r="U34" i="37"/>
  <c r="AA34" i="37"/>
  <c r="AB42" i="34"/>
  <c r="AB40" i="34"/>
  <c r="W36" i="34"/>
  <c r="J19" i="34"/>
  <c r="AC19" i="34"/>
  <c r="I113" i="33"/>
  <c r="J113" i="33" s="1"/>
  <c r="K113" i="33" s="1"/>
  <c r="L113" i="33" s="1"/>
  <c r="M113" i="33" s="1"/>
  <c r="H37" i="33"/>
  <c r="AB37" i="33"/>
  <c r="S37" i="33"/>
  <c r="W42" i="34"/>
  <c r="AA42" i="34"/>
  <c r="S42" i="34"/>
  <c r="W38" i="34"/>
  <c r="S38" i="34"/>
  <c r="J37" i="33"/>
  <c r="W37" i="33"/>
  <c r="J42" i="21"/>
  <c r="AC42" i="21"/>
  <c r="J44" i="34"/>
  <c r="AC44" i="34"/>
  <c r="F44" i="34"/>
  <c r="S44" i="34"/>
  <c r="J10" i="35"/>
  <c r="W10" i="35"/>
  <c r="AL5" i="3"/>
  <c r="BQ13" i="3"/>
  <c r="H30" i="21"/>
  <c r="J30" i="21"/>
  <c r="H26" i="33"/>
  <c r="U26" i="33"/>
  <c r="H28" i="33"/>
  <c r="F28" i="33"/>
  <c r="J28" i="33"/>
  <c r="F33" i="35"/>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J45" i="33"/>
  <c r="F45" i="33"/>
  <c r="S45" i="33" s="1"/>
  <c r="F11" i="35"/>
  <c r="S11" i="35" s="1"/>
  <c r="H28" i="36"/>
  <c r="U28" i="36" s="1"/>
  <c r="H32" i="36"/>
  <c r="J32" i="36"/>
  <c r="J11" i="36"/>
  <c r="W11" i="36"/>
  <c r="E89" i="37"/>
  <c r="F89" i="37"/>
  <c r="G89" i="37" s="1"/>
  <c r="H89" i="37" s="1"/>
  <c r="I89" i="37" s="1"/>
  <c r="J89" i="37"/>
  <c r="K89" i="37" s="1"/>
  <c r="L89" i="37" s="1"/>
  <c r="M89" i="37" s="1"/>
  <c r="J29" i="37"/>
  <c r="W29" i="37" s="1"/>
  <c r="F29" i="37"/>
  <c r="AA29" i="37" s="1"/>
  <c r="F105" i="37"/>
  <c r="G105" i="37" s="1"/>
  <c r="AB36" i="37"/>
  <c r="F107" i="37"/>
  <c r="G107" i="37" s="1"/>
  <c r="H107" i="37" s="1"/>
  <c r="J37" i="37"/>
  <c r="AC37" i="37"/>
  <c r="H37" i="37"/>
  <c r="U37" i="37"/>
  <c r="F40" i="37"/>
  <c r="AA40" i="37" s="1"/>
  <c r="H14" i="33"/>
  <c r="U14" i="33" s="1"/>
  <c r="F14" i="33"/>
  <c r="AA14" i="33" s="1"/>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42" i="21"/>
  <c r="W31" i="34"/>
  <c r="S46" i="33"/>
  <c r="U36" i="37"/>
  <c r="AB45" i="33"/>
  <c r="S45" i="21"/>
  <c r="S19" i="21"/>
  <c r="G521" i="3"/>
  <c r="G513" i="3"/>
  <c r="G499" i="3"/>
  <c r="G485" i="3"/>
  <c r="G565" i="3"/>
  <c r="G557" i="3"/>
  <c r="G545" i="3"/>
  <c r="BL569" i="3"/>
  <c r="BL561" i="3"/>
  <c r="BL535" i="3"/>
  <c r="AZ535" i="3" s="1"/>
  <c r="BL501" i="3"/>
  <c r="AZ501" i="3" s="1"/>
  <c r="BL483" i="3"/>
  <c r="BL563" i="3"/>
  <c r="BL551" i="3"/>
  <c r="G518" i="3"/>
  <c r="BL495" i="3"/>
  <c r="G18" i="3"/>
  <c r="BA565" i="3"/>
  <c r="AZ565" i="3" s="1"/>
  <c r="BA557" i="3"/>
  <c r="BA555" i="3"/>
  <c r="BA551" i="3"/>
  <c r="BA545" i="3"/>
  <c r="BA541" i="3"/>
  <c r="BA509" i="3"/>
  <c r="BA501" i="3"/>
  <c r="BA566" i="3"/>
  <c r="BA560" i="3"/>
  <c r="BA556" i="3"/>
  <c r="AZ556" i="3" s="1"/>
  <c r="BA550" i="3"/>
  <c r="BA546" i="3"/>
  <c r="BA532" i="3"/>
  <c r="BA524" i="3"/>
  <c r="BA512" i="3"/>
  <c r="BA502" i="3"/>
  <c r="AZ502" i="3" s="1"/>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Q538" i="3"/>
  <c r="BL538" i="3"/>
  <c r="BQ536" i="3"/>
  <c r="BQ534" i="3"/>
  <c r="BQ532" i="3"/>
  <c r="BQ530" i="3"/>
  <c r="BQ528" i="3"/>
  <c r="BQ526" i="3"/>
  <c r="BQ524" i="3"/>
  <c r="BQ522" i="3"/>
  <c r="BQ520" i="3"/>
  <c r="BL520" i="3"/>
  <c r="BQ518" i="3"/>
  <c r="BQ516" i="3"/>
  <c r="BQ514" i="3"/>
  <c r="BQ512" i="3"/>
  <c r="BQ510" i="3"/>
  <c r="BQ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F79" i="37"/>
  <c r="G79"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AB43" i="33"/>
  <c r="D3" i="21"/>
  <c r="AC12" i="35"/>
  <c r="W23" i="35"/>
  <c r="S27" i="37"/>
  <c r="AC8" i="37"/>
  <c r="AC36" i="34"/>
  <c r="AC37" i="33"/>
  <c r="U19" i="21"/>
  <c r="AC33" i="21"/>
  <c r="S39" i="33"/>
  <c r="F43" i="33"/>
  <c r="AA43" i="33"/>
  <c r="S10" i="35"/>
  <c r="AB44" i="33"/>
  <c r="I107" i="37"/>
  <c r="J107" i="37" s="1"/>
  <c r="K107" i="37" s="1"/>
  <c r="L107" i="37" s="1"/>
  <c r="M107" i="37"/>
  <c r="F37" i="21"/>
  <c r="S37" i="21" s="1"/>
  <c r="J37" i="21"/>
  <c r="H19" i="34"/>
  <c r="AB19" i="34" s="1"/>
  <c r="J10" i="37"/>
  <c r="W10" i="37" s="1"/>
  <c r="F36" i="35"/>
  <c r="S36" i="35" s="1"/>
  <c r="J9" i="37"/>
  <c r="W9" i="37" s="1"/>
  <c r="H9" i="37"/>
  <c r="U9" i="37" s="1"/>
  <c r="F9" i="37"/>
  <c r="S9" i="37" s="1"/>
  <c r="F11" i="37"/>
  <c r="J12" i="37"/>
  <c r="H12" i="37"/>
  <c r="F12" i="37"/>
  <c r="H15" i="37"/>
  <c r="U15" i="37" s="1"/>
  <c r="E94" i="37"/>
  <c r="F94" i="37" s="1"/>
  <c r="G94" i="37" s="1"/>
  <c r="H94" i="37" s="1"/>
  <c r="I94" i="37" s="1"/>
  <c r="J94" i="37" s="1"/>
  <c r="K94" i="37" s="1"/>
  <c r="L94" i="37" s="1"/>
  <c r="M94" i="37" s="1"/>
  <c r="F31" i="37"/>
  <c r="S31" i="37"/>
  <c r="H31" i="37"/>
  <c r="AB31" i="37"/>
  <c r="J15" i="37"/>
  <c r="W15" i="37"/>
  <c r="J11" i="37"/>
  <c r="W11" i="37"/>
  <c r="U31" i="37"/>
  <c r="E90" i="40"/>
  <c r="F90" i="40" s="1"/>
  <c r="F21" i="40"/>
  <c r="S21" i="40"/>
  <c r="W36" i="40"/>
  <c r="U40" i="39"/>
  <c r="J21" i="40"/>
  <c r="AC21" i="40" s="1"/>
  <c r="G90" i="40"/>
  <c r="S27" i="31"/>
  <c r="AZ560" i="3"/>
  <c r="G483" i="3"/>
  <c r="G515"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AZ300" i="3"/>
  <c r="AZ322" i="3"/>
  <c r="AA36" i="35"/>
  <c r="H11" i="37"/>
  <c r="AB11" i="37"/>
  <c r="W37" i="37"/>
  <c r="AA30" i="33"/>
  <c r="AA36" i="37"/>
  <c r="S42" i="33"/>
  <c r="U32" i="33"/>
  <c r="AB17" i="37"/>
  <c r="AC29" i="33"/>
  <c r="AA45" i="33"/>
  <c r="AC11" i="36"/>
  <c r="AB45" i="34"/>
  <c r="W44" i="33"/>
  <c r="AC30" i="33"/>
  <c r="AC29" i="37"/>
  <c r="W32" i="36"/>
  <c r="AC32" i="36"/>
  <c r="U28" i="33"/>
  <c r="AB28" i="33"/>
  <c r="J33" i="34"/>
  <c r="AC33" i="34"/>
  <c r="AB36" i="34"/>
  <c r="J40" i="34"/>
  <c r="F16" i="35"/>
  <c r="W42" i="33"/>
  <c r="J35" i="34"/>
  <c r="F107" i="34"/>
  <c r="G107" i="34" s="1"/>
  <c r="H107" i="34" s="1"/>
  <c r="I107" i="34" s="1"/>
  <c r="J107" i="34" s="1"/>
  <c r="K107" i="34" s="1"/>
  <c r="L107" i="34" s="1"/>
  <c r="M107" i="34" s="1"/>
  <c r="S30" i="36"/>
  <c r="H16" i="36"/>
  <c r="AB16" i="36"/>
  <c r="H103" i="37"/>
  <c r="I103" i="37" s="1"/>
  <c r="J103" i="37"/>
  <c r="K103" i="37" s="1"/>
  <c r="L103" i="37" s="1"/>
  <c r="M103" i="37" s="1"/>
  <c r="H35" i="37"/>
  <c r="AB35" i="37" s="1"/>
  <c r="H32" i="21"/>
  <c r="U32" i="21" s="1"/>
  <c r="AB26" i="21"/>
  <c r="U26" i="21"/>
  <c r="AA33" i="21"/>
  <c r="S33" i="21"/>
  <c r="U39" i="21"/>
  <c r="W9" i="21"/>
  <c r="J32" i="21"/>
  <c r="AC32" i="21" s="1"/>
  <c r="F17" i="21"/>
  <c r="S17" i="21" s="1"/>
  <c r="H17" i="21"/>
  <c r="J17" i="21"/>
  <c r="H37" i="21"/>
  <c r="F40" i="21"/>
  <c r="S40" i="21" s="1"/>
  <c r="H40" i="2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E80" i="34"/>
  <c r="F80" i="34" s="1"/>
  <c r="G80" i="34" s="1"/>
  <c r="H17" i="34"/>
  <c r="AB17" i="34" s="1"/>
  <c r="AC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F96" i="37"/>
  <c r="H32" i="37"/>
  <c r="AB32" i="37"/>
  <c r="F19" i="39"/>
  <c r="S19" i="39" s="1"/>
  <c r="H19" i="39"/>
  <c r="U19" i="39" s="1"/>
  <c r="J19" i="39"/>
  <c r="F43" i="39"/>
  <c r="AA43" i="39" s="1"/>
  <c r="H43" i="39"/>
  <c r="U43" i="39"/>
  <c r="J43" i="39"/>
  <c r="F99" i="37"/>
  <c r="G99" i="37" s="1"/>
  <c r="H99" i="37" s="1"/>
  <c r="I99" i="37" s="1"/>
  <c r="J99" i="37" s="1"/>
  <c r="K99" i="37" s="1"/>
  <c r="L99" i="37" s="1"/>
  <c r="M99" i="37" s="1"/>
  <c r="AC27" i="37"/>
  <c r="S45" i="34"/>
  <c r="U31" i="34"/>
  <c r="AC45" i="21"/>
  <c r="AA44" i="34"/>
  <c r="AB29" i="35"/>
  <c r="U29" i="35"/>
  <c r="AC19" i="33"/>
  <c r="U43" i="34"/>
  <c r="AC34" i="37"/>
  <c r="S35" i="37"/>
  <c r="AA35" i="37"/>
  <c r="AB10" i="35"/>
  <c r="AA32" i="21"/>
  <c r="S32" i="21"/>
  <c r="U38" i="21"/>
  <c r="AB34" i="21"/>
  <c r="F42" i="21"/>
  <c r="AA42" i="21" s="1"/>
  <c r="AB40" i="33"/>
  <c r="U40" i="33"/>
  <c r="AA35" i="34"/>
  <c r="E90" i="34"/>
  <c r="F90" i="34" s="1"/>
  <c r="G90" i="34" s="1"/>
  <c r="H90" i="34" s="1"/>
  <c r="I90" i="34" s="1"/>
  <c r="J90" i="34" s="1"/>
  <c r="K90" i="34" s="1"/>
  <c r="L90" i="34" s="1"/>
  <c r="M90" i="34" s="1"/>
  <c r="H27" i="34"/>
  <c r="AB27" i="34"/>
  <c r="AB8" i="35"/>
  <c r="U8" i="35"/>
  <c r="S9" i="35"/>
  <c r="J14" i="35"/>
  <c r="AC14" i="35" s="1"/>
  <c r="F14" i="35"/>
  <c r="S14" i="35" s="1"/>
  <c r="H14" i="35"/>
  <c r="U14" i="35"/>
  <c r="E80" i="35"/>
  <c r="E94" i="35"/>
  <c r="F94" i="35" s="1"/>
  <c r="G94" i="35"/>
  <c r="H94" i="35" s="1"/>
  <c r="I94" i="35" s="1"/>
  <c r="J94" i="35" s="1"/>
  <c r="K94" i="35" s="1"/>
  <c r="L94" i="35" s="1"/>
  <c r="M94" i="35" s="1"/>
  <c r="J32" i="35"/>
  <c r="AC32" i="35"/>
  <c r="H11" i="36"/>
  <c r="AB11" i="36"/>
  <c r="F11" i="36"/>
  <c r="S11" i="36"/>
  <c r="W16" i="36"/>
  <c r="AC16" i="36"/>
  <c r="E78" i="36"/>
  <c r="F78" i="36"/>
  <c r="G78" i="36" s="1"/>
  <c r="H78" i="36"/>
  <c r="I78" i="36" s="1"/>
  <c r="J78" i="36" s="1"/>
  <c r="K78" i="36" s="1"/>
  <c r="L78" i="36" s="1"/>
  <c r="M78" i="36" s="1"/>
  <c r="F26" i="36"/>
  <c r="S26" i="36" s="1"/>
  <c r="F33" i="36"/>
  <c r="AA33" i="36" s="1"/>
  <c r="H27" i="36"/>
  <c r="AB27" i="36" s="1"/>
  <c r="AA31" i="36"/>
  <c r="AC26" i="37"/>
  <c r="W26" i="37"/>
  <c r="AB29" i="37"/>
  <c r="S30" i="37"/>
  <c r="AC31" i="37"/>
  <c r="W31" i="37"/>
  <c r="F17" i="39"/>
  <c r="AA17" i="39" s="1"/>
  <c r="H17" i="39"/>
  <c r="U17" i="39" s="1"/>
  <c r="J17" i="39"/>
  <c r="W17" i="39" s="1"/>
  <c r="F21" i="39"/>
  <c r="S21" i="39" s="1"/>
  <c r="H21" i="39"/>
  <c r="U21" i="39" s="1"/>
  <c r="J21" i="39"/>
  <c r="F33" i="39"/>
  <c r="S33" i="39" s="1"/>
  <c r="F44" i="39"/>
  <c r="H44" i="39"/>
  <c r="J44" i="39"/>
  <c r="E128" i="39"/>
  <c r="F128" i="39" s="1"/>
  <c r="G128" i="39"/>
  <c r="H128" i="39" s="1"/>
  <c r="I128" i="39" s="1"/>
  <c r="J128" i="39" s="1"/>
  <c r="K128" i="39" s="1"/>
  <c r="L128" i="39" s="1"/>
  <c r="M128" i="39" s="1"/>
  <c r="F46" i="39"/>
  <c r="S46" i="39"/>
  <c r="H46" i="39"/>
  <c r="U46" i="39"/>
  <c r="J46" i="39"/>
  <c r="W46" i="39"/>
  <c r="F29" i="39"/>
  <c r="AA29" i="39"/>
  <c r="E103" i="39"/>
  <c r="F103" i="39"/>
  <c r="G103" i="39" s="1"/>
  <c r="H29" i="39"/>
  <c r="F34" i="39"/>
  <c r="AA34" i="39" s="1"/>
  <c r="H34" i="39"/>
  <c r="AB34" i="39" s="1"/>
  <c r="J34" i="39"/>
  <c r="F39" i="39"/>
  <c r="S39" i="39" s="1"/>
  <c r="H39" i="39"/>
  <c r="AB39" i="39"/>
  <c r="J39" i="39"/>
  <c r="J29" i="35"/>
  <c r="F29" i="35"/>
  <c r="W30" i="36"/>
  <c r="AC30" i="36"/>
  <c r="F37" i="39"/>
  <c r="S37" i="39" s="1"/>
  <c r="H37" i="39"/>
  <c r="U37" i="39" s="1"/>
  <c r="J37" i="39"/>
  <c r="W37" i="39" s="1"/>
  <c r="BL568" i="3"/>
  <c r="BA567" i="3"/>
  <c r="BL566" i="3"/>
  <c r="BL565" i="3"/>
  <c r="BA564" i="3"/>
  <c r="BA563" i="3"/>
  <c r="AZ563" i="3" s="1"/>
  <c r="BL554" i="3"/>
  <c r="BA553" i="3"/>
  <c r="BA552" i="3"/>
  <c r="AZ552" i="3" s="1"/>
  <c r="BL549" i="3"/>
  <c r="AZ549" i="3" s="1"/>
  <c r="BA549" i="3"/>
  <c r="BL548" i="3"/>
  <c r="BA548" i="3"/>
  <c r="BL547" i="3"/>
  <c r="AZ547" i="3" s="1"/>
  <c r="BA547" i="3"/>
  <c r="BL539" i="3"/>
  <c r="BA539" i="3"/>
  <c r="AZ539" i="3"/>
  <c r="BA538" i="3"/>
  <c r="AZ538" i="3"/>
  <c r="BL537" i="3"/>
  <c r="BA537" i="3"/>
  <c r="BL536" i="3"/>
  <c r="BA535" i="3"/>
  <c r="BL530" i="3"/>
  <c r="BA530" i="3"/>
  <c r="AZ530" i="3" s="1"/>
  <c r="BL529" i="3"/>
  <c r="BA529" i="3"/>
  <c r="BL528" i="3"/>
  <c r="BL523" i="3"/>
  <c r="BA523" i="3"/>
  <c r="AZ523" i="3" s="1"/>
  <c r="BL522" i="3"/>
  <c r="BA522" i="3"/>
  <c r="AZ522" i="3"/>
  <c r="BL521" i="3"/>
  <c r="BA518" i="3"/>
  <c r="BL517" i="3"/>
  <c r="BL515" i="3"/>
  <c r="BA515" i="3"/>
  <c r="AZ515" i="3" s="1"/>
  <c r="BA514" i="3"/>
  <c r="BL513" i="3"/>
  <c r="BA513" i="3"/>
  <c r="AZ513" i="3" s="1"/>
  <c r="BL512" i="3"/>
  <c r="AZ512" i="3" s="1"/>
  <c r="BA511" i="3"/>
  <c r="BA510" i="3"/>
  <c r="BL509" i="3"/>
  <c r="BL507" i="3"/>
  <c r="BA506" i="3"/>
  <c r="BL505" i="3"/>
  <c r="BL504" i="3"/>
  <c r="BA503" i="3"/>
  <c r="BA500" i="3"/>
  <c r="AZ500" i="3" s="1"/>
  <c r="BL499" i="3"/>
  <c r="BA497" i="3"/>
  <c r="BA496" i="3"/>
  <c r="BA495" i="3"/>
  <c r="BL494" i="3"/>
  <c r="BA494" i="3"/>
  <c r="AZ494" i="3"/>
  <c r="G494" i="3"/>
  <c r="BA491" i="3"/>
  <c r="BL490" i="3"/>
  <c r="BA490" i="3"/>
  <c r="AZ490" i="3"/>
  <c r="BA489" i="3"/>
  <c r="BL487" i="3"/>
  <c r="BL486" i="3"/>
  <c r="BA486" i="3"/>
  <c r="BA485" i="3"/>
  <c r="BA483" i="3"/>
  <c r="AZ483" i="3" s="1"/>
  <c r="BA482" i="3"/>
  <c r="BL481" i="3"/>
  <c r="BA481" i="3"/>
  <c r="AZ481" i="3" s="1"/>
  <c r="BA18" i="3"/>
  <c r="F36" i="44"/>
  <c r="G114" i="34"/>
  <c r="H114" i="34" s="1"/>
  <c r="I114" i="34"/>
  <c r="J114" i="34" s="1"/>
  <c r="K114" i="34" s="1"/>
  <c r="L114" i="34" s="1"/>
  <c r="M114" i="34" s="1"/>
  <c r="H38" i="34"/>
  <c r="U38" i="34"/>
  <c r="H30" i="40"/>
  <c r="AB30" i="40"/>
  <c r="G100" i="40"/>
  <c r="J30" i="40"/>
  <c r="F38" i="40"/>
  <c r="AA36" i="34"/>
  <c r="AB33" i="21"/>
  <c r="S35" i="21"/>
  <c r="AB10" i="21"/>
  <c r="S34" i="21"/>
  <c r="AC36" i="21"/>
  <c r="AB8" i="33"/>
  <c r="E106" i="33"/>
  <c r="F106" i="33" s="1"/>
  <c r="H34" i="33"/>
  <c r="U34" i="33"/>
  <c r="F34" i="33"/>
  <c r="S34" i="33"/>
  <c r="F41" i="33"/>
  <c r="AA39" i="34"/>
  <c r="S39" i="34"/>
  <c r="S43" i="34"/>
  <c r="E78" i="34"/>
  <c r="F15" i="34"/>
  <c r="S15" i="34" s="1"/>
  <c r="AC28" i="35"/>
  <c r="W28" i="35"/>
  <c r="J20" i="35"/>
  <c r="AC20" i="35"/>
  <c r="E72" i="35"/>
  <c r="F72" i="35"/>
  <c r="G72" i="35" s="1"/>
  <c r="H22" i="35"/>
  <c r="H23" i="35"/>
  <c r="U23" i="35" s="1"/>
  <c r="F23" i="35"/>
  <c r="AA23" i="35"/>
  <c r="AB36" i="35"/>
  <c r="U36" i="35"/>
  <c r="AC12" i="36"/>
  <c r="S8" i="37"/>
  <c r="AA8" i="37"/>
  <c r="F14" i="39"/>
  <c r="H14" i="39"/>
  <c r="J14" i="39"/>
  <c r="AC14" i="39" s="1"/>
  <c r="F16" i="39"/>
  <c r="AA16" i="39" s="1"/>
  <c r="H16" i="39"/>
  <c r="J16" i="39"/>
  <c r="AC16" i="39" s="1"/>
  <c r="F23" i="39"/>
  <c r="AA23" i="39" s="1"/>
  <c r="F27" i="39"/>
  <c r="AA27" i="39" s="1"/>
  <c r="H27" i="39"/>
  <c r="AB27" i="39" s="1"/>
  <c r="J27" i="39"/>
  <c r="AC27" i="39" s="1"/>
  <c r="F15" i="40"/>
  <c r="AA15" i="40"/>
  <c r="J15" i="40"/>
  <c r="H15" i="40"/>
  <c r="E92" i="40"/>
  <c r="F92" i="40" s="1"/>
  <c r="G92" i="40" s="1"/>
  <c r="H23" i="40"/>
  <c r="U23" i="40" s="1"/>
  <c r="H41" i="40"/>
  <c r="F41" i="40"/>
  <c r="J41" i="40"/>
  <c r="AC41" i="40" s="1"/>
  <c r="H36" i="33"/>
  <c r="AB36" i="33"/>
  <c r="H37" i="34"/>
  <c r="F15" i="39"/>
  <c r="J15" i="39"/>
  <c r="AC15" i="39" s="1"/>
  <c r="H25" i="39"/>
  <c r="U25" i="39" s="1"/>
  <c r="J25" i="39"/>
  <c r="AC25" i="39" s="1"/>
  <c r="F25" i="39"/>
  <c r="F45" i="39"/>
  <c r="H45" i="39"/>
  <c r="U45" i="39" s="1"/>
  <c r="J45" i="39"/>
  <c r="F47" i="39"/>
  <c r="H47" i="39"/>
  <c r="J47" i="39"/>
  <c r="W47" i="39" s="1"/>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399" i="3"/>
  <c r="AZ403" i="3"/>
  <c r="AZ407" i="3"/>
  <c r="AZ415" i="3"/>
  <c r="AZ423" i="3"/>
  <c r="AZ431" i="3"/>
  <c r="AZ439" i="3"/>
  <c r="AZ454" i="3"/>
  <c r="B41" i="1"/>
  <c r="F27" i="43" s="1"/>
  <c r="J42" i="40"/>
  <c r="J40" i="40"/>
  <c r="J34" i="40"/>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AB14" i="40"/>
  <c r="F34" i="44"/>
  <c r="F66" i="9"/>
  <c r="P72" i="9" s="1"/>
  <c r="F72" i="9"/>
  <c r="AC14" i="40"/>
  <c r="W35" i="40"/>
  <c r="S33" i="40"/>
  <c r="AB32" i="40"/>
  <c r="AC47" i="39"/>
  <c r="U37" i="34"/>
  <c r="AB37" i="34"/>
  <c r="J23" i="40"/>
  <c r="AC23" i="40" s="1"/>
  <c r="F23" i="40"/>
  <c r="S23" i="40"/>
  <c r="AC15" i="40"/>
  <c r="W15" i="40"/>
  <c r="W14" i="39"/>
  <c r="H20" i="35"/>
  <c r="F20" i="35"/>
  <c r="S20" i="35" s="1"/>
  <c r="H15" i="34"/>
  <c r="F78" i="34"/>
  <c r="G78" i="34" s="1"/>
  <c r="J15" i="34"/>
  <c r="AC15" i="34" s="1"/>
  <c r="H41" i="33"/>
  <c r="U41" i="33"/>
  <c r="F30" i="40"/>
  <c r="AA30" i="40"/>
  <c r="H100" i="40"/>
  <c r="I100" i="40"/>
  <c r="J100" i="40" s="1"/>
  <c r="K100" i="40" s="1"/>
  <c r="L100" i="40" s="1"/>
  <c r="M100" i="40" s="1"/>
  <c r="AB38" i="34"/>
  <c r="AZ486" i="3"/>
  <c r="AZ529" i="3"/>
  <c r="AZ537" i="3"/>
  <c r="AZ548" i="3"/>
  <c r="AB37" i="39"/>
  <c r="U39" i="39"/>
  <c r="J29" i="39"/>
  <c r="AC29" i="39" s="1"/>
  <c r="AA11" i="36"/>
  <c r="AA14" i="35"/>
  <c r="F33" i="37"/>
  <c r="U46" i="34"/>
  <c r="AC30" i="34"/>
  <c r="AA14" i="34"/>
  <c r="W12" i="34"/>
  <c r="U29" i="33"/>
  <c r="AC13" i="33"/>
  <c r="U17" i="34"/>
  <c r="W32" i="33"/>
  <c r="H15" i="33"/>
  <c r="U15" i="33"/>
  <c r="AA11" i="33"/>
  <c r="AA40" i="21"/>
  <c r="AB34" i="40"/>
  <c r="AB42" i="40"/>
  <c r="U42" i="40"/>
  <c r="AC16" i="40"/>
  <c r="W32" i="40"/>
  <c r="H25" i="40"/>
  <c r="AB25" i="40"/>
  <c r="G94" i="40"/>
  <c r="J37" i="34"/>
  <c r="AC37" i="34"/>
  <c r="J36" i="33"/>
  <c r="W36" i="33"/>
  <c r="AB23" i="40"/>
  <c r="H23" i="39"/>
  <c r="S16" i="39"/>
  <c r="AA34" i="33"/>
  <c r="G106" i="33"/>
  <c r="H106" i="33" s="1"/>
  <c r="I106" i="33"/>
  <c r="J106" i="33" s="1"/>
  <c r="K106" i="33" s="1"/>
  <c r="L106" i="33" s="1"/>
  <c r="M106" i="33" s="1"/>
  <c r="J34" i="33"/>
  <c r="AC34" i="33"/>
  <c r="U30" i="40"/>
  <c r="AA37" i="39"/>
  <c r="AC39" i="39"/>
  <c r="W39" i="39"/>
  <c r="U34" i="39"/>
  <c r="AB46" i="39"/>
  <c r="U11" i="36"/>
  <c r="F80" i="35"/>
  <c r="G80" i="35" s="1"/>
  <c r="H80" i="35" s="1"/>
  <c r="I80" i="35" s="1"/>
  <c r="J80" i="35" s="1"/>
  <c r="K80" i="35" s="1"/>
  <c r="L80" i="35" s="1"/>
  <c r="M80" i="35" s="1"/>
  <c r="W14" i="35"/>
  <c r="F27" i="34"/>
  <c r="S27" i="34"/>
  <c r="AC43" i="39"/>
  <c r="W43" i="39"/>
  <c r="G96" i="37"/>
  <c r="H96" i="37" s="1"/>
  <c r="I96" i="37"/>
  <c r="J96" i="37" s="1"/>
  <c r="K96" i="37" s="1"/>
  <c r="L96" i="37" s="1"/>
  <c r="M96" i="37" s="1"/>
  <c r="F32" i="37"/>
  <c r="S32" i="37"/>
  <c r="U11" i="35"/>
  <c r="AB11" i="35"/>
  <c r="S46" i="34"/>
  <c r="U32" i="34"/>
  <c r="U14" i="34"/>
  <c r="AC14" i="34"/>
  <c r="U12" i="34"/>
  <c r="AB13" i="33"/>
  <c r="F17" i="34"/>
  <c r="AA17" i="34" s="1"/>
  <c r="J17" i="34"/>
  <c r="H11" i="34"/>
  <c r="J35" i="33"/>
  <c r="S32" i="33"/>
  <c r="AC15" i="33"/>
  <c r="H11" i="33"/>
  <c r="U11" i="33" s="1"/>
  <c r="H10" i="33"/>
  <c r="I66" i="33"/>
  <c r="J10" i="33"/>
  <c r="AC10" i="33"/>
  <c r="U11" i="37"/>
  <c r="AC16" i="35"/>
  <c r="J11" i="34"/>
  <c r="W11" i="34" s="1"/>
  <c r="S17" i="34"/>
  <c r="AC36" i="33"/>
  <c r="F25" i="40"/>
  <c r="J11" i="33"/>
  <c r="W11" i="33" s="1"/>
  <c r="H33" i="37"/>
  <c r="AB33" i="37" s="1"/>
  <c r="U20" i="35"/>
  <c r="AB20" i="35"/>
  <c r="W23" i="40"/>
  <c r="D73" i="9"/>
  <c r="N73" i="9"/>
  <c r="B11" i="1"/>
  <c r="E11" i="1" s="1"/>
  <c r="K11" i="1"/>
  <c r="M11" i="1" s="1"/>
  <c r="O11" i="1" s="1"/>
  <c r="P11" i="1" s="1"/>
  <c r="B9" i="1"/>
  <c r="E9" i="1" s="1"/>
  <c r="K9" i="1"/>
  <c r="M9" i="1" s="1"/>
  <c r="O9" i="1" s="1"/>
  <c r="P9" i="1" s="1"/>
  <c r="B7" i="1"/>
  <c r="E7" i="1" s="1"/>
  <c r="C20" i="43"/>
  <c r="F6" i="1"/>
  <c r="AP6" i="1" s="1"/>
  <c r="M22" i="44"/>
  <c r="F70" i="9"/>
  <c r="M20" i="44"/>
  <c r="F30" i="44"/>
  <c r="AC25" i="36"/>
  <c r="S23" i="36"/>
  <c r="S8" i="36"/>
  <c r="AA26" i="36"/>
  <c r="AA28" i="36"/>
  <c r="U25" i="36"/>
  <c r="H20" i="36"/>
  <c r="U20" i="36"/>
  <c r="J20" i="36"/>
  <c r="AC20" i="36"/>
  <c r="F20" i="36"/>
  <c r="S20" i="36"/>
  <c r="F62" i="36"/>
  <c r="G62" i="36"/>
  <c r="J14" i="36"/>
  <c r="H14" i="36"/>
  <c r="U14" i="36" s="1"/>
  <c r="F14" i="36"/>
  <c r="AA14" i="36"/>
  <c r="W20" i="36"/>
  <c r="U27" i="36"/>
  <c r="AB12" i="36"/>
  <c r="AA27" i="36"/>
  <c r="S16" i="36"/>
  <c r="S29" i="36"/>
  <c r="AC33" i="35"/>
  <c r="AC9" i="35"/>
  <c r="S8" i="35"/>
  <c r="U33" i="35"/>
  <c r="AA20" i="35"/>
  <c r="W20" i="35"/>
  <c r="S23" i="35"/>
  <c r="AB14" i="35"/>
  <c r="AC10" i="35"/>
  <c r="U9" i="35"/>
  <c r="AC18" i="35"/>
  <c r="W18" i="35"/>
  <c r="U18" i="35"/>
  <c r="AB18" i="35"/>
  <c r="S30" i="35"/>
  <c r="AB30" i="35"/>
  <c r="S27" i="35"/>
  <c r="S28" i="35"/>
  <c r="AB9" i="37"/>
  <c r="AA9" i="37"/>
  <c r="S17" i="37"/>
  <c r="AB37" i="37"/>
  <c r="AA31" i="37"/>
  <c r="S33" i="37"/>
  <c r="AA33" i="37"/>
  <c r="U32" i="37"/>
  <c r="AA32" i="37"/>
  <c r="J33" i="37"/>
  <c r="W33" i="37"/>
  <c r="S29" i="37"/>
  <c r="J19" i="37"/>
  <c r="AC19" i="37" s="1"/>
  <c r="G75" i="37"/>
  <c r="F19" i="37"/>
  <c r="AA19" i="37"/>
  <c r="H19" i="37"/>
  <c r="J17" i="37"/>
  <c r="AC17" i="37" s="1"/>
  <c r="AC21" i="37"/>
  <c r="W21" i="37"/>
  <c r="AC11" i="37"/>
  <c r="W32" i="37"/>
  <c r="AB25" i="37"/>
  <c r="AB21" i="37"/>
  <c r="U21" i="37"/>
  <c r="S37" i="37"/>
  <c r="S40" i="37"/>
  <c r="S10" i="37"/>
  <c r="W46" i="34"/>
  <c r="AC45" i="34"/>
  <c r="AA40" i="34"/>
  <c r="W33" i="34"/>
  <c r="U30" i="34"/>
  <c r="S32" i="34"/>
  <c r="AB33" i="34"/>
  <c r="AA12" i="34"/>
  <c r="AA30" i="34"/>
  <c r="AC32" i="34"/>
  <c r="AA33" i="34"/>
  <c r="U44" i="34"/>
  <c r="U34" i="34"/>
  <c r="AA27" i="34"/>
  <c r="J25" i="34"/>
  <c r="H25" i="34"/>
  <c r="U25" i="34" s="1"/>
  <c r="F25" i="34"/>
  <c r="J23" i="34"/>
  <c r="G86" i="34"/>
  <c r="F23" i="34"/>
  <c r="H23" i="34"/>
  <c r="U23" i="34" s="1"/>
  <c r="AC11" i="34"/>
  <c r="W10" i="34"/>
  <c r="W37" i="34"/>
  <c r="W44" i="34"/>
  <c r="W19" i="34"/>
  <c r="W29" i="34"/>
  <c r="AC21" i="34"/>
  <c r="W21" i="34"/>
  <c r="AB21" i="34"/>
  <c r="U21" i="34"/>
  <c r="U27" i="34"/>
  <c r="U19" i="34"/>
  <c r="AB41" i="34"/>
  <c r="S13" i="34"/>
  <c r="AA41" i="34"/>
  <c r="S9" i="34"/>
  <c r="S10" i="34"/>
  <c r="U39" i="33"/>
  <c r="U37" i="33"/>
  <c r="S35" i="33"/>
  <c r="W34" i="33"/>
  <c r="AB11" i="33"/>
  <c r="AB41" i="33"/>
  <c r="U36" i="33"/>
  <c r="S29" i="33"/>
  <c r="W43" i="33"/>
  <c r="U46" i="33"/>
  <c r="W39" i="33"/>
  <c r="AB34"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H17" i="33"/>
  <c r="J17" i="33"/>
  <c r="AB15" i="33"/>
  <c r="AC11" i="33"/>
  <c r="S10" i="33"/>
  <c r="W10" i="33"/>
  <c r="AC21" i="33"/>
  <c r="W21" i="33"/>
  <c r="W14" i="33"/>
  <c r="U25" i="33"/>
  <c r="AB21" i="33"/>
  <c r="U21" i="33"/>
  <c r="AA21" i="33"/>
  <c r="S21" i="33"/>
  <c r="AA44" i="33"/>
  <c r="AA36" i="33"/>
  <c r="W39" i="21"/>
  <c r="AC34" i="21"/>
  <c r="W32" i="21"/>
  <c r="U35" i="21"/>
  <c r="W43" i="21"/>
  <c r="AA37" i="21"/>
  <c r="AB32" i="21"/>
  <c r="AC26" i="21"/>
  <c r="F85" i="21"/>
  <c r="G85" i="21" s="1"/>
  <c r="J23" i="21"/>
  <c r="W23" i="21" s="1"/>
  <c r="F23" i="21"/>
  <c r="H23" i="21"/>
  <c r="AA17" i="21"/>
  <c r="F15" i="21"/>
  <c r="S15" i="21" s="1"/>
  <c r="F77" i="21"/>
  <c r="G77" i="21" s="1"/>
  <c r="J15" i="21"/>
  <c r="W15" i="21" s="1"/>
  <c r="H15" i="21"/>
  <c r="AC11" i="21"/>
  <c r="AB11" i="21"/>
  <c r="W13" i="21"/>
  <c r="AA11" i="21"/>
  <c r="AC23" i="21"/>
  <c r="AC21" i="21"/>
  <c r="W21" i="21"/>
  <c r="AC19" i="21"/>
  <c r="AC38" i="21"/>
  <c r="AB21" i="21"/>
  <c r="U21" i="21"/>
  <c r="AB29" i="21"/>
  <c r="AA30" i="21"/>
  <c r="AA31" i="21"/>
  <c r="W33" i="40"/>
  <c r="U33" i="40"/>
  <c r="S35" i="40"/>
  <c r="S14" i="40"/>
  <c r="S15" i="40"/>
  <c r="AB13" i="40"/>
  <c r="W11" i="40"/>
  <c r="AA21" i="40"/>
  <c r="U21" i="40"/>
  <c r="W25" i="40"/>
  <c r="U25" i="40"/>
  <c r="U35" i="40"/>
  <c r="F37" i="40"/>
  <c r="J37" i="40"/>
  <c r="H37" i="40"/>
  <c r="U37" i="40" s="1"/>
  <c r="F39" i="40"/>
  <c r="AA39" i="40" s="1"/>
  <c r="H39" i="40"/>
  <c r="J39" i="40"/>
  <c r="W38" i="40"/>
  <c r="F29" i="40"/>
  <c r="H29" i="40"/>
  <c r="J29" i="40"/>
  <c r="S30" i="40"/>
  <c r="AA23" i="40"/>
  <c r="F19" i="40"/>
  <c r="H19" i="40"/>
  <c r="J19" i="40"/>
  <c r="F17" i="40"/>
  <c r="AA17" i="40" s="1"/>
  <c r="H17" i="40"/>
  <c r="W21" i="40"/>
  <c r="U10" i="40"/>
  <c r="U27" i="40"/>
  <c r="AB27" i="40"/>
  <c r="S11" i="39"/>
  <c r="AB45" i="39"/>
  <c r="S27" i="39"/>
  <c r="AA21" i="39"/>
  <c r="AC38" i="39"/>
  <c r="W29" i="39"/>
  <c r="S29" i="39"/>
  <c r="U11" i="39"/>
  <c r="U41" i="39"/>
  <c r="AB38" i="39"/>
  <c r="AB31" i="39"/>
  <c r="S38" i="39"/>
  <c r="D18" i="9"/>
  <c r="M44" i="9" s="1"/>
  <c r="M43" i="9"/>
  <c r="M20" i="15"/>
  <c r="D96" i="9"/>
  <c r="F28" i="15"/>
  <c r="A18" i="64"/>
  <c r="B74" i="63" s="1"/>
  <c r="C53" i="10"/>
  <c r="A25" i="64" s="1"/>
  <c r="A18" i="51"/>
  <c r="B14" i="63" s="1"/>
  <c r="BA16" i="3"/>
  <c r="BA17" i="3"/>
  <c r="AZ17" i="3"/>
  <c r="F3" i="35"/>
  <c r="K1" i="43"/>
  <c r="K1" i="12"/>
  <c r="G1" i="44"/>
  <c r="AZ15" i="3"/>
  <c r="BO5" i="3"/>
  <c r="BN5" i="3"/>
  <c r="BL18" i="3"/>
  <c r="AZ18" i="3"/>
  <c r="BR5" i="3"/>
  <c r="BS5" i="3"/>
  <c r="BL16" i="3"/>
  <c r="BM5" i="3"/>
  <c r="G28" i="12"/>
  <c r="G22" i="43"/>
  <c r="G26" i="12"/>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C51" i="10"/>
  <c r="I100" i="46"/>
  <c r="C24" i="46"/>
  <c r="N100" i="46"/>
  <c r="H100" i="46"/>
  <c r="F108" i="46"/>
  <c r="H80" i="46"/>
  <c r="B45" i="46"/>
  <c r="E100" i="46"/>
  <c r="G100" i="46"/>
  <c r="H84" i="46"/>
  <c r="C100" i="46"/>
  <c r="J100" i="46"/>
  <c r="M100" i="46"/>
  <c r="AA12" i="36"/>
  <c r="U12" i="35"/>
  <c r="AB12" i="35"/>
  <c r="AA11" i="35"/>
  <c r="U13" i="37"/>
  <c r="S13" i="21"/>
  <c r="C24" i="9"/>
  <c r="C25" i="9"/>
  <c r="G9" i="1"/>
  <c r="I20" i="46"/>
  <c r="C20" i="46" s="1"/>
  <c r="B6" i="63"/>
  <c r="L5" i="54"/>
  <c r="B39" i="63" s="1"/>
  <c r="K5" i="54"/>
  <c r="B38" i="63" s="1"/>
  <c r="T41" i="4"/>
  <c r="A17" i="64" s="1"/>
  <c r="B46" i="50"/>
  <c r="B4" i="63" s="1"/>
  <c r="C46" i="36"/>
  <c r="D46" i="36" s="1"/>
  <c r="H86" i="46"/>
  <c r="H82" i="46"/>
  <c r="H10" i="48"/>
  <c r="H87" i="46"/>
  <c r="H85" i="46"/>
  <c r="H83" i="46"/>
  <c r="K10" i="1"/>
  <c r="M10" i="1" s="1"/>
  <c r="O10" i="1" s="1"/>
  <c r="S11" i="1"/>
  <c r="R11" i="1"/>
  <c r="S13" i="1"/>
  <c r="R13" i="1"/>
  <c r="B6" i="1"/>
  <c r="E6" i="1"/>
  <c r="B10" i="1"/>
  <c r="E10" i="1"/>
  <c r="S10" i="1"/>
  <c r="B8" i="1"/>
  <c r="E8" i="1" s="1"/>
  <c r="B12" i="1"/>
  <c r="E12" i="1" s="1"/>
  <c r="S12" i="1"/>
  <c r="K6" i="1"/>
  <c r="M6" i="1" s="1"/>
  <c r="O6" i="1" s="1"/>
  <c r="G1" i="15"/>
  <c r="F66" i="36"/>
  <c r="G66" i="36" s="1"/>
  <c r="H18" i="36"/>
  <c r="U16" i="36"/>
  <c r="S25" i="36"/>
  <c r="U23" i="36"/>
  <c r="AC27" i="36"/>
  <c r="W28" i="36"/>
  <c r="AA32" i="36"/>
  <c r="AA22" i="36"/>
  <c r="U10" i="36"/>
  <c r="W29" i="36"/>
  <c r="W8" i="36"/>
  <c r="AC30" i="35"/>
  <c r="U24" i="35"/>
  <c r="W32" i="35"/>
  <c r="S24" i="35"/>
  <c r="U32" i="35"/>
  <c r="W34" i="35"/>
  <c r="W35" i="37"/>
  <c r="AC33" i="37"/>
  <c r="AC15" i="37"/>
  <c r="AA13" i="37"/>
  <c r="W38" i="37"/>
  <c r="W36" i="37"/>
  <c r="U26"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A15" i="21"/>
  <c r="AC27" i="21"/>
  <c r="W29" i="21"/>
  <c r="G96" i="40"/>
  <c r="J27" i="40"/>
  <c r="AC27" i="40" s="1"/>
  <c r="S34" i="40"/>
  <c r="U38" i="40"/>
  <c r="S42" i="40"/>
  <c r="G105" i="39"/>
  <c r="J31" i="39"/>
  <c r="W31" i="39" s="1"/>
  <c r="AB43" i="39"/>
  <c r="AC46" i="39"/>
  <c r="S34" i="39"/>
  <c r="W42" i="39"/>
  <c r="W36" i="39"/>
  <c r="AC37" i="39"/>
  <c r="W25" i="39"/>
  <c r="AA46" i="39"/>
  <c r="W10" i="39"/>
  <c r="U42" i="39"/>
  <c r="C27" i="39"/>
  <c r="C17" i="40"/>
  <c r="C19" i="40"/>
  <c r="C17" i="39"/>
  <c r="C19" i="39"/>
  <c r="C21" i="39"/>
  <c r="B48" i="46"/>
  <c r="B51" i="46"/>
  <c r="B55" i="46"/>
  <c r="B59" i="46"/>
  <c r="B62" i="46"/>
  <c r="B66" i="46"/>
  <c r="B64" i="46"/>
  <c r="D24" i="15"/>
  <c r="S14" i="36"/>
  <c r="AB20" i="36"/>
  <c r="AA20" i="36"/>
  <c r="AC14" i="36"/>
  <c r="W14" i="36"/>
  <c r="AB14" i="36"/>
  <c r="U18" i="36"/>
  <c r="AB18" i="36"/>
  <c r="S19" i="37"/>
  <c r="W19" i="37"/>
  <c r="AB19" i="37"/>
  <c r="U19" i="37"/>
  <c r="W17" i="37"/>
  <c r="AB25" i="34"/>
  <c r="AA25" i="34"/>
  <c r="S25" i="34"/>
  <c r="W25" i="34"/>
  <c r="AC25" i="34"/>
  <c r="AB23" i="34"/>
  <c r="AA23" i="34"/>
  <c r="S23" i="34"/>
  <c r="AC23" i="34"/>
  <c r="W23" i="34"/>
  <c r="AA25" i="33"/>
  <c r="S25" i="33"/>
  <c r="AB23" i="33"/>
  <c r="AC23" i="33"/>
  <c r="S23" i="33"/>
  <c r="AA23" i="33"/>
  <c r="W17" i="33"/>
  <c r="AC17" i="33"/>
  <c r="AA17" i="33"/>
  <c r="S17" i="33"/>
  <c r="U17" i="33"/>
  <c r="AB17" i="33"/>
  <c r="U23" i="21"/>
  <c r="AB23" i="21"/>
  <c r="AA23" i="21"/>
  <c r="S23" i="21"/>
  <c r="U15" i="21"/>
  <c r="AB15" i="21"/>
  <c r="AC15" i="21"/>
  <c r="AB39" i="40"/>
  <c r="U39" i="40"/>
  <c r="AC39" i="40"/>
  <c r="W39" i="40"/>
  <c r="S39" i="40"/>
  <c r="AB37" i="40"/>
  <c r="AA37" i="40"/>
  <c r="S37" i="40"/>
  <c r="U29" i="40"/>
  <c r="AB29" i="40"/>
  <c r="AC29" i="40"/>
  <c r="W29" i="40"/>
  <c r="AA29" i="40"/>
  <c r="S29" i="40"/>
  <c r="W19" i="40"/>
  <c r="AC19" i="40"/>
  <c r="AA19" i="40"/>
  <c r="S19" i="40"/>
  <c r="AB19" i="40"/>
  <c r="U19" i="40"/>
  <c r="W27" i="40"/>
  <c r="AC31" i="39"/>
  <c r="A17" i="51"/>
  <c r="B13" i="63" s="1"/>
  <c r="AT6" i="3"/>
  <c r="AZ16" i="3"/>
  <c r="A9" i="64"/>
  <c r="A9" i="51"/>
  <c r="B9" i="63"/>
  <c r="E4" i="4"/>
  <c r="C4" i="4"/>
  <c r="B20" i="55" s="1"/>
  <c r="J18" i="36"/>
  <c r="AC18" i="36" s="1"/>
  <c r="AE8" i="1"/>
  <c r="AE7" i="1"/>
  <c r="AE6" i="1"/>
  <c r="W18" i="36"/>
  <c r="AG6" i="1"/>
  <c r="L20" i="6"/>
  <c r="B21" i="55"/>
  <c r="B72" i="63"/>
  <c r="B70" i="63"/>
  <c r="S9" i="1"/>
  <c r="R9" i="1"/>
  <c r="C45" i="9"/>
  <c r="C44" i="9"/>
  <c r="G14" i="66"/>
  <c r="B6" i="66" s="1"/>
  <c r="N69" i="9"/>
  <c r="O39" i="9"/>
  <c r="K29" i="9"/>
  <c r="M86" i="9"/>
  <c r="N86" i="9" s="1"/>
  <c r="M84" i="9"/>
  <c r="N84" i="9" s="1"/>
  <c r="M88" i="9"/>
  <c r="N88" i="9" s="1"/>
  <c r="M87" i="9"/>
  <c r="N87" i="9" s="1"/>
  <c r="M85" i="9"/>
  <c r="N85" i="9" s="1"/>
  <c r="M83" i="9"/>
  <c r="N83" i="9" s="1"/>
  <c r="N89" i="9" s="1"/>
  <c r="K30" i="9"/>
  <c r="R6" i="54"/>
  <c r="B50" i="63"/>
  <c r="O89" i="9"/>
  <c r="N76" i="9"/>
  <c r="C46" i="9"/>
  <c r="O41" i="9"/>
  <c r="R8" i="54" s="1"/>
  <c r="B54" i="63" s="1"/>
  <c r="A25" i="51"/>
  <c r="B18" i="63" s="1"/>
  <c r="H58" i="46"/>
  <c r="J17" i="46"/>
  <c r="C17" i="46"/>
  <c r="F34" i="46"/>
  <c r="F38" i="46"/>
  <c r="F37" i="46"/>
  <c r="H113" i="46"/>
  <c r="H49" i="46"/>
  <c r="H53" i="46"/>
  <c r="F13" i="59"/>
  <c r="F12" i="59" s="1"/>
  <c r="F11" i="59"/>
  <c r="F10" i="59" s="1"/>
  <c r="Y12" i="59"/>
  <c r="Z12" i="59" s="1"/>
  <c r="AA12" i="59"/>
  <c r="AB12" i="59"/>
  <c r="Y11" i="59"/>
  <c r="Z11" i="59" s="1"/>
  <c r="Y10" i="59"/>
  <c r="Z10" i="59" s="1"/>
  <c r="Y9" i="59"/>
  <c r="Z9" i="59" s="1"/>
  <c r="AB11" i="59"/>
  <c r="AB10" i="59"/>
  <c r="AB9" i="59"/>
  <c r="AA14" i="59"/>
  <c r="X12" i="59"/>
  <c r="X10" i="59"/>
  <c r="X9" i="59"/>
  <c r="AA10" i="59"/>
  <c r="AA9" i="59"/>
  <c r="H1" i="65"/>
  <c r="H51" i="46"/>
  <c r="X7" i="46"/>
  <c r="E17" i="46"/>
  <c r="N17" i="46"/>
  <c r="O17" i="46"/>
  <c r="M17" i="46"/>
  <c r="L17" i="46"/>
  <c r="AP7" i="1"/>
  <c r="G13" i="1"/>
  <c r="G6" i="1"/>
  <c r="H70" i="46"/>
  <c r="H73" i="46"/>
  <c r="H50" i="46"/>
  <c r="H48" i="46"/>
  <c r="F35" i="46"/>
  <c r="I17" i="46"/>
  <c r="G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B11" i="59"/>
  <c r="B10" i="59"/>
  <c r="G20" i="46"/>
  <c r="E41" i="46"/>
  <c r="C41" i="46" s="1"/>
  <c r="L49" i="44"/>
  <c r="M8" i="44"/>
  <c r="F14" i="67"/>
  <c r="M21" i="15"/>
  <c r="F6" i="15"/>
  <c r="F11" i="44"/>
  <c r="F46" i="44"/>
  <c r="M11" i="44"/>
  <c r="M26" i="44"/>
  <c r="M23" i="44"/>
  <c r="F15" i="44"/>
  <c r="F38" i="44"/>
  <c r="F11" i="67"/>
  <c r="F18" i="44"/>
  <c r="J7" i="65"/>
  <c r="F8" i="44"/>
  <c r="F37" i="44"/>
  <c r="F42" i="15"/>
  <c r="M22" i="15"/>
  <c r="I3" i="65"/>
  <c r="M9" i="15"/>
  <c r="F43" i="15"/>
  <c r="M24" i="44"/>
  <c r="M28" i="44"/>
  <c r="J15" i="15"/>
  <c r="M31" i="44"/>
  <c r="M29" i="44"/>
  <c r="L48" i="44"/>
  <c r="F13" i="67"/>
  <c r="F36" i="15"/>
  <c r="E9" i="67"/>
  <c r="N7" i="65"/>
  <c r="F16" i="15"/>
  <c r="F10" i="44"/>
  <c r="C19" i="44"/>
  <c r="M26" i="15"/>
  <c r="B13" i="67"/>
  <c r="M8" i="15"/>
  <c r="J3" i="65"/>
  <c r="J4" i="65"/>
  <c r="F43" i="44"/>
  <c r="F28" i="44"/>
  <c r="M6" i="15"/>
  <c r="E8" i="67"/>
  <c r="N4" i="65"/>
  <c r="B14" i="67"/>
  <c r="L48" i="15"/>
  <c r="M23" i="15"/>
  <c r="M10" i="44"/>
  <c r="F41" i="15"/>
  <c r="M24" i="15"/>
  <c r="M27" i="15"/>
  <c r="F40" i="15"/>
  <c r="M25" i="44"/>
  <c r="M28" i="15"/>
  <c r="F8" i="15"/>
  <c r="F13" i="15"/>
  <c r="F38" i="15"/>
  <c r="N6" i="65"/>
  <c r="E11" i="67"/>
  <c r="J36" i="15"/>
  <c r="B10" i="67"/>
  <c r="I6" i="65"/>
  <c r="E10" i="67"/>
  <c r="F10" i="67"/>
  <c r="F45" i="44"/>
  <c r="F26" i="15"/>
  <c r="E14" i="67"/>
  <c r="E13" i="67"/>
  <c r="B11" i="67"/>
  <c r="M29" i="15"/>
  <c r="E12" i="67"/>
  <c r="F9" i="44"/>
  <c r="B12" i="67"/>
  <c r="B8" i="67"/>
  <c r="F8" i="67"/>
  <c r="F7" i="15"/>
  <c r="B9" i="67"/>
  <c r="F12" i="67"/>
  <c r="N3" i="65"/>
  <c r="M30" i="44"/>
  <c r="F9" i="15"/>
  <c r="F39" i="44"/>
  <c r="F37" i="15"/>
  <c r="L47" i="15"/>
  <c r="J17" i="44"/>
  <c r="N5" i="65"/>
  <c r="F40" i="44"/>
  <c r="F9" i="67"/>
  <c r="I7" i="65"/>
  <c r="F35" i="15"/>
  <c r="K7" i="1" l="1"/>
  <c r="M7" i="1" s="1"/>
  <c r="O7" i="1" s="1"/>
  <c r="D26" i="44"/>
  <c r="D24" i="44"/>
  <c r="C6" i="12"/>
  <c r="C24" i="12" s="1"/>
  <c r="S40" i="39"/>
  <c r="U27" i="39"/>
  <c r="W27" i="39"/>
  <c r="AB25" i="39"/>
  <c r="AB21" i="39"/>
  <c r="AA19" i="39"/>
  <c r="AB19" i="39"/>
  <c r="AC17" i="39"/>
  <c r="W40" i="39"/>
  <c r="J23" i="39"/>
  <c r="AB17" i="39"/>
  <c r="S17" i="39"/>
  <c r="B53" i="46"/>
  <c r="C29" i="39"/>
  <c r="W16" i="39"/>
  <c r="U15" i="39"/>
  <c r="AB15" i="39"/>
  <c r="W15" i="39"/>
  <c r="W11" i="39"/>
  <c r="M18" i="15"/>
  <c r="F31" i="43"/>
  <c r="D86" i="9"/>
  <c r="F29" i="12"/>
  <c r="F32" i="15"/>
  <c r="F59" i="15" s="1"/>
  <c r="F71" i="9"/>
  <c r="I4" i="6"/>
  <c r="F29" i="6"/>
  <c r="G13" i="3"/>
  <c r="Q16" i="1"/>
  <c r="F24" i="43" s="1"/>
  <c r="C26" i="43" s="1"/>
  <c r="D24" i="43" s="1"/>
  <c r="P6" i="1"/>
  <c r="L16" i="4"/>
  <c r="K17" i="4" s="1"/>
  <c r="A22" i="51" s="1"/>
  <c r="B16" i="63" s="1"/>
  <c r="N16" i="4"/>
  <c r="C72" i="39"/>
  <c r="D70" i="39"/>
  <c r="C25" i="12"/>
  <c r="C15" i="43"/>
  <c r="C31" i="43"/>
  <c r="C15" i="12"/>
  <c r="C30" i="44"/>
  <c r="C29" i="12"/>
  <c r="C27" i="43"/>
  <c r="C28" i="15"/>
  <c r="AP16" i="1"/>
  <c r="F22" i="11" s="1"/>
  <c r="G8" i="1"/>
  <c r="G11" i="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C7" i="35"/>
  <c r="C48" i="35" s="1"/>
  <c r="D48" i="35" s="1"/>
  <c r="E48" i="35" s="1"/>
  <c r="F48" i="35" s="1"/>
  <c r="C9" i="40"/>
  <c r="C65" i="40" s="1"/>
  <c r="N67" i="9"/>
  <c r="J52" i="37"/>
  <c r="K52" i="37" s="1"/>
  <c r="L52" i="37" s="1"/>
  <c r="M52" i="37" s="1"/>
  <c r="N52" i="37" s="1"/>
  <c r="O52" i="37" s="1"/>
  <c r="J7" i="37"/>
  <c r="E59" i="34"/>
  <c r="H14" i="66"/>
  <c r="B7" i="66" s="1"/>
  <c r="O40" i="9"/>
  <c r="F9" i="59"/>
  <c r="F8" i="59" s="1"/>
  <c r="F7" i="59" s="1"/>
  <c r="F6" i="59" s="1"/>
  <c r="V10" i="59"/>
  <c r="G48" i="35"/>
  <c r="B9" i="59"/>
  <c r="B8" i="59" s="1"/>
  <c r="B7" i="59" s="1"/>
  <c r="S10" i="59"/>
  <c r="C16" i="46"/>
  <c r="F7" i="33"/>
  <c r="E46" i="36"/>
  <c r="F46" i="36" s="1"/>
  <c r="G46" i="36" s="1"/>
  <c r="H46" i="36" s="1"/>
  <c r="I46" i="36" s="1"/>
  <c r="J46" i="36" s="1"/>
  <c r="K46" i="36" s="1"/>
  <c r="L46" i="36" s="1"/>
  <c r="M46" i="36" s="1"/>
  <c r="N46" i="36" s="1"/>
  <c r="O46" i="36" s="1"/>
  <c r="H7" i="36"/>
  <c r="J7" i="33"/>
  <c r="F58" i="21"/>
  <c r="K33" i="9"/>
  <c r="K34" i="9" s="1"/>
  <c r="I14" i="66"/>
  <c r="B8" i="66" s="1"/>
  <c r="H7" i="33"/>
  <c r="W33" i="36"/>
  <c r="AC33" i="36"/>
  <c r="AA25" i="40"/>
  <c r="S25" i="40"/>
  <c r="U10" i="33"/>
  <c r="AB10" i="33"/>
  <c r="W35" i="33"/>
  <c r="AC35" i="33"/>
  <c r="AC17" i="34"/>
  <c r="W17" i="34"/>
  <c r="AC23" i="39"/>
  <c r="W23" i="39"/>
  <c r="AB15" i="34"/>
  <c r="U15" i="34"/>
  <c r="W13" i="40"/>
  <c r="AC13" i="40"/>
  <c r="AC40" i="40"/>
  <c r="W40" i="40"/>
  <c r="AB47" i="39"/>
  <c r="U47" i="39"/>
  <c r="AC45" i="39"/>
  <c r="W45" i="39"/>
  <c r="AA45" i="39"/>
  <c r="S45" i="39"/>
  <c r="AA15" i="39"/>
  <c r="S15" i="39"/>
  <c r="AB41" i="40"/>
  <c r="U41" i="40"/>
  <c r="U16" i="39"/>
  <c r="AB16" i="39"/>
  <c r="AA14" i="39"/>
  <c r="S14" i="39"/>
  <c r="S41" i="33"/>
  <c r="AA41" i="33"/>
  <c r="AC30" i="40"/>
  <c r="W30" i="40"/>
  <c r="AC29" i="35"/>
  <c r="W29" i="35"/>
  <c r="W44" i="39"/>
  <c r="AC44" i="39"/>
  <c r="AC11" i="35"/>
  <c r="W11" i="35"/>
  <c r="AB40" i="21"/>
  <c r="U40" i="21"/>
  <c r="U37" i="21"/>
  <c r="AB37" i="21"/>
  <c r="AA16" i="35"/>
  <c r="S16" i="35"/>
  <c r="A3" i="55"/>
  <c r="B56" i="63" s="1"/>
  <c r="S32" i="40"/>
  <c r="S41" i="39"/>
  <c r="W41" i="39"/>
  <c r="S17" i="40"/>
  <c r="U33" i="37"/>
  <c r="P10" i="1"/>
  <c r="E69" i="46"/>
  <c r="B67" i="46" s="1"/>
  <c r="AB17" i="40"/>
  <c r="U17" i="40"/>
  <c r="W17" i="40"/>
  <c r="AC37" i="40"/>
  <c r="W37" i="40"/>
  <c r="S42" i="21"/>
  <c r="S14" i="33"/>
  <c r="U35" i="37"/>
  <c r="AC9" i="37"/>
  <c r="AC10" i="37"/>
  <c r="S33" i="36"/>
  <c r="W15" i="34"/>
  <c r="AB11" i="34"/>
  <c r="U11" i="34"/>
  <c r="S43" i="39"/>
  <c r="AA33" i="39"/>
  <c r="AA39" i="39"/>
  <c r="AA15" i="34"/>
  <c r="AB23" i="39"/>
  <c r="U23" i="39"/>
  <c r="U16" i="40"/>
  <c r="AB23" i="35"/>
  <c r="S23" i="39"/>
  <c r="W41" i="40"/>
  <c r="AC34" i="40"/>
  <c r="W34" i="40"/>
  <c r="AC42" i="40"/>
  <c r="W42" i="40"/>
  <c r="U40" i="40"/>
  <c r="AB40" i="40"/>
  <c r="AA47" i="39"/>
  <c r="S47" i="39"/>
  <c r="AA25" i="39"/>
  <c r="S25" i="39"/>
  <c r="AA41" i="40"/>
  <c r="S41" i="40"/>
  <c r="AB15" i="40"/>
  <c r="U15" i="40"/>
  <c r="AB14" i="39"/>
  <c r="U14" i="39"/>
  <c r="AB22" i="35"/>
  <c r="U22" i="35"/>
  <c r="AC34" i="34"/>
  <c r="U8" i="21"/>
  <c r="AA38" i="40"/>
  <c r="S38" i="40"/>
  <c r="AZ495" i="3"/>
  <c r="S29" i="35"/>
  <c r="AA29" i="35"/>
  <c r="AC34" i="39"/>
  <c r="W34" i="39"/>
  <c r="U44" i="39"/>
  <c r="AB44" i="39"/>
  <c r="W21" i="39"/>
  <c r="AC21" i="39"/>
  <c r="H33" i="36"/>
  <c r="W19" i="39"/>
  <c r="AC19" i="39"/>
  <c r="S11" i="34"/>
  <c r="AA11" i="34"/>
  <c r="AC17" i="21"/>
  <c r="W17" i="21"/>
  <c r="S26" i="21"/>
  <c r="W35" i="34"/>
  <c r="AC35" i="34"/>
  <c r="W40" i="34"/>
  <c r="AC40" i="34"/>
  <c r="AC10" i="36"/>
  <c r="AZ299" i="3"/>
  <c r="AZ377" i="3"/>
  <c r="AB10" i="37"/>
  <c r="AB12" i="37"/>
  <c r="U12" i="37"/>
  <c r="S11" i="37"/>
  <c r="AA11" i="37"/>
  <c r="W23" i="37"/>
  <c r="AC23" i="37"/>
  <c r="AZ542" i="3"/>
  <c r="AZ566" i="3"/>
  <c r="AZ551" i="3"/>
  <c r="AC30" i="21"/>
  <c r="W30" i="21"/>
  <c r="W43" i="34"/>
  <c r="S39" i="37"/>
  <c r="AA39" i="37"/>
  <c r="BG5" i="3"/>
  <c r="BA13" i="3"/>
  <c r="F12" i="21"/>
  <c r="J12" i="21"/>
  <c r="F14" i="21"/>
  <c r="H14" i="21"/>
  <c r="J14" i="21"/>
  <c r="H28" i="21"/>
  <c r="F28" i="21"/>
  <c r="J28" i="21"/>
  <c r="J44" i="21"/>
  <c r="H44" i="21"/>
  <c r="F44" i="21"/>
  <c r="H46" i="21"/>
  <c r="J46" i="21"/>
  <c r="F46" i="21"/>
  <c r="AA32" i="35"/>
  <c r="S32" i="35"/>
  <c r="AA34" i="35"/>
  <c r="S34" i="35"/>
  <c r="H13" i="36"/>
  <c r="J13" i="36"/>
  <c r="F13" i="36"/>
  <c r="AA15" i="37"/>
  <c r="S15" i="37"/>
  <c r="U27" i="37"/>
  <c r="AB27" i="37"/>
  <c r="F28" i="37"/>
  <c r="J28" i="37"/>
  <c r="H28" i="37"/>
  <c r="H40" i="37"/>
  <c r="J40" i="37"/>
  <c r="AA40" i="40"/>
  <c r="S40" i="40"/>
  <c r="S13" i="40"/>
  <c r="AA13" i="40"/>
  <c r="C79" i="35"/>
  <c r="F26" i="35" s="1"/>
  <c r="J26" i="35"/>
  <c r="H26" i="35"/>
  <c r="U30" i="36"/>
  <c r="AB30" i="36"/>
  <c r="BA568" i="3"/>
  <c r="AZ568" i="3" s="1"/>
  <c r="BL567" i="3"/>
  <c r="AZ567" i="3" s="1"/>
  <c r="BA554" i="3"/>
  <c r="AZ554" i="3" s="1"/>
  <c r="BL553" i="3"/>
  <c r="AZ553" i="3" s="1"/>
  <c r="BL541" i="3"/>
  <c r="AZ541" i="3" s="1"/>
  <c r="BL540" i="3"/>
  <c r="BA540" i="3"/>
  <c r="BL534" i="3"/>
  <c r="BA534" i="3"/>
  <c r="BL533" i="3"/>
  <c r="BA533" i="3"/>
  <c r="BL532" i="3"/>
  <c r="BL531" i="3"/>
  <c r="BA531" i="3"/>
  <c r="AZ531" i="3" s="1"/>
  <c r="BL527" i="3"/>
  <c r="BA527" i="3"/>
  <c r="AZ527" i="3" s="1"/>
  <c r="BL526" i="3"/>
  <c r="BA526" i="3"/>
  <c r="AZ526" i="3" s="1"/>
  <c r="BL525" i="3"/>
  <c r="BA525" i="3"/>
  <c r="AZ525" i="3" s="1"/>
  <c r="BL519" i="3"/>
  <c r="BA519" i="3"/>
  <c r="AZ519" i="3" s="1"/>
  <c r="BL518" i="3"/>
  <c r="AZ518" i="3" s="1"/>
  <c r="BA517" i="3"/>
  <c r="AZ517" i="3" s="1"/>
  <c r="BL516" i="3"/>
  <c r="BA516" i="3"/>
  <c r="AZ516" i="3" s="1"/>
  <c r="BL510" i="3"/>
  <c r="AZ510" i="3" s="1"/>
  <c r="BL508" i="3"/>
  <c r="BA508" i="3"/>
  <c r="BA507" i="3"/>
  <c r="AZ507" i="3" s="1"/>
  <c r="BL506" i="3"/>
  <c r="AZ506" i="3" s="1"/>
  <c r="BA505" i="3"/>
  <c r="AZ505" i="3" s="1"/>
  <c r="BA504" i="3"/>
  <c r="AZ504" i="3" s="1"/>
  <c r="BA499" i="3"/>
  <c r="AZ499" i="3" s="1"/>
  <c r="BL498" i="3"/>
  <c r="BA498" i="3"/>
  <c r="AZ498" i="3" s="1"/>
  <c r="BL497" i="3"/>
  <c r="AZ497" i="3" s="1"/>
  <c r="BP5" i="3"/>
  <c r="G29" i="6" s="1"/>
  <c r="E29" i="6" s="1"/>
  <c r="BL496" i="3"/>
  <c r="AZ496" i="3" s="1"/>
  <c r="BK5" i="3"/>
  <c r="BI5" i="3"/>
  <c r="BE5" i="3"/>
  <c r="BC5" i="3"/>
  <c r="E5" i="6" s="1"/>
  <c r="D21" i="12" s="1"/>
  <c r="C21" i="12" s="1"/>
  <c r="BL489" i="3"/>
  <c r="AZ489" i="3" s="1"/>
  <c r="BA488" i="3"/>
  <c r="AZ488" i="3" s="1"/>
  <c r="BA487" i="3"/>
  <c r="AZ487" i="3" s="1"/>
  <c r="BL20" i="3"/>
  <c r="AZ20" i="3" s="1"/>
  <c r="BQ5" i="3"/>
  <c r="F28" i="6" s="1"/>
  <c r="BL19" i="3"/>
  <c r="BJ5" i="3"/>
  <c r="BH5" i="3"/>
  <c r="BD5" i="3"/>
  <c r="BA19" i="3"/>
  <c r="AZ19" i="3" s="1"/>
  <c r="G15" i="3"/>
  <c r="AC5" i="3"/>
  <c r="U29" i="39"/>
  <c r="AB29" i="39"/>
  <c r="S44" i="39"/>
  <c r="AA44" i="39"/>
  <c r="AB17" i="21"/>
  <c r="U17" i="21"/>
  <c r="AA12" i="37"/>
  <c r="S12" i="37"/>
  <c r="AC12" i="37"/>
  <c r="W12" i="37"/>
  <c r="W37" i="21"/>
  <c r="AC37" i="21"/>
  <c r="AZ532" i="3"/>
  <c r="AZ509" i="3"/>
  <c r="AB30" i="33"/>
  <c r="U30" i="33"/>
  <c r="AB32" i="36"/>
  <c r="U32" i="36"/>
  <c r="W45" i="33"/>
  <c r="AC45" i="33"/>
  <c r="S33" i="35"/>
  <c r="AA33" i="35"/>
  <c r="AA28" i="33"/>
  <c r="S28" i="33"/>
  <c r="U30" i="21"/>
  <c r="AB30" i="21"/>
  <c r="W28" i="34"/>
  <c r="AC28" i="34"/>
  <c r="AB39" i="37"/>
  <c r="U39" i="37"/>
  <c r="U12" i="21"/>
  <c r="AB12" i="21"/>
  <c r="AC10" i="21"/>
  <c r="W10" i="21"/>
  <c r="AC8" i="21"/>
  <c r="W8" i="21"/>
  <c r="W40" i="21"/>
  <c r="AC40" i="21"/>
  <c r="S36" i="21"/>
  <c r="AA36" i="21"/>
  <c r="BA572" i="3"/>
  <c r="AZ572" i="3" s="1"/>
  <c r="BA571" i="3"/>
  <c r="AZ571" i="3" s="1"/>
  <c r="BL570" i="3"/>
  <c r="AZ570" i="3" s="1"/>
  <c r="B87" i="46"/>
  <c r="C23" i="40"/>
  <c r="AA9" i="33"/>
  <c r="S9" i="33"/>
  <c r="S12" i="33"/>
  <c r="AA12" i="33"/>
  <c r="W12" i="33"/>
  <c r="AC12" i="33"/>
  <c r="AB35" i="33"/>
  <c r="U35" i="33"/>
  <c r="AA38" i="33"/>
  <c r="S38" i="33"/>
  <c r="AC38" i="33"/>
  <c r="W38" i="33"/>
  <c r="AC40" i="33"/>
  <c r="W40" i="33"/>
  <c r="H27" i="33"/>
  <c r="J27" i="33"/>
  <c r="F27" i="33"/>
  <c r="AC26" i="33"/>
  <c r="W26" i="33"/>
  <c r="AC8" i="34"/>
  <c r="W8" i="34"/>
  <c r="AB9" i="34"/>
  <c r="U9" i="34"/>
  <c r="AB10" i="34"/>
  <c r="U10" i="34"/>
  <c r="F31" i="33"/>
  <c r="J31" i="33"/>
  <c r="H31" i="33"/>
  <c r="J25" i="35"/>
  <c r="F25" i="35"/>
  <c r="H25" i="35"/>
  <c r="J35" i="35"/>
  <c r="F35" i="35"/>
  <c r="H35" i="35"/>
  <c r="AC22" i="35"/>
  <c r="W22" i="35"/>
  <c r="U27" i="35"/>
  <c r="AB27" i="35"/>
  <c r="AB31" i="36"/>
  <c r="U31" i="36"/>
  <c r="AB8" i="37"/>
  <c r="U8" i="37"/>
  <c r="W25" i="37"/>
  <c r="AC25" i="37"/>
  <c r="AA26" i="37"/>
  <c r="S26" i="37"/>
  <c r="W30" i="37"/>
  <c r="AC30" i="37"/>
  <c r="H33" i="39"/>
  <c r="J33" i="39"/>
  <c r="AA16" i="40"/>
  <c r="S16" i="40"/>
  <c r="S22" i="31"/>
  <c r="S23" i="37"/>
  <c r="AA23" i="37"/>
  <c r="AZ550" i="3"/>
  <c r="W28" i="33"/>
  <c r="AC28" i="33"/>
  <c r="BT5" i="3"/>
  <c r="G28" i="6" s="1"/>
  <c r="BL13" i="3"/>
  <c r="BF5" i="3"/>
  <c r="AA10" i="21"/>
  <c r="S10" i="21"/>
  <c r="S9" i="21"/>
  <c r="AA9" i="21"/>
  <c r="AB9" i="33"/>
  <c r="U9" i="33"/>
  <c r="AA33" i="33"/>
  <c r="S33" i="33"/>
  <c r="AB38" i="33"/>
  <c r="U38" i="33"/>
  <c r="U8" i="34"/>
  <c r="AB8" i="34"/>
  <c r="F28" i="34"/>
  <c r="H2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AC41" i="33"/>
  <c r="W41" i="33"/>
  <c r="BA569" i="3"/>
  <c r="AZ569" i="3" s="1"/>
  <c r="BL564" i="3"/>
  <c r="AZ564" i="3" s="1"/>
  <c r="BL562" i="3"/>
  <c r="BA562" i="3"/>
  <c r="BA561" i="3"/>
  <c r="AZ561" i="3" s="1"/>
  <c r="BL559" i="3"/>
  <c r="BA559" i="3"/>
  <c r="AZ559" i="3" s="1"/>
  <c r="BA558" i="3"/>
  <c r="AZ558" i="3" s="1"/>
  <c r="BL557" i="3"/>
  <c r="AZ557" i="3" s="1"/>
  <c r="BL555" i="3"/>
  <c r="AZ555" i="3" s="1"/>
  <c r="BL546" i="3"/>
  <c r="AZ546" i="3" s="1"/>
  <c r="BL545" i="3"/>
  <c r="AZ545" i="3" s="1"/>
  <c r="BL544" i="3"/>
  <c r="BA544" i="3"/>
  <c r="BA543" i="3"/>
  <c r="AZ543" i="3" s="1"/>
  <c r="G540" i="3"/>
  <c r="BA536" i="3"/>
  <c r="AZ536" i="3" s="1"/>
  <c r="BA528" i="3"/>
  <c r="AZ528" i="3" s="1"/>
  <c r="BL524" i="3"/>
  <c r="AZ524" i="3" s="1"/>
  <c r="BA521" i="3"/>
  <c r="AZ521" i="3" s="1"/>
  <c r="BA520" i="3"/>
  <c r="AZ520" i="3" s="1"/>
  <c r="G516" i="3"/>
  <c r="BL514" i="3"/>
  <c r="AZ514" i="3" s="1"/>
  <c r="BL511" i="3"/>
  <c r="AZ511" i="3" s="1"/>
  <c r="G504" i="3"/>
  <c r="BL503" i="3"/>
  <c r="AZ503" i="3" s="1"/>
  <c r="G496" i="3"/>
  <c r="BL493" i="3"/>
  <c r="BA493" i="3"/>
  <c r="AZ493" i="3" s="1"/>
  <c r="BL492" i="3"/>
  <c r="BA492" i="3"/>
  <c r="AZ492" i="3" s="1"/>
  <c r="BL491" i="3"/>
  <c r="AZ491" i="3" s="1"/>
  <c r="BL485" i="3"/>
  <c r="AZ485" i="3" s="1"/>
  <c r="BL484" i="3"/>
  <c r="AZ484" i="3" s="1"/>
  <c r="BL482" i="3"/>
  <c r="AZ482" i="3" s="1"/>
  <c r="AZ392" i="3"/>
  <c r="AZ397" i="3"/>
  <c r="AZ408" i="3"/>
  <c r="AZ413" i="3"/>
  <c r="AZ424" i="3"/>
  <c r="AZ437" i="3"/>
  <c r="AZ451" i="3"/>
  <c r="AZ457" i="3"/>
  <c r="AZ470" i="3"/>
  <c r="AZ473" i="3"/>
  <c r="AZ318" i="3"/>
  <c r="AZ334" i="3"/>
  <c r="AZ350" i="3"/>
  <c r="O8" i="1"/>
  <c r="P8" i="1" s="1"/>
  <c r="A30" i="64"/>
  <c r="A30" i="51"/>
  <c r="B22" i="63" s="1"/>
  <c r="AZ387" i="3"/>
  <c r="AZ208" i="3"/>
  <c r="AZ219" i="3"/>
  <c r="AZ224" i="3"/>
  <c r="AZ235" i="3"/>
  <c r="AZ240" i="3"/>
  <c r="AZ251" i="3"/>
  <c r="AZ256" i="3"/>
  <c r="AZ267" i="3"/>
  <c r="AZ279" i="3"/>
  <c r="AZ283" i="3"/>
  <c r="AZ294" i="3"/>
  <c r="AZ156" i="3"/>
  <c r="AZ159" i="3"/>
  <c r="AZ172" i="3"/>
  <c r="AZ175" i="3"/>
  <c r="AZ202" i="3"/>
  <c r="AZ21" i="3"/>
  <c r="AZ28" i="3"/>
  <c r="AZ34" i="3"/>
  <c r="AZ37" i="3"/>
  <c r="AZ53" i="3"/>
  <c r="AZ57" i="3"/>
  <c r="AZ60" i="3"/>
  <c r="AZ62" i="3"/>
  <c r="AZ68" i="3"/>
  <c r="AZ72" i="3"/>
  <c r="AZ75" i="3"/>
  <c r="AZ77" i="3"/>
  <c r="AZ81" i="3"/>
  <c r="AZ88" i="3"/>
  <c r="AZ92" i="3"/>
  <c r="AZ95" i="3"/>
  <c r="AZ97" i="3"/>
  <c r="AZ101" i="3"/>
  <c r="AZ105" i="3"/>
  <c r="D1" i="57"/>
  <c r="E10" i="57" s="1"/>
  <c r="AA21" i="21"/>
  <c r="S21" i="21"/>
  <c r="AA21" i="37"/>
  <c r="S21" i="37"/>
  <c r="AB19" i="59"/>
  <c r="AB14" i="59"/>
  <c r="F20" i="59"/>
  <c r="F21" i="59" s="1"/>
  <c r="F22" i="59" s="1"/>
  <c r="V22" i="59" s="1"/>
  <c r="AB16" i="59"/>
  <c r="Y20" i="59"/>
  <c r="Z20" i="59" s="1"/>
  <c r="Y14" i="59"/>
  <c r="Z14" i="59" s="1"/>
  <c r="X23" i="59"/>
  <c r="B24" i="59"/>
  <c r="B25" i="59" s="1"/>
  <c r="B26" i="59" s="1"/>
  <c r="S26" i="59" s="1"/>
  <c r="AB27" i="59"/>
  <c r="F28" i="59"/>
  <c r="F29" i="59" s="1"/>
  <c r="F30" i="59" s="1"/>
  <c r="V30" i="59" s="1"/>
  <c r="C37" i="59"/>
  <c r="D37" i="59" s="1"/>
  <c r="D36" i="59"/>
  <c r="U18" i="59"/>
  <c r="E17" i="59"/>
  <c r="E16" i="59" s="1"/>
  <c r="N4" i="63"/>
  <c r="B21" i="63"/>
  <c r="AA8" i="59"/>
  <c r="D50" i="59"/>
  <c r="O56" i="59"/>
  <c r="O55" i="59"/>
  <c r="C21" i="59"/>
  <c r="X22" i="59"/>
  <c r="Y23" i="59"/>
  <c r="Z23" i="59" s="1"/>
  <c r="C24" i="59"/>
  <c r="AA26" i="59"/>
  <c r="C29" i="59"/>
  <c r="AA27" i="59"/>
  <c r="E28" i="59"/>
  <c r="E29" i="59" s="1"/>
  <c r="E30" i="59" s="1"/>
  <c r="U30" i="59" s="1"/>
  <c r="AA16" i="59"/>
  <c r="AB3" i="59"/>
  <c r="C69" i="59"/>
  <c r="C61" i="59"/>
  <c r="AA18" i="59"/>
  <c r="AA3" i="59"/>
  <c r="X17" i="59"/>
  <c r="X15" i="59"/>
  <c r="X19" i="59"/>
  <c r="Y19" i="59"/>
  <c r="Z19" i="59" s="1"/>
  <c r="X20" i="59"/>
  <c r="AA20" i="59"/>
  <c r="X21" i="59"/>
  <c r="AA21" i="59"/>
  <c r="AA22" i="59"/>
  <c r="AB23" i="59"/>
  <c r="Y24" i="59"/>
  <c r="Z24" i="59" s="1"/>
  <c r="AB24" i="59"/>
  <c r="AB25" i="59"/>
  <c r="Y26" i="59"/>
  <c r="Z26" i="59" s="1"/>
  <c r="X27" i="59"/>
  <c r="Y27" i="59"/>
  <c r="Z27" i="59" s="1"/>
  <c r="X28" i="59"/>
  <c r="AA28" i="59"/>
  <c r="Q56" i="59"/>
  <c r="Q55" i="59"/>
  <c r="D18" i="59"/>
  <c r="C17" i="59"/>
  <c r="X8" i="59"/>
  <c r="Y8" i="59"/>
  <c r="Z8" i="59" s="1"/>
  <c r="AB8" i="59"/>
  <c r="X6" i="59"/>
  <c r="X7" i="59"/>
  <c r="AA7" i="59"/>
  <c r="S18" i="59"/>
  <c r="B17" i="59"/>
  <c r="B16" i="59" s="1"/>
  <c r="A28" i="64"/>
  <c r="X13" i="59"/>
  <c r="AA13" i="59"/>
  <c r="E14" i="59"/>
  <c r="Y13" i="59"/>
  <c r="Z13" i="59" s="1"/>
  <c r="AB13" i="59"/>
  <c r="X11" i="59"/>
  <c r="C13" i="59"/>
  <c r="T14" i="59"/>
  <c r="V18" i="59"/>
  <c r="K77" i="9"/>
  <c r="K79" i="9" s="1"/>
  <c r="K81" i="9" s="1"/>
  <c r="X14" i="59"/>
  <c r="AA11" i="59"/>
  <c r="AA5" i="59"/>
  <c r="Y7" i="59"/>
  <c r="Z7" i="59" s="1"/>
  <c r="AB7" i="59"/>
  <c r="AB5" i="59"/>
  <c r="B6" i="59"/>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C36" i="44"/>
  <c r="Q73" i="44"/>
  <c r="C6" i="15"/>
  <c r="F65" i="15"/>
  <c r="C29" i="44"/>
  <c r="C8" i="44"/>
  <c r="F68" i="15"/>
  <c r="J1" i="65"/>
  <c r="F67" i="15"/>
  <c r="F50" i="15"/>
  <c r="C27" i="15"/>
  <c r="F64" i="15"/>
  <c r="F62" i="15"/>
  <c r="C61" i="15" s="1"/>
  <c r="C34" i="1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F31" i="15"/>
  <c r="M19" i="44"/>
  <c r="M17" i="15"/>
  <c r="F33" i="44"/>
  <c r="F58" i="15"/>
  <c r="J6" i="65"/>
  <c r="E3" i="65"/>
  <c r="J5" i="65"/>
  <c r="C17" i="15"/>
  <c r="I5" i="65"/>
  <c r="C16" i="15"/>
  <c r="C18" i="44"/>
  <c r="I4" i="65"/>
  <c r="P7" i="1" l="1"/>
  <c r="G16" i="1"/>
  <c r="J12" i="39" s="1"/>
  <c r="H16" i="1"/>
  <c r="I1" i="65"/>
  <c r="G30" i="6"/>
  <c r="G31" i="6" s="1"/>
  <c r="K15" i="1"/>
  <c r="L19" i="6"/>
  <c r="L27" i="6" s="1"/>
  <c r="E8" i="6"/>
  <c r="D12" i="11"/>
  <c r="C12" i="11" s="1"/>
  <c r="F33" i="12"/>
  <c r="C34" i="12" s="1"/>
  <c r="D33" i="12" s="1"/>
  <c r="F18" i="11"/>
  <c r="C18" i="11" s="1"/>
  <c r="E15" i="6"/>
  <c r="E67" i="39" s="1"/>
  <c r="H12" i="39"/>
  <c r="F12" i="40"/>
  <c r="S12" i="40" s="1"/>
  <c r="H12" i="40"/>
  <c r="AB12" i="40" s="1"/>
  <c r="D65" i="40"/>
  <c r="C67" i="40"/>
  <c r="J7" i="36"/>
  <c r="F7" i="36"/>
  <c r="S7" i="36" s="1"/>
  <c r="H7" i="37"/>
  <c r="F7" i="37"/>
  <c r="S7" i="37" s="1"/>
  <c r="E70" i="39"/>
  <c r="D72" i="39"/>
  <c r="E20" i="46"/>
  <c r="P28" i="46" s="1"/>
  <c r="E62" i="40"/>
  <c r="C12" i="59"/>
  <c r="D13" i="59"/>
  <c r="U14" i="59"/>
  <c r="E13" i="59"/>
  <c r="E12" i="59" s="1"/>
  <c r="E11" i="59" s="1"/>
  <c r="E10" i="59" s="1"/>
  <c r="D17" i="59"/>
  <c r="C16" i="59"/>
  <c r="D16" i="59" s="1"/>
  <c r="D61" i="59"/>
  <c r="C60" i="59"/>
  <c r="D60" i="59" s="1"/>
  <c r="C30" i="59"/>
  <c r="D29" i="59"/>
  <c r="D24" i="59"/>
  <c r="C25" i="59"/>
  <c r="AA14" i="37"/>
  <c r="S14" i="37"/>
  <c r="S34" i="36"/>
  <c r="AA34" i="36"/>
  <c r="AB34" i="36"/>
  <c r="U34" i="36"/>
  <c r="U24" i="36"/>
  <c r="AB24" i="36"/>
  <c r="AA9" i="36"/>
  <c r="S9" i="36"/>
  <c r="AC9" i="36"/>
  <c r="W9" i="36"/>
  <c r="W13" i="35"/>
  <c r="AC13" i="35"/>
  <c r="AB28" i="34"/>
  <c r="U28" i="34"/>
  <c r="W33" i="39"/>
  <c r="AC33" i="39"/>
  <c r="U35" i="35"/>
  <c r="AB35" i="35"/>
  <c r="AC35" i="35"/>
  <c r="W35" i="35"/>
  <c r="AA25" i="35"/>
  <c r="S25" i="35"/>
  <c r="AB31" i="33"/>
  <c r="U31" i="33"/>
  <c r="S31" i="33"/>
  <c r="AA31" i="33"/>
  <c r="W27" i="33"/>
  <c r="AC27" i="33"/>
  <c r="F30" i="6"/>
  <c r="E28" i="6"/>
  <c r="U26" i="35"/>
  <c r="AB26" i="35"/>
  <c r="AA26" i="35"/>
  <c r="S26" i="35"/>
  <c r="U40" i="37"/>
  <c r="AB40" i="37"/>
  <c r="AC28" i="37"/>
  <c r="W28" i="37"/>
  <c r="S13" i="36"/>
  <c r="AA13" i="36"/>
  <c r="U13" i="36"/>
  <c r="AB13" i="36"/>
  <c r="W46" i="21"/>
  <c r="AC46" i="21"/>
  <c r="AA44" i="21"/>
  <c r="S44" i="21"/>
  <c r="AC44" i="21"/>
  <c r="W44" i="21"/>
  <c r="AA28" i="21"/>
  <c r="S28" i="21"/>
  <c r="W14" i="21"/>
  <c r="AC14" i="21"/>
  <c r="AA14" i="21"/>
  <c r="S14" i="21"/>
  <c r="AA12" i="21"/>
  <c r="S12" i="21"/>
  <c r="G58" i="21"/>
  <c r="E14" i="6"/>
  <c r="AC7" i="36"/>
  <c r="V36" i="36" s="1"/>
  <c r="I36" i="36" s="1"/>
  <c r="W7" i="36"/>
  <c r="AA7" i="36"/>
  <c r="R36" i="36" s="1"/>
  <c r="S7" i="33"/>
  <c r="AA7" i="33"/>
  <c r="R48" i="33" s="1"/>
  <c r="H48" i="35"/>
  <c r="U7" i="37"/>
  <c r="AB7" i="37"/>
  <c r="T42" i="37" s="1"/>
  <c r="G42" i="37" s="1"/>
  <c r="E11" i="6"/>
  <c r="K31" i="9"/>
  <c r="K32" i="9" s="1"/>
  <c r="R7" i="54"/>
  <c r="B52" i="63" s="1"/>
  <c r="AC7" i="37"/>
  <c r="V42" i="37" s="1"/>
  <c r="I42" i="37" s="1"/>
  <c r="W7" i="37"/>
  <c r="C19" i="46"/>
  <c r="T8" i="46" s="1"/>
  <c r="V8" i="46" s="1"/>
  <c r="B5" i="59"/>
  <c r="S6" i="59"/>
  <c r="C68" i="59"/>
  <c r="D68" i="59" s="1"/>
  <c r="D69" i="59"/>
  <c r="C22" i="59"/>
  <c r="D21" i="59"/>
  <c r="AZ544" i="3"/>
  <c r="AZ562" i="3"/>
  <c r="W14" i="37"/>
  <c r="AC14" i="37"/>
  <c r="U14" i="37"/>
  <c r="AB14" i="37"/>
  <c r="AC34" i="36"/>
  <c r="W34" i="36"/>
  <c r="AA24" i="36"/>
  <c r="S24" i="36"/>
  <c r="AC24" i="36"/>
  <c r="W24" i="36"/>
  <c r="U9" i="36"/>
  <c r="AB9" i="36"/>
  <c r="AB13" i="35"/>
  <c r="U13" i="35"/>
  <c r="S13" i="35"/>
  <c r="AA13" i="35"/>
  <c r="AA28" i="34"/>
  <c r="S28" i="34"/>
  <c r="BL5" i="3"/>
  <c r="R22" i="31"/>
  <c r="B21" i="31" s="1"/>
  <c r="B20" i="31"/>
  <c r="U33" i="39"/>
  <c r="AB33" i="39"/>
  <c r="AA35" i="35"/>
  <c r="S35" i="35"/>
  <c r="AB25" i="35"/>
  <c r="U25" i="35"/>
  <c r="W25" i="35"/>
  <c r="AC25" i="35"/>
  <c r="W31" i="33"/>
  <c r="AC31" i="33"/>
  <c r="S27" i="33"/>
  <c r="AA27" i="33"/>
  <c r="AB27" i="33"/>
  <c r="U27" i="33"/>
  <c r="G5" i="3"/>
  <c r="B3" i="3" s="1"/>
  <c r="E13" i="6"/>
  <c r="AZ508" i="3"/>
  <c r="AZ533" i="3"/>
  <c r="AZ534" i="3"/>
  <c r="AZ540" i="3"/>
  <c r="W26" i="35"/>
  <c r="AC26" i="35"/>
  <c r="AC40" i="37"/>
  <c r="W40" i="37"/>
  <c r="AB28" i="37"/>
  <c r="U28" i="37"/>
  <c r="AA28" i="37"/>
  <c r="S28" i="37"/>
  <c r="AC13" i="36"/>
  <c r="W13" i="36"/>
  <c r="S46" i="21"/>
  <c r="AA46" i="21"/>
  <c r="AB46" i="21"/>
  <c r="U46" i="21"/>
  <c r="AB44" i="21"/>
  <c r="U44" i="21"/>
  <c r="AC28" i="21"/>
  <c r="W28" i="21"/>
  <c r="AB28" i="21"/>
  <c r="U28" i="21"/>
  <c r="U14" i="21"/>
  <c r="AB14" i="21"/>
  <c r="AC12" i="21"/>
  <c r="W12" i="21"/>
  <c r="BA5" i="3"/>
  <c r="AZ13" i="3"/>
  <c r="U33" i="36"/>
  <c r="AB33" i="36"/>
  <c r="U7" i="33"/>
  <c r="AB7" i="33"/>
  <c r="T48" i="33" s="1"/>
  <c r="G48" i="33" s="1"/>
  <c r="AC7" i="33"/>
  <c r="V48" i="33" s="1"/>
  <c r="I48" i="33" s="1"/>
  <c r="W7" i="33"/>
  <c r="E10" i="6"/>
  <c r="AB7" i="36"/>
  <c r="T36" i="36" s="1"/>
  <c r="G36" i="36" s="1"/>
  <c r="U7" i="36"/>
  <c r="C5" i="46"/>
  <c r="D5" i="46"/>
  <c r="F5" i="59"/>
  <c r="V6" i="59"/>
  <c r="E12" i="6"/>
  <c r="F59" i="34"/>
  <c r="AA7" i="37"/>
  <c r="R42" i="37" s="1"/>
  <c r="T12" i="46"/>
  <c r="V12" i="46" s="1"/>
  <c r="T15" i="46"/>
  <c r="V15" i="46" s="1"/>
  <c r="C36" i="46"/>
  <c r="T14" i="46"/>
  <c r="V14" i="46" s="1"/>
  <c r="T9" i="46"/>
  <c r="V9" i="46" s="1"/>
  <c r="F17" i="11"/>
  <c r="C17" i="11" s="1"/>
  <c r="L47" i="44"/>
  <c r="Q62" i="15"/>
  <c r="Q75" i="15"/>
  <c r="M13" i="44"/>
  <c r="J12" i="44" s="1"/>
  <c r="J7" i="44" s="1"/>
  <c r="F11" i="15"/>
  <c r="M11" i="15"/>
  <c r="J10" i="15" s="1"/>
  <c r="F13" i="44"/>
  <c r="C12" i="44" s="1"/>
  <c r="C7" i="44" s="1"/>
  <c r="Q75" i="44"/>
  <c r="Q62" i="44"/>
  <c r="C48" i="15"/>
  <c r="C32" i="15"/>
  <c r="F1" i="44"/>
  <c r="Q54" i="44"/>
  <c r="J20" i="44"/>
  <c r="Q63" i="44"/>
  <c r="Q76" i="44"/>
  <c r="C34" i="44"/>
  <c r="F1" i="15"/>
  <c r="Q53" i="15"/>
  <c r="Q61" i="15"/>
  <c r="Q74" i="15"/>
  <c r="J6" i="15"/>
  <c r="E2" i="65"/>
  <c r="F12" i="39" l="1"/>
  <c r="AA12" i="39" s="1"/>
  <c r="J12" i="40"/>
  <c r="W12" i="40" s="1"/>
  <c r="B40" i="1"/>
  <c r="F21" i="43" s="1"/>
  <c r="C23" i="43" s="1"/>
  <c r="D21" i="43" s="1"/>
  <c r="C19" i="11"/>
  <c r="C20" i="11" s="1"/>
  <c r="C21" i="11" s="1"/>
  <c r="C22" i="11" s="1"/>
  <c r="C23" i="11" s="1"/>
  <c r="B2" i="11" s="1"/>
  <c r="U12" i="40"/>
  <c r="AA12" i="40"/>
  <c r="M28" i="46"/>
  <c r="E58" i="39"/>
  <c r="E53" i="40"/>
  <c r="F27" i="6"/>
  <c r="F31" i="6" s="1"/>
  <c r="E16" i="6"/>
  <c r="S12" i="39"/>
  <c r="AB12" i="39"/>
  <c r="U12" i="39"/>
  <c r="T13" i="46"/>
  <c r="V13" i="46" s="1"/>
  <c r="T11" i="46"/>
  <c r="V11" i="46" s="1"/>
  <c r="C38" i="46"/>
  <c r="G38" i="46" s="1"/>
  <c r="I38" i="46" s="1"/>
  <c r="C33" i="46"/>
  <c r="E33" i="46" s="1"/>
  <c r="T16" i="46"/>
  <c r="V16" i="46" s="1"/>
  <c r="T10" i="46"/>
  <c r="V10" i="46" s="1"/>
  <c r="C34" i="46"/>
  <c r="E34" i="46" s="1"/>
  <c r="E72" i="39"/>
  <c r="F70" i="39"/>
  <c r="D67" i="40"/>
  <c r="E65" i="40"/>
  <c r="W12" i="39"/>
  <c r="AC12" i="39"/>
  <c r="O28" i="46"/>
  <c r="N28" i="46"/>
  <c r="E561" i="3"/>
  <c r="E395" i="3"/>
  <c r="E418" i="3"/>
  <c r="E464" i="3"/>
  <c r="E157" i="3"/>
  <c r="E414" i="3"/>
  <c r="E44"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42" i="3"/>
  <c r="E431" i="3"/>
  <c r="E462" i="3"/>
  <c r="E110" i="3"/>
  <c r="E47" i="3"/>
  <c r="E63" i="3"/>
  <c r="E545" i="3"/>
  <c r="E174" i="3"/>
  <c r="E184" i="3"/>
  <c r="E129" i="3"/>
  <c r="E482" i="3"/>
  <c r="E98" i="3"/>
  <c r="E473" i="3"/>
  <c r="E422" i="3"/>
  <c r="N6" i="3"/>
  <c r="E398" i="3"/>
  <c r="E232" i="3"/>
  <c r="E533" i="3"/>
  <c r="E189" i="3"/>
  <c r="E37" i="3"/>
  <c r="E507" i="3"/>
  <c r="E303" i="3"/>
  <c r="E275" i="3"/>
  <c r="L6" i="3"/>
  <c r="E39" i="3"/>
  <c r="E402" i="3"/>
  <c r="E67" i="3"/>
  <c r="E116" i="3"/>
  <c r="E214" i="3"/>
  <c r="E372" i="3"/>
  <c r="E486" i="3"/>
  <c r="E417" i="3"/>
  <c r="E88" i="3"/>
  <c r="E145" i="3"/>
  <c r="E480" i="3"/>
  <c r="E279" i="3"/>
  <c r="E220" i="3"/>
  <c r="E347" i="3"/>
  <c r="E517"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566" i="3"/>
  <c r="E350"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250" i="3"/>
  <c r="AN6" i="3"/>
  <c r="E41" i="3"/>
  <c r="E280" i="3"/>
  <c r="E471" i="3"/>
  <c r="E59" i="3"/>
  <c r="E270" i="3"/>
  <c r="E408" i="3"/>
  <c r="E92" i="3"/>
  <c r="E238" i="3"/>
  <c r="E209" i="3"/>
  <c r="E161" i="3"/>
  <c r="E450" i="3"/>
  <c r="E410" i="3"/>
  <c r="E468" i="3"/>
  <c r="E70" i="3"/>
  <c r="E109" i="3"/>
  <c r="E38" i="3"/>
  <c r="E185" i="3"/>
  <c r="E151" i="3"/>
  <c r="E148" i="3"/>
  <c r="E313" i="3"/>
  <c r="E27" i="3"/>
  <c r="E53" i="3"/>
  <c r="E412" i="3"/>
  <c r="E405" i="3"/>
  <c r="E469" i="3"/>
  <c r="W6" i="3"/>
  <c r="E293" i="3"/>
  <c r="E190" i="3"/>
  <c r="E560" i="3"/>
  <c r="E420" i="3"/>
  <c r="E111" i="3"/>
  <c r="E233" i="3"/>
  <c r="E261" i="3"/>
  <c r="E203" i="3"/>
  <c r="E467" i="3"/>
  <c r="E429" i="3"/>
  <c r="E107" i="3"/>
  <c r="E172" i="3"/>
  <c r="E288" i="3"/>
  <c r="E255" i="3"/>
  <c r="E393" i="3"/>
  <c r="E465" i="3"/>
  <c r="E543" i="3"/>
  <c r="E154" i="3"/>
  <c r="E264" i="3"/>
  <c r="E243" i="3"/>
  <c r="E369" i="3"/>
  <c r="E309" i="3"/>
  <c r="V6"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27" i="3"/>
  <c r="E311" i="3"/>
  <c r="E263" i="3"/>
  <c r="E424" i="3"/>
  <c r="E430" i="3"/>
  <c r="E146" i="3"/>
  <c r="E77" i="3"/>
  <c r="E434" i="3"/>
  <c r="E552" i="3"/>
  <c r="E57" i="3"/>
  <c r="E413" i="3"/>
  <c r="M6" i="3"/>
  <c r="E241" i="3"/>
  <c r="E69" i="3"/>
  <c r="E446" i="3"/>
  <c r="E152" i="3"/>
  <c r="E437" i="3"/>
  <c r="E46" i="3"/>
  <c r="E221" i="3"/>
  <c r="E457" i="3"/>
  <c r="E31" i="3"/>
  <c r="X6" i="3"/>
  <c r="AA6" i="3"/>
  <c r="AD6" i="3"/>
  <c r="E222" i="3"/>
  <c r="E388" i="3"/>
  <c r="E82" i="3"/>
  <c r="E164" i="3"/>
  <c r="E99" i="3"/>
  <c r="E262" i="3"/>
  <c r="E101"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74" i="3"/>
  <c r="E340" i="3"/>
  <c r="E362" i="3"/>
  <c r="E571" i="3"/>
  <c r="E13" i="3"/>
  <c r="E380" i="3"/>
  <c r="E373" i="3"/>
  <c r="E515" i="3"/>
  <c r="E540" i="3"/>
  <c r="I46" i="37"/>
  <c r="J46" i="37" s="1"/>
  <c r="G47" i="37"/>
  <c r="H47" i="37" s="1"/>
  <c r="G46" i="37"/>
  <c r="H46" i="37" s="1"/>
  <c r="R49" i="33"/>
  <c r="E48" i="33"/>
  <c r="E66" i="39"/>
  <c r="E61" i="40"/>
  <c r="H58" i="21"/>
  <c r="I58" i="21" s="1"/>
  <c r="J58" i="21" s="1"/>
  <c r="K58" i="21" s="1"/>
  <c r="L58" i="21" s="1"/>
  <c r="M58" i="21" s="1"/>
  <c r="N58" i="21" s="1"/>
  <c r="O58" i="21" s="1"/>
  <c r="H7" i="21"/>
  <c r="J7" i="21"/>
  <c r="E504" i="3"/>
  <c r="C26" i="59"/>
  <c r="D25" i="59"/>
  <c r="E9" i="59"/>
  <c r="E8" i="59" s="1"/>
  <c r="E7" i="59" s="1"/>
  <c r="E6" i="59" s="1"/>
  <c r="U10" i="59"/>
  <c r="R43" i="37"/>
  <c r="E42" i="37"/>
  <c r="G59" i="34"/>
  <c r="H59" i="34" s="1"/>
  <c r="I59" i="34" s="1"/>
  <c r="J59" i="34" s="1"/>
  <c r="K59" i="34" s="1"/>
  <c r="L59" i="34" s="1"/>
  <c r="M59" i="34" s="1"/>
  <c r="N59" i="34" s="1"/>
  <c r="O59" i="34" s="1"/>
  <c r="H7" i="34" s="1"/>
  <c r="J7" i="34"/>
  <c r="C39" i="46"/>
  <c r="E39" i="46" s="1"/>
  <c r="C35" i="46"/>
  <c r="E35" i="46" s="1"/>
  <c r="C37" i="46"/>
  <c r="E37" i="46" s="1"/>
  <c r="F7" i="34"/>
  <c r="E59" i="40"/>
  <c r="E64" i="39"/>
  <c r="G41" i="36"/>
  <c r="H41" i="36" s="1"/>
  <c r="G40" i="36"/>
  <c r="H40" i="36" s="1"/>
  <c r="I52" i="33"/>
  <c r="J52" i="33" s="1"/>
  <c r="I53" i="33"/>
  <c r="J53" i="33" s="1"/>
  <c r="G53" i="33"/>
  <c r="H53" i="33" s="1"/>
  <c r="G52" i="33"/>
  <c r="H52" i="33" s="1"/>
  <c r="AZ5" i="3"/>
  <c r="E65" i="39"/>
  <c r="E60" i="40"/>
  <c r="E516" i="3"/>
  <c r="T22" i="59"/>
  <c r="D22" i="59"/>
  <c r="E58" i="40"/>
  <c r="E63" i="39"/>
  <c r="I48" i="35"/>
  <c r="R37" i="36"/>
  <c r="E36" i="36"/>
  <c r="I40" i="36"/>
  <c r="J40" i="36" s="1"/>
  <c r="I41" i="36"/>
  <c r="J41" i="36" s="1"/>
  <c r="F7" i="21"/>
  <c r="K14" i="1"/>
  <c r="E30" i="6"/>
  <c r="E15" i="3"/>
  <c r="E496" i="3"/>
  <c r="T30" i="59"/>
  <c r="D30" i="59"/>
  <c r="D12" i="59"/>
  <c r="C11" i="59"/>
  <c r="G36" i="46"/>
  <c r="I36" i="46" s="1"/>
  <c r="E36" i="46"/>
  <c r="G39" i="46"/>
  <c r="I39" i="46" s="1"/>
  <c r="E38" i="46"/>
  <c r="J18" i="15"/>
  <c r="J5" i="15"/>
  <c r="C40" i="44"/>
  <c r="J28" i="44"/>
  <c r="J31" i="44" s="1"/>
  <c r="J26" i="44"/>
  <c r="C52" i="15"/>
  <c r="C47" i="15" s="1"/>
  <c r="C10" i="15"/>
  <c r="C5" i="15" s="1"/>
  <c r="AC12" i="40" l="1"/>
  <c r="F26" i="44"/>
  <c r="C26" i="44" s="1"/>
  <c r="F24" i="15"/>
  <c r="C24" i="15" s="1"/>
  <c r="F26" i="12"/>
  <c r="C27" i="12" s="1"/>
  <c r="D26" i="12" s="1"/>
  <c r="C32" i="12" s="1"/>
  <c r="D30" i="12" s="1"/>
  <c r="G33" i="46"/>
  <c r="I33" i="46" s="1"/>
  <c r="E27" i="6"/>
  <c r="H6" i="3"/>
  <c r="AC6" i="3"/>
  <c r="G34" i="46"/>
  <c r="I34" i="46" s="1"/>
  <c r="G35" i="46"/>
  <c r="I35" i="46" s="1"/>
  <c r="G37" i="46"/>
  <c r="I37" i="46" s="1"/>
  <c r="F65" i="40"/>
  <c r="E67" i="40"/>
  <c r="F72" i="39"/>
  <c r="G70" i="39"/>
  <c r="U7" i="34"/>
  <c r="AB7" i="34"/>
  <c r="T49" i="34" s="1"/>
  <c r="G49" i="34" s="1"/>
  <c r="C10" i="59"/>
  <c r="D11" i="59"/>
  <c r="M14" i="1"/>
  <c r="K16" i="1"/>
  <c r="S7" i="21"/>
  <c r="AA7" i="21"/>
  <c r="R48" i="21" s="1"/>
  <c r="C37" i="36"/>
  <c r="B3" i="36" s="1"/>
  <c r="B2" i="36" s="1"/>
  <c r="C36" i="36"/>
  <c r="C42" i="37"/>
  <c r="C43" i="37"/>
  <c r="B3" i="37" s="1"/>
  <c r="B2" i="37" s="1"/>
  <c r="E5" i="59"/>
  <c r="U6" i="59"/>
  <c r="T26" i="59"/>
  <c r="D26" i="59"/>
  <c r="AC7" i="21"/>
  <c r="V48" i="21" s="1"/>
  <c r="I48" i="21" s="1"/>
  <c r="W7" i="21"/>
  <c r="C48" i="33"/>
  <c r="C49" i="33"/>
  <c r="B3" i="33" s="1"/>
  <c r="B2" i="33" s="1"/>
  <c r="E41" i="36"/>
  <c r="F41" i="36" s="1"/>
  <c r="E40" i="36"/>
  <c r="F40" i="36" s="1"/>
  <c r="J48" i="35"/>
  <c r="E3" i="6"/>
  <c r="AY6" i="3"/>
  <c r="AA7" i="34"/>
  <c r="R49" i="34" s="1"/>
  <c r="S7" i="34"/>
  <c r="AC7" i="34"/>
  <c r="V49" i="34" s="1"/>
  <c r="I49" i="34" s="1"/>
  <c r="W7" i="34"/>
  <c r="E46" i="37"/>
  <c r="F46" i="37" s="1"/>
  <c r="E47" i="37"/>
  <c r="F47" i="37" s="1"/>
  <c r="AB7" i="21"/>
  <c r="T48" i="21" s="1"/>
  <c r="G48" i="21" s="1"/>
  <c r="U7" i="21"/>
  <c r="E52" i="33"/>
  <c r="F52" i="33" s="1"/>
  <c r="E53" i="33"/>
  <c r="F53" i="33" s="1"/>
  <c r="I47" i="37"/>
  <c r="J47" i="37" s="1"/>
  <c r="E6" i="3"/>
  <c r="C65" i="15"/>
  <c r="C59" i="15"/>
  <c r="B3" i="11"/>
  <c r="J26" i="15"/>
  <c r="J29" i="15" s="1"/>
  <c r="J24" i="15"/>
  <c r="C38" i="15"/>
  <c r="Q58" i="44"/>
  <c r="Q67" i="44"/>
  <c r="Q49" i="44"/>
  <c r="Q55" i="44" s="1"/>
  <c r="K20" i="6" l="1"/>
  <c r="K19" i="6"/>
  <c r="S6" i="1" s="1"/>
  <c r="K25" i="6"/>
  <c r="M25" i="6" s="1"/>
  <c r="I25" i="6" s="1"/>
  <c r="S25" i="6" s="1"/>
  <c r="K26" i="6"/>
  <c r="M26" i="6" s="1"/>
  <c r="I26" i="6" s="1"/>
  <c r="S26" i="6" s="1"/>
  <c r="K22" i="6"/>
  <c r="M22" i="6" s="1"/>
  <c r="I22" i="6" s="1"/>
  <c r="S22" i="6" s="1"/>
  <c r="K23" i="6"/>
  <c r="M23" i="6" s="1"/>
  <c r="I23" i="6" s="1"/>
  <c r="S23" i="6" s="1"/>
  <c r="K21" i="6"/>
  <c r="K24" i="6"/>
  <c r="M24" i="6" s="1"/>
  <c r="I24" i="6" s="1"/>
  <c r="S24" i="6" s="1"/>
  <c r="E31" i="6"/>
  <c r="G72" i="39"/>
  <c r="H70" i="39"/>
  <c r="F67" i="40"/>
  <c r="G65"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71"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I52" i="21"/>
  <c r="J52" i="21" s="1"/>
  <c r="O14" i="1"/>
  <c r="O16" i="1" s="1"/>
  <c r="M16" i="1"/>
  <c r="C9" i="59"/>
  <c r="T10" i="59"/>
  <c r="D10" i="59"/>
  <c r="G52" i="21"/>
  <c r="H52" i="21" s="1"/>
  <c r="G53" i="21"/>
  <c r="H53" i="21" s="1"/>
  <c r="I53" i="34"/>
  <c r="J53" i="34" s="1"/>
  <c r="R50" i="34"/>
  <c r="E49" i="34"/>
  <c r="D16" i="12"/>
  <c r="D44" i="9"/>
  <c r="C21" i="4"/>
  <c r="O5" i="54" s="1"/>
  <c r="B45" i="63" s="1"/>
  <c r="D16" i="43"/>
  <c r="C16" i="43" s="1"/>
  <c r="E6" i="6"/>
  <c r="D10" i="11"/>
  <c r="L38" i="9"/>
  <c r="B14" i="66" s="1"/>
  <c r="B1" i="66" s="1"/>
  <c r="D45" i="9"/>
  <c r="D46" i="9"/>
  <c r="K48" i="35"/>
  <c r="E48" i="21"/>
  <c r="R49" i="21"/>
  <c r="G54" i="34"/>
  <c r="H54" i="34" s="1"/>
  <c r="G53" i="34"/>
  <c r="H53" i="34" s="1"/>
  <c r="M21" i="6" l="1"/>
  <c r="I21" i="6" s="1"/>
  <c r="S21" i="6" s="1"/>
  <c r="S8" i="1"/>
  <c r="M20" i="6"/>
  <c r="I20" i="6" s="1"/>
  <c r="S20" i="6" s="1"/>
  <c r="S7" i="1"/>
  <c r="M19" i="6"/>
  <c r="K27" i="6"/>
  <c r="G67" i="40"/>
  <c r="H65" i="40"/>
  <c r="I70" i="39"/>
  <c r="H72" i="39"/>
  <c r="E53" i="21"/>
  <c r="F53" i="21" s="1"/>
  <c r="E52" i="21"/>
  <c r="F52" i="21" s="1"/>
  <c r="L48" i="35"/>
  <c r="E54" i="34"/>
  <c r="F54" i="34" s="1"/>
  <c r="E53" i="34"/>
  <c r="F53" i="34" s="1"/>
  <c r="C13" i="43"/>
  <c r="L16" i="1"/>
  <c r="N16" i="1"/>
  <c r="C29" i="43" s="1"/>
  <c r="P14" i="1"/>
  <c r="P16" i="1" s="1"/>
  <c r="C13" i="12" s="1"/>
  <c r="C22" i="4"/>
  <c r="D21" i="6"/>
  <c r="D10" i="6"/>
  <c r="H21" i="6"/>
  <c r="D6" i="6"/>
  <c r="D14" i="6"/>
  <c r="D20" i="6"/>
  <c r="H23" i="6"/>
  <c r="E68" i="39"/>
  <c r="D24" i="6"/>
  <c r="D11" i="6"/>
  <c r="H20" i="6"/>
  <c r="D9" i="6"/>
  <c r="D29" i="6"/>
  <c r="D15" i="6"/>
  <c r="E44" i="9"/>
  <c r="D19" i="6"/>
  <c r="D13" i="6"/>
  <c r="D23" i="6"/>
  <c r="D8" i="6"/>
  <c r="F44" i="9"/>
  <c r="D22" i="6"/>
  <c r="H25" i="6"/>
  <c r="H22" i="6"/>
  <c r="F46" i="9"/>
  <c r="E63" i="40"/>
  <c r="D25" i="6"/>
  <c r="R25" i="6" s="1"/>
  <c r="H24" i="6"/>
  <c r="D28" i="6"/>
  <c r="E45" i="9"/>
  <c r="D26" i="6"/>
  <c r="D12" i="6"/>
  <c r="D5" i="6"/>
  <c r="H26" i="6"/>
  <c r="K38" i="9"/>
  <c r="C14" i="66" s="1"/>
  <c r="F45" i="9"/>
  <c r="E46" i="9"/>
  <c r="B5" i="11"/>
  <c r="B4" i="11"/>
  <c r="C49" i="21"/>
  <c r="B3" i="21" s="1"/>
  <c r="B2" i="21" s="1"/>
  <c r="C48" i="21"/>
  <c r="C6" i="66"/>
  <c r="C8" i="66"/>
  <c r="C7" i="66"/>
  <c r="D22" i="12"/>
  <c r="C22" i="12" s="1"/>
  <c r="C20" i="12" s="1"/>
  <c r="D13" i="11"/>
  <c r="C13" i="11" s="1"/>
  <c r="D19" i="12"/>
  <c r="C19" i="12" s="1"/>
  <c r="C16" i="12"/>
  <c r="C50" i="34"/>
  <c r="B3" i="34" s="1"/>
  <c r="B2" i="34" s="1"/>
  <c r="C49" i="34"/>
  <c r="I54" i="34"/>
  <c r="J54" i="34" s="1"/>
  <c r="C8" i="59"/>
  <c r="D9" i="59"/>
  <c r="I53" i="21"/>
  <c r="J53" i="21" s="1"/>
  <c r="S16" i="1" l="1"/>
  <c r="D30" i="6"/>
  <c r="M27" i="6"/>
  <c r="I19" i="6"/>
  <c r="D16" i="6"/>
  <c r="I65" i="40"/>
  <c r="H67" i="40"/>
  <c r="I72" i="39"/>
  <c r="J70" i="39"/>
  <c r="R22" i="6"/>
  <c r="R24" i="6"/>
  <c r="R21" i="6"/>
  <c r="R8" i="1" s="1"/>
  <c r="C17" i="12"/>
  <c r="C14" i="12"/>
  <c r="C7" i="59"/>
  <c r="D8" i="59"/>
  <c r="B2" i="66"/>
  <c r="R26" i="6"/>
  <c r="R23" i="6"/>
  <c r="D27" i="6"/>
  <c r="D31" i="6" s="1"/>
  <c r="R20" i="6"/>
  <c r="R7" i="1" s="1"/>
  <c r="A20" i="64"/>
  <c r="A6" i="64"/>
  <c r="N5" i="54"/>
  <c r="B43" i="63" s="1"/>
  <c r="A6" i="51"/>
  <c r="B7" i="63" s="1"/>
  <c r="A20" i="51"/>
  <c r="B15" i="63" s="1"/>
  <c r="C14" i="43"/>
  <c r="C17" i="43"/>
  <c r="M48" i="35"/>
  <c r="T11" i="1" l="1"/>
  <c r="T8" i="1"/>
  <c r="T13" i="1"/>
  <c r="T10" i="1"/>
  <c r="T9" i="1"/>
  <c r="T12" i="1"/>
  <c r="T6" i="1"/>
  <c r="T7" i="1"/>
  <c r="S19" i="6"/>
  <c r="S27" i="6" s="1"/>
  <c r="H19" i="6"/>
  <c r="I27" i="6"/>
  <c r="K70" i="39"/>
  <c r="J72" i="39"/>
  <c r="I67" i="40"/>
  <c r="J65" i="40"/>
  <c r="C18" i="43"/>
  <c r="I6" i="6"/>
  <c r="I7" i="6" s="1"/>
  <c r="I5" i="6"/>
  <c r="N48" i="35"/>
  <c r="D6" i="66"/>
  <c r="D8" i="66"/>
  <c r="D7" i="66"/>
  <c r="C6" i="59"/>
  <c r="D7" i="59"/>
  <c r="C18" i="12"/>
  <c r="C16" i="44"/>
  <c r="C14" i="15"/>
  <c r="C13" i="39" l="1"/>
  <c r="G3" i="46"/>
  <c r="T16" i="1"/>
  <c r="C20" i="44"/>
  <c r="C17" i="44"/>
  <c r="C15" i="15"/>
  <c r="C18" i="15"/>
  <c r="H27" i="6"/>
  <c r="R19" i="6"/>
  <c r="K65" i="40"/>
  <c r="J67" i="40"/>
  <c r="K72" i="39"/>
  <c r="L70" i="39"/>
  <c r="C19" i="43"/>
  <c r="C25" i="43" s="1"/>
  <c r="C24" i="43" s="1"/>
  <c r="C23" i="12"/>
  <c r="C35" i="12" s="1"/>
  <c r="C33" i="12" s="1"/>
  <c r="C5" i="59"/>
  <c r="D5" i="59" s="1"/>
  <c r="T6" i="59"/>
  <c r="D6" i="59"/>
  <c r="M20" i="46" s="1"/>
  <c r="O48" i="35"/>
  <c r="H7" i="35"/>
  <c r="H13" i="39" l="1"/>
  <c r="J13" i="39"/>
  <c r="F13" i="39"/>
  <c r="Y11" i="46"/>
  <c r="Y13" i="46" s="1"/>
  <c r="AF11" i="46"/>
  <c r="AF13" i="46" s="1"/>
  <c r="D101" i="46"/>
  <c r="Z11" i="46"/>
  <c r="Z13" i="46" s="1"/>
  <c r="AC11" i="46"/>
  <c r="AC13" i="46" s="1"/>
  <c r="AB11" i="46"/>
  <c r="AB13" i="46" s="1"/>
  <c r="E22" i="46"/>
  <c r="J101" i="46"/>
  <c r="M101" i="46"/>
  <c r="H22" i="46"/>
  <c r="C23" i="46"/>
  <c r="C21" i="46" s="1"/>
  <c r="AI11" i="46"/>
  <c r="AI13" i="46" s="1"/>
  <c r="AG11" i="46"/>
  <c r="AG13" i="46" s="1"/>
  <c r="E101" i="46"/>
  <c r="B113" i="46"/>
  <c r="AD11" i="46"/>
  <c r="AD13" i="46" s="1"/>
  <c r="I101" i="46"/>
  <c r="G22" i="46"/>
  <c r="C101" i="46"/>
  <c r="Z7" i="46"/>
  <c r="N104" i="45"/>
  <c r="H101" i="46"/>
  <c r="AA11" i="46"/>
  <c r="AA13" i="46" s="1"/>
  <c r="F22" i="46"/>
  <c r="AJ11" i="46"/>
  <c r="AJ13" i="46" s="1"/>
  <c r="J22" i="46"/>
  <c r="AE11" i="46"/>
  <c r="AE13" i="46" s="1"/>
  <c r="AH11" i="46"/>
  <c r="AH13" i="46" s="1"/>
  <c r="K101" i="46"/>
  <c r="L101" i="46"/>
  <c r="G101" i="46"/>
  <c r="N101" i="46"/>
  <c r="F101" i="46"/>
  <c r="C19" i="15"/>
  <c r="C20" i="15" s="1"/>
  <c r="C23" i="15" s="1"/>
  <c r="C21" i="44"/>
  <c r="C22" i="44" s="1"/>
  <c r="C25" i="44" s="1"/>
  <c r="R27" i="6"/>
  <c r="R6" i="1"/>
  <c r="R16" i="1" s="1"/>
  <c r="M70" i="39"/>
  <c r="L72" i="39"/>
  <c r="L65" i="40"/>
  <c r="K67" i="40"/>
  <c r="C22" i="43"/>
  <c r="C21" i="43" s="1"/>
  <c r="C28" i="43" s="1"/>
  <c r="C30" i="43" s="1"/>
  <c r="C32" i="43" s="1"/>
  <c r="B2" i="43" s="1"/>
  <c r="U7" i="35"/>
  <c r="AB7" i="35"/>
  <c r="T38" i="35" s="1"/>
  <c r="G38" i="35" s="1"/>
  <c r="J7" i="35"/>
  <c r="F7" i="35"/>
  <c r="C28" i="12"/>
  <c r="C26" i="12" s="1"/>
  <c r="C31" i="12" s="1"/>
  <c r="C30" i="12" s="1"/>
  <c r="C36" i="12" s="1"/>
  <c r="B2" i="12" s="1"/>
  <c r="D19" i="9"/>
  <c r="F105" i="46" l="1"/>
  <c r="F106" i="46"/>
  <c r="F103" i="46"/>
  <c r="F102" i="46"/>
  <c r="F104" i="46"/>
  <c r="F107" i="46"/>
  <c r="F109" i="46"/>
  <c r="G102" i="46"/>
  <c r="G105" i="46"/>
  <c r="G106" i="46"/>
  <c r="G103" i="46"/>
  <c r="G109" i="46"/>
  <c r="G104" i="46"/>
  <c r="G107" i="46"/>
  <c r="K107" i="46"/>
  <c r="K109" i="46"/>
  <c r="K102" i="46"/>
  <c r="K104" i="46"/>
  <c r="K106" i="46"/>
  <c r="K105" i="46"/>
  <c r="K103" i="46"/>
  <c r="C102" i="46"/>
  <c r="C104" i="46"/>
  <c r="C105" i="46"/>
  <c r="C103" i="46"/>
  <c r="C106" i="46"/>
  <c r="C107" i="46"/>
  <c r="C109" i="46"/>
  <c r="I106" i="46"/>
  <c r="I109" i="46"/>
  <c r="I104" i="46"/>
  <c r="I107" i="46"/>
  <c r="I105" i="46"/>
  <c r="I102" i="46"/>
  <c r="I103" i="46"/>
  <c r="I117" i="46"/>
  <c r="J117" i="46" s="1"/>
  <c r="K117" i="46" s="1"/>
  <c r="L117" i="46" s="1"/>
  <c r="M117" i="46" s="1"/>
  <c r="I115" i="46"/>
  <c r="J115" i="46" s="1"/>
  <c r="K115" i="46" s="1"/>
  <c r="L115" i="46" s="1"/>
  <c r="M115" i="46" s="1"/>
  <c r="G118" i="46"/>
  <c r="H118" i="46" s="1"/>
  <c r="B115" i="46"/>
  <c r="I118" i="46"/>
  <c r="J118" i="46" s="1"/>
  <c r="K118" i="46" s="1"/>
  <c r="L118" i="46" s="1"/>
  <c r="M118" i="46" s="1"/>
  <c r="D118" i="46"/>
  <c r="E118" i="46" s="1"/>
  <c r="F118" i="46" s="1"/>
  <c r="B117" i="46"/>
  <c r="C117" i="46" s="1"/>
  <c r="B116" i="46"/>
  <c r="C116" i="46" s="1"/>
  <c r="D115" i="46"/>
  <c r="E115" i="46" s="1"/>
  <c r="F115" i="46" s="1"/>
  <c r="G115" i="46" s="1"/>
  <c r="H115" i="46" s="1"/>
  <c r="B118" i="46"/>
  <c r="C118" i="46" s="1"/>
  <c r="D117" i="46"/>
  <c r="E117" i="46" s="1"/>
  <c r="F117" i="46" s="1"/>
  <c r="G117" i="46" s="1"/>
  <c r="H117" i="46" s="1"/>
  <c r="D116" i="46"/>
  <c r="E116" i="46" s="1"/>
  <c r="F116" i="46" s="1"/>
  <c r="G116" i="46" s="1"/>
  <c r="H116" i="46" s="1"/>
  <c r="I116" i="46"/>
  <c r="J116" i="46" s="1"/>
  <c r="K116" i="46" s="1"/>
  <c r="L116" i="46" s="1"/>
  <c r="M116" i="46" s="1"/>
  <c r="C29" i="46"/>
  <c r="M107" i="46"/>
  <c r="M105" i="46"/>
  <c r="M102" i="46"/>
  <c r="M106" i="46"/>
  <c r="M109" i="46"/>
  <c r="M104" i="46"/>
  <c r="M103" i="46"/>
  <c r="D22" i="46"/>
  <c r="D106" i="46"/>
  <c r="D107" i="46"/>
  <c r="D109" i="46"/>
  <c r="D102" i="46"/>
  <c r="D104" i="46"/>
  <c r="D105" i="46"/>
  <c r="D103" i="46"/>
  <c r="AC13" i="39"/>
  <c r="W13" i="39"/>
  <c r="N109" i="46"/>
  <c r="N103" i="46"/>
  <c r="N102" i="46"/>
  <c r="N106" i="46"/>
  <c r="N104" i="46"/>
  <c r="N105" i="46"/>
  <c r="N107" i="46"/>
  <c r="L107" i="46"/>
  <c r="L102" i="46"/>
  <c r="L103" i="46"/>
  <c r="L106" i="46"/>
  <c r="L109" i="46"/>
  <c r="L104" i="46"/>
  <c r="L105" i="46"/>
  <c r="H102" i="46"/>
  <c r="H105" i="46"/>
  <c r="H103" i="46"/>
  <c r="H106" i="46"/>
  <c r="H107" i="46"/>
  <c r="H109" i="46"/>
  <c r="H104" i="46"/>
  <c r="E107" i="46"/>
  <c r="E104" i="46"/>
  <c r="E105" i="46"/>
  <c r="E103" i="46"/>
  <c r="E102" i="46"/>
  <c r="E109" i="46"/>
  <c r="E106" i="46"/>
  <c r="J106" i="46"/>
  <c r="J107" i="46"/>
  <c r="J104" i="46"/>
  <c r="J109" i="46"/>
  <c r="J102" i="46"/>
  <c r="J103" i="46"/>
  <c r="J105" i="46"/>
  <c r="AA13" i="39"/>
  <c r="S13" i="39"/>
  <c r="AB13" i="39"/>
  <c r="U13" i="39"/>
  <c r="L44" i="9"/>
  <c r="C28" i="44"/>
  <c r="C31" i="44" s="1"/>
  <c r="C26" i="15"/>
  <c r="C29" i="15" s="1"/>
  <c r="M65" i="40"/>
  <c r="L67" i="40"/>
  <c r="M72" i="39"/>
  <c r="N70" i="39"/>
  <c r="N72" i="39" s="1"/>
  <c r="J9" i="39" s="1"/>
  <c r="B5" i="43"/>
  <c r="B4" i="43"/>
  <c r="B3" i="43"/>
  <c r="B3" i="12"/>
  <c r="B4" i="12"/>
  <c r="B5" i="12"/>
  <c r="S7" i="35"/>
  <c r="AA7" i="35"/>
  <c r="R38" i="35" s="1"/>
  <c r="AC7" i="35"/>
  <c r="V38" i="35" s="1"/>
  <c r="I38" i="35" s="1"/>
  <c r="W7" i="35"/>
  <c r="G42" i="35"/>
  <c r="H42" i="35" s="1"/>
  <c r="G43" i="35"/>
  <c r="H43" i="35" s="1"/>
  <c r="D21" i="9"/>
  <c r="D20" i="9"/>
  <c r="S7" i="46" l="1"/>
  <c r="T7" i="46" s="1"/>
  <c r="V7" i="46" s="1"/>
  <c r="S5" i="46"/>
  <c r="T5" i="46" s="1"/>
  <c r="V5" i="46" s="1"/>
  <c r="S2" i="46"/>
  <c r="T2" i="46" s="1"/>
  <c r="V2" i="46" s="1"/>
  <c r="S6" i="46"/>
  <c r="T6" i="46" s="1"/>
  <c r="V6" i="46" s="1"/>
  <c r="S3" i="46"/>
  <c r="T3" i="46" s="1"/>
  <c r="V3" i="46" s="1"/>
  <c r="S4" i="46"/>
  <c r="T4" i="46" s="1"/>
  <c r="V4" i="46" s="1"/>
  <c r="E29" i="46"/>
  <c r="C30" i="46"/>
  <c r="E30" i="46" s="1"/>
  <c r="C27" i="46" s="1"/>
  <c r="C115" i="46"/>
  <c r="D113" i="46" s="1"/>
  <c r="C36" i="15"/>
  <c r="C13" i="15"/>
  <c r="Q50" i="15"/>
  <c r="C56" i="15"/>
  <c r="J14" i="15"/>
  <c r="J19" i="15"/>
  <c r="J17" i="15" s="1"/>
  <c r="J59" i="15"/>
  <c r="J60" i="15" s="1"/>
  <c r="C33" i="15"/>
  <c r="C31" i="15" s="1"/>
  <c r="Q51" i="44"/>
  <c r="J16" i="44"/>
  <c r="C35" i="44"/>
  <c r="C33" i="44" s="1"/>
  <c r="C15" i="44"/>
  <c r="J21" i="44"/>
  <c r="J19" i="44" s="1"/>
  <c r="C38" i="44"/>
  <c r="W9" i="39"/>
  <c r="AC9" i="39"/>
  <c r="V49" i="39" s="1"/>
  <c r="I49" i="39" s="1"/>
  <c r="F9" i="39"/>
  <c r="H9" i="39"/>
  <c r="M67" i="40"/>
  <c r="N65" i="40"/>
  <c r="N67" i="40" s="1"/>
  <c r="I42" i="35"/>
  <c r="J42" i="35" s="1"/>
  <c r="R39" i="35"/>
  <c r="E38" i="35"/>
  <c r="I43" i="35" s="1"/>
  <c r="J43" i="35" s="1"/>
  <c r="F7" i="67"/>
  <c r="E4" i="67" l="1"/>
  <c r="C26" i="46"/>
  <c r="C43" i="44"/>
  <c r="C39" i="44"/>
  <c r="C32" i="44" s="1"/>
  <c r="C42" i="44" s="1"/>
  <c r="Q72" i="44"/>
  <c r="J24" i="44"/>
  <c r="J15" i="44"/>
  <c r="J25" i="44" s="1"/>
  <c r="C63" i="15"/>
  <c r="C60" i="15"/>
  <c r="C58" i="15" s="1"/>
  <c r="J35" i="15"/>
  <c r="C55" i="15"/>
  <c r="C64" i="15" s="1"/>
  <c r="C37" i="15"/>
  <c r="C30" i="15" s="1"/>
  <c r="C39" i="15" s="1"/>
  <c r="Q71" i="15"/>
  <c r="Q49" i="15"/>
  <c r="L46" i="15"/>
  <c r="J13" i="15"/>
  <c r="J23" i="15" s="1"/>
  <c r="J22" i="15"/>
  <c r="S9" i="39"/>
  <c r="AA9" i="39"/>
  <c r="R49" i="39" s="1"/>
  <c r="I53" i="39"/>
  <c r="J53" i="39" s="1"/>
  <c r="F9" i="40"/>
  <c r="J9" i="40"/>
  <c r="U9" i="39"/>
  <c r="AB9" i="39"/>
  <c r="T49" i="39" s="1"/>
  <c r="G49" i="39" s="1"/>
  <c r="H9" i="40"/>
  <c r="C38" i="35"/>
  <c r="C39" i="35"/>
  <c r="B3" i="35" s="1"/>
  <c r="B2" i="35" s="1"/>
  <c r="E42" i="35"/>
  <c r="F42" i="35" s="1"/>
  <c r="E43" i="35"/>
  <c r="F43" i="35" s="1"/>
  <c r="L51" i="15"/>
  <c r="E7" i="67"/>
  <c r="E3" i="67" l="1"/>
  <c r="B2" i="46"/>
  <c r="J18" i="44"/>
  <c r="J27" i="44" s="1"/>
  <c r="L57" i="15"/>
  <c r="L60" i="15" s="1"/>
  <c r="Q68" i="15"/>
  <c r="C57" i="15"/>
  <c r="C66" i="15" s="1"/>
  <c r="C67" i="15" s="1"/>
  <c r="Q70" i="15"/>
  <c r="Q69" i="15" s="1"/>
  <c r="C40" i="15"/>
  <c r="Q71" i="44"/>
  <c r="Q70" i="44" s="1"/>
  <c r="C44" i="44"/>
  <c r="C45" i="44" s="1"/>
  <c r="J16" i="15"/>
  <c r="J25" i="15" s="1"/>
  <c r="J39" i="15"/>
  <c r="J40" i="15" s="1"/>
  <c r="G54" i="39"/>
  <c r="H54" i="39" s="1"/>
  <c r="G53" i="39"/>
  <c r="H53" i="39" s="1"/>
  <c r="W9" i="40"/>
  <c r="AC9" i="40"/>
  <c r="V44" i="40" s="1"/>
  <c r="I44" i="40" s="1"/>
  <c r="R50" i="39"/>
  <c r="E49" i="39"/>
  <c r="AB9" i="40"/>
  <c r="T44" i="40" s="1"/>
  <c r="G44" i="40" s="1"/>
  <c r="U9" i="40"/>
  <c r="S9" i="40"/>
  <c r="AA9" i="40"/>
  <c r="R44" i="40" s="1"/>
  <c r="B7" i="67"/>
  <c r="B2" i="67" l="1"/>
  <c r="D4" i="46"/>
  <c r="B4" i="46"/>
  <c r="B3" i="46"/>
  <c r="L52" i="44"/>
  <c r="B2" i="44"/>
  <c r="B2" i="15"/>
  <c r="B3" i="15" s="1"/>
  <c r="Q48" i="15"/>
  <c r="Q54" i="15" s="1"/>
  <c r="C43" i="15"/>
  <c r="Q57" i="15"/>
  <c r="Q66" i="15"/>
  <c r="J42" i="15"/>
  <c r="J43" i="15" s="1"/>
  <c r="C46" i="15"/>
  <c r="C70" i="15"/>
  <c r="Q58" i="15"/>
  <c r="Q67" i="15"/>
  <c r="E44" i="40"/>
  <c r="R45" i="40"/>
  <c r="E54" i="39"/>
  <c r="F54" i="39" s="1"/>
  <c r="E53" i="39"/>
  <c r="F53" i="39" s="1"/>
  <c r="I54" i="39"/>
  <c r="J54" i="39" s="1"/>
  <c r="I48" i="40"/>
  <c r="J48" i="40" s="1"/>
  <c r="I49" i="40"/>
  <c r="J49" i="40" s="1"/>
  <c r="G49" i="40"/>
  <c r="H49" i="40" s="1"/>
  <c r="G48" i="40"/>
  <c r="H48" i="40" s="1"/>
  <c r="C49" i="39"/>
  <c r="C50" i="39"/>
  <c r="B4" i="67" l="1"/>
  <c r="B3" i="67"/>
  <c r="Q63" i="15"/>
  <c r="B4" i="44"/>
  <c r="B3" i="44"/>
  <c r="B5" i="44"/>
  <c r="Q76" i="15"/>
  <c r="L58" i="44"/>
  <c r="L61" i="44" s="1"/>
  <c r="Q69" i="44"/>
  <c r="C44" i="40"/>
  <c r="C45" i="40"/>
  <c r="B65" i="39"/>
  <c r="F65" i="39" s="1"/>
  <c r="B61" i="39"/>
  <c r="F61" i="39" s="1"/>
  <c r="B63" i="39"/>
  <c r="F63" i="39" s="1"/>
  <c r="B67" i="39"/>
  <c r="F67" i="39" s="1"/>
  <c r="B58" i="39"/>
  <c r="F58" i="39" s="1"/>
  <c r="B64" i="39"/>
  <c r="F64" i="39" s="1"/>
  <c r="B60" i="39"/>
  <c r="F60" i="39" s="1"/>
  <c r="B59" i="39"/>
  <c r="F59" i="39" s="1"/>
  <c r="B66" i="39"/>
  <c r="F66" i="39" s="1"/>
  <c r="B62" i="39"/>
  <c r="F62" i="39" s="1"/>
  <c r="E48" i="40"/>
  <c r="F48" i="40" s="1"/>
  <c r="E49" i="40"/>
  <c r="F49" i="40" s="1"/>
  <c r="F68" i="39" l="1"/>
  <c r="B2" i="39" s="1"/>
  <c r="B3" i="39" s="1"/>
  <c r="Q59" i="44"/>
  <c r="Q64" i="44" s="1"/>
  <c r="Q68" i="44"/>
  <c r="Q77" i="44" s="1"/>
  <c r="F63" i="40"/>
  <c r="B2" i="40" s="1"/>
  <c r="B56" i="40"/>
  <c r="F56" i="40" s="1"/>
  <c r="B53" i="40"/>
  <c r="F53" i="40" s="1"/>
  <c r="B54" i="40"/>
  <c r="F54" i="40" s="1"/>
  <c r="B61" i="40"/>
  <c r="F61" i="40" s="1"/>
  <c r="B58" i="40"/>
  <c r="F58" i="40" s="1"/>
  <c r="B55" i="40"/>
  <c r="F55" i="40" s="1"/>
  <c r="B59" i="40"/>
  <c r="F59" i="40" s="1"/>
  <c r="B60" i="40"/>
  <c r="F60" i="40" s="1"/>
  <c r="B57" i="40"/>
  <c r="F57" i="40" s="1"/>
  <c r="B62" i="40"/>
  <c r="F62" i="40" s="1"/>
  <c r="B5" i="39"/>
  <c r="B4" i="39"/>
  <c r="C19" i="9"/>
  <c r="C21" i="9"/>
  <c r="C20" i="9"/>
  <c r="G19" i="9" l="1"/>
  <c r="A27" i="9" s="1"/>
  <c r="L43" i="9"/>
  <c r="D22" i="9"/>
  <c r="G20" i="9"/>
  <c r="G21" i="9"/>
  <c r="B4" i="40"/>
  <c r="B5" i="40"/>
  <c r="B3" i="40"/>
  <c r="C32" i="9" l="1"/>
  <c r="O43" i="9" s="1"/>
  <c r="G22" i="9"/>
  <c r="N43" i="9"/>
  <c r="O38" i="9" l="1"/>
  <c r="K25" i="9" s="1"/>
  <c r="C35" i="9"/>
  <c r="F42" i="9" s="1"/>
  <c r="C42" i="9"/>
  <c r="D14" i="66" s="1"/>
  <c r="C33" i="9"/>
  <c r="D42" i="9" s="1"/>
  <c r="Q5" i="54" s="1"/>
  <c r="B47" i="63" s="1"/>
  <c r="C34" i="9"/>
  <c r="M38" i="9" s="1"/>
  <c r="K27" i="9" s="1"/>
  <c r="E42" i="9" l="1"/>
  <c r="P5" i="54" s="1"/>
  <c r="B46" i="63" s="1"/>
  <c r="D63" i="9"/>
  <c r="C96" i="9" s="1"/>
  <c r="C91" i="9" s="1"/>
  <c r="N38" i="9"/>
  <c r="K28" i="9" s="1"/>
  <c r="K26" i="9"/>
  <c r="R5" i="54"/>
  <c r="B48" i="63" s="1"/>
  <c r="N68" i="9"/>
  <c r="E14" i="66"/>
  <c r="F14" i="66"/>
  <c r="B5" i="66"/>
  <c r="D77" i="9" l="1"/>
  <c r="N75" i="9" s="1"/>
  <c r="D70" i="9"/>
  <c r="D71" i="9"/>
  <c r="D66" i="9" s="1"/>
  <c r="N72" i="9" s="1"/>
  <c r="C90" i="9"/>
  <c r="C82" i="9"/>
  <c r="C81" i="9" s="1"/>
  <c r="C85" i="9" s="1"/>
  <c r="C86" i="9" s="1"/>
  <c r="D72" i="9" s="1"/>
  <c r="C103" i="9"/>
  <c r="C111" i="9"/>
  <c r="C104" i="9" s="1"/>
  <c r="C5" i="66"/>
  <c r="D5" i="66"/>
  <c r="C97" i="9"/>
  <c r="C113" i="9" l="1"/>
  <c r="C114" i="9" s="1"/>
  <c r="E114" i="9" s="1"/>
  <c r="E115" i="9" s="1"/>
  <c r="C98" i="9"/>
  <c r="E98" i="9" s="1"/>
  <c r="E99" i="9" s="1"/>
  <c r="C99" i="9" l="1"/>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sony</author>
  </authors>
  <commentList>
    <comment ref="C3" authorId="0" shapeId="0">
      <text>
        <r>
          <rPr>
            <b/>
            <sz val="9"/>
            <color indexed="81"/>
            <rFont val="宋体"/>
            <family val="3"/>
            <charset val="134"/>
          </rPr>
          <t>sony:</t>
        </r>
        <r>
          <rPr>
            <sz val="9"/>
            <color indexed="81"/>
            <rFont val="宋体"/>
            <family val="3"/>
            <charset val="134"/>
          </rPr>
          <t xml:space="preserve">
12层、毛坯</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<sst xmlns="http://schemas.openxmlformats.org/spreadsheetml/2006/main" count="7803" uniqueCount="3366">
  <si>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</si>
  <si>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</si>
  <si>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</si>
  <si>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</si>
  <si>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</si>
  <si>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</si>
  <si>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</si>
  <si>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</si>
  <si>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</si>
  <si>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</si>
  <si>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</si>
  <si>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</si>
  <si>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</si>
  <si>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</si>
  <si>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</si>
  <si>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</si>
  <si>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</si>
  <si>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</si>
  <si>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</si>
  <si>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</si>
  <si>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</si>
  <si>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</si>
  <si>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</si>
  <si>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</si>
  <si>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</si>
  <si>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</si>
  <si>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</si>
  <si>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</si>
  <si>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</si>
  <si>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</si>
  <si>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</si>
  <si>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</si>
  <si>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</si>
  <si>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</si>
  <si>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</si>
  <si>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</si>
  <si>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</si>
  <si>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</si>
  <si>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</si>
  <si>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</si>
  <si>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</si>
  <si>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</si>
  <si>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</si>
  <si>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</si>
  <si>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</si>
  <si>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</si>
  <si>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</si>
  <si>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</si>
  <si>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</si>
  <si>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</si>
  <si>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</si>
  <si>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</si>
  <si>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</si>
  <si>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</si>
  <si>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</si>
  <si>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</si>
  <si>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</si>
  <si>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</si>
  <si>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</si>
  <si>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</si>
  <si>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</si>
  <si>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</si>
  <si>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</si>
  <si>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</si>
  <si>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</si>
  <si>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</si>
  <si>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</si>
  <si>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</si>
  <si>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</si>
  <si>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</si>
  <si>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</si>
  <si>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</si>
  <si>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</si>
  <si>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</si>
  <si>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</si>
  <si>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</si>
  <si>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</si>
  <si>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</si>
  <si>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</si>
  <si>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</si>
  <si>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</si>
  <si>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</si>
  <si>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</si>
  <si>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</si>
  <si>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</si>
  <si>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</si>
  <si>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</si>
  <si>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</si>
  <si>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</si>
  <si>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</si>
  <si>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</si>
  <si>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</si>
  <si>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</si>
  <si>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</si>
  <si>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</si>
  <si>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</si>
  <si>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</si>
  <si>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</si>
  <si>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</si>
  <si>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</si>
  <si>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</si>
  <si>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</si>
  <si>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</si>
  <si>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</si>
  <si>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</si>
  <si>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</si>
  <si>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</si>
  <si>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</si>
  <si>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</si>
  <si>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</si>
  <si>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</si>
  <si>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</si>
  <si>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</si>
  <si>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</si>
  <si>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</si>
  <si>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</si>
  <si>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</si>
  <si>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</si>
  <si>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</si>
  <si>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</si>
  <si>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</si>
  <si>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</si>
  <si>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</si>
  <si>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</si>
  <si>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</si>
  <si>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</si>
  <si>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</si>
  <si>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</si>
  <si>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</si>
  <si>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</si>
  <si>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</si>
  <si>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</si>
  <si>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</si>
  <si>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</si>
  <si>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</si>
  <si>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</si>
  <si>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</si>
  <si>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</si>
  <si>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</si>
  <si>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</si>
  <si>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</si>
  <si>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</si>
  <si>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</si>
  <si>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</si>
  <si>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</si>
  <si>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</si>
  <si>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</si>
  <si>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</si>
  <si>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</si>
  <si>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</si>
  <si>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</si>
  <si>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</si>
  <si>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</si>
  <si>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</si>
  <si>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</si>
  <si>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</si>
  <si>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</si>
  <si>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</si>
  <si>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</si>
  <si>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</si>
  <si>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</si>
  <si>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</si>
  <si>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</si>
  <si>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</si>
  <si>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</si>
  <si>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</si>
  <si>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</si>
  <si>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</si>
  <si>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</si>
  <si>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</si>
  <si>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</si>
  <si>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</si>
  <si>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</si>
  <si>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</si>
  <si>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</si>
  <si>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</si>
  <si>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</si>
  <si>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</si>
  <si>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</si>
  <si>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</si>
  <si>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</si>
  <si>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</si>
  <si>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</si>
  <si>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</si>
  <si>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</si>
  <si>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</si>
  <si>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</si>
  <si>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</si>
  <si>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</si>
  <si>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</si>
  <si>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</si>
  <si>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</si>
  <si>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</si>
  <si>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</si>
  <si>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</si>
  <si>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</si>
  <si>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</si>
  <si>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</si>
  <si>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</si>
  <si>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</si>
  <si>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</si>
  <si>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</si>
  <si>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</si>
  <si>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</si>
  <si>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</si>
  <si>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</si>
  <si>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</si>
  <si>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</si>
  <si>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</si>
  <si>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</si>
  <si>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</si>
  <si>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</si>
  <si>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</si>
  <si>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</si>
  <si>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</si>
  <si>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</si>
  <si>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</si>
  <si>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</si>
  <si>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</si>
  <si>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</si>
  <si>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</si>
  <si>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</si>
  <si>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</si>
  <si>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</si>
  <si>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</si>
  <si>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</si>
  <si>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</si>
  <si>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</si>
  <si>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</si>
  <si>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</si>
  <si>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</si>
  <si>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</si>
  <si>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</si>
  <si>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</si>
  <si>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</si>
  <si>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</si>
  <si>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</si>
  <si>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</si>
  <si>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</si>
  <si>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</si>
  <si>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</si>
  <si>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</si>
  <si>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</si>
  <si>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</si>
  <si>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</si>
  <si>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</si>
  <si>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</si>
  <si>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</si>
  <si>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</si>
  <si>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</si>
  <si>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</si>
  <si>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</si>
  <si>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</si>
  <si>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</si>
  <si>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</si>
  <si>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</si>
  <si>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</si>
  <si>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</si>
  <si>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</si>
  <si>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</si>
  <si>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</si>
  <si>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</si>
  <si>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</si>
  <si>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</si>
  <si>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</si>
  <si>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</si>
  <si>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</si>
  <si>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</si>
  <si>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</si>
  <si>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</si>
  <si>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</si>
  <si>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</si>
  <si>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</si>
  <si>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</si>
  <si>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</si>
  <si>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</si>
  <si>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</si>
  <si>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</si>
  <si>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</si>
  <si>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</si>
  <si>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</si>
  <si>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</si>
  <si>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</si>
  <si>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</si>
  <si>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</si>
  <si>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</si>
  <si>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</si>
  <si>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</si>
  <si>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</si>
  <si>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</si>
  <si>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</si>
  <si>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</si>
  <si>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</si>
  <si>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</si>
  <si>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</si>
  <si>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</si>
  <si>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</si>
  <si>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</si>
  <si>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</si>
  <si>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</si>
  <si>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</si>
  <si>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</si>
  <si>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</si>
  <si>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</si>
  <si>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</si>
  <si>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</si>
  <si>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</si>
  <si>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</si>
  <si>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</si>
  <si>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</si>
  <si>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</si>
  <si>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</si>
  <si>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</si>
  <si>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</si>
  <si>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</si>
  <si>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</si>
  <si>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</si>
  <si>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</si>
  <si>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</si>
  <si>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</si>
  <si>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</si>
  <si>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</si>
  <si>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</si>
  <si>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</si>
  <si>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</si>
  <si>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</si>
  <si>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</si>
  <si>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</si>
  <si>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</si>
  <si>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</si>
  <si>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</si>
  <si>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</si>
  <si>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</si>
  <si>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</si>
  <si>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</si>
  <si>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</si>
  <si>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</si>
  <si>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</si>
  <si>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</si>
  <si>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</si>
  <si>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</si>
  <si>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</si>
  <si>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</si>
  <si>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</si>
  <si>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</si>
  <si>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</si>
  <si>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</si>
  <si>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</si>
  <si>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</si>
  <si>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</si>
  <si>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</si>
  <si>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</si>
  <si>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</si>
  <si>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</si>
  <si>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</si>
  <si>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</si>
  <si>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</si>
  <si>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</si>
  <si>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</si>
  <si>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</si>
  <si>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</si>
  <si>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</si>
  <si>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</si>
  <si>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</si>
  <si>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</si>
  <si>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</si>
  <si>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</si>
  <si>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</si>
  <si>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</si>
  <si>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</si>
  <si>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</si>
  <si>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</si>
  <si>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</si>
  <si>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</si>
  <si>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</si>
  <si>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</si>
  <si>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</si>
  <si>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</si>
  <si>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</si>
  <si>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</si>
  <si>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</si>
  <si>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</si>
  <si>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</si>
  <si>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</si>
  <si>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</si>
  <si>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</si>
  <si>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</si>
  <si>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</si>
  <si>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</si>
  <si>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</si>
  <si>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</si>
  <si>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</si>
  <si>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</si>
  <si>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</si>
  <si>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</si>
  <si>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</si>
  <si>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</si>
  <si>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</si>
  <si>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</si>
  <si>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</si>
  <si>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</si>
  <si>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</si>
  <si>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</si>
  <si>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</si>
  <si>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</si>
  <si>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</si>
  <si>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</si>
  <si>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</si>
  <si>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</si>
  <si>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</si>
  <si>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</si>
  <si>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</si>
  <si>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</si>
  <si>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</si>
  <si>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</si>
  <si>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</si>
  <si>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</si>
  <si>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</si>
  <si>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</si>
  <si>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</si>
  <si>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</si>
  <si>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</si>
  <si>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</si>
  <si>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</si>
  <si>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</si>
  <si>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</si>
  <si>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</si>
  <si>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</si>
  <si>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</si>
  <si>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</si>
  <si>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</si>
  <si>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</si>
  <si>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</si>
  <si>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</si>
  <si>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</si>
  <si>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</si>
  <si>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</si>
  <si>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</si>
  <si>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</si>
  <si>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</si>
  <si>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</si>
  <si>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</si>
  <si>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</si>
  <si>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</si>
  <si>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</si>
  <si>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</si>
  <si>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</si>
  <si>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</si>
  <si>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</si>
  <si>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</si>
  <si>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</si>
  <si>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</si>
  <si>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</si>
  <si>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</si>
  <si>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</si>
  <si>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</si>
  <si>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</si>
  <si>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</si>
  <si>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</si>
  <si>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</si>
  <si>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</si>
  <si>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</si>
  <si>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</si>
  <si>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</si>
  <si>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</si>
  <si>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</si>
  <si>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</si>
  <si>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</si>
  <si>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</si>
  <si>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</si>
  <si>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</si>
  <si>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</si>
  <si>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</si>
  <si>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</si>
  <si>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</si>
  <si>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</si>
  <si>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</si>
  <si>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</si>
  <si>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</si>
  <si>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</si>
  <si>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</si>
  <si>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</si>
  <si>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</si>
  <si>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</si>
  <si>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</si>
  <si>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</si>
  <si>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</si>
  <si>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</si>
  <si>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</si>
  <si>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</si>
  <si>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</si>
  <si>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</si>
  <si>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</si>
  <si>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</si>
  <si>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</si>
  <si>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</si>
  <si>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</si>
  <si>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</si>
  <si>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</si>
  <si>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</si>
  <si>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</si>
  <si>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</si>
  <si>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</si>
  <si>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</si>
  <si>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</si>
  <si>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</si>
  <si>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</si>
  <si>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</si>
  <si>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</si>
  <si>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</si>
  <si>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</si>
  <si>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</si>
  <si>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</si>
  <si>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</si>
  <si>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</si>
  <si>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</si>
  <si>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</si>
  <si>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</si>
  <si>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</si>
  <si>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</si>
  <si>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</si>
  <si>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</si>
  <si>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</si>
  <si>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</si>
  <si>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</si>
  <si>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</si>
  <si>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</si>
  <si>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</si>
  <si>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</si>
  <si>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</si>
  <si>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</si>
  <si>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</si>
  <si>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</si>
  <si>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</si>
  <si>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</si>
  <si>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</si>
  <si>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</si>
  <si>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</si>
  <si>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</si>
  <si>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</si>
  <si>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</si>
  <si>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</si>
  <si>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</si>
  <si>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</si>
  <si>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</si>
  <si>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</si>
  <si>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</si>
  <si>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</si>
  <si>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</si>
  <si>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</si>
  <si>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</si>
  <si>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</si>
  <si>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</si>
  <si>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</si>
  <si>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</si>
  <si>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</si>
  <si>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</si>
  <si>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</si>
  <si>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</si>
  <si>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</si>
  <si>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</si>
  <si>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</si>
  <si>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</si>
  <si>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</si>
  <si>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</si>
  <si>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</si>
  <si>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</si>
  <si>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</si>
  <si>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</si>
  <si>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</si>
  <si>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</si>
  <si>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</si>
  <si>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</si>
  <si>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</si>
  <si>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</si>
  <si>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</si>
  <si>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</si>
  <si>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</si>
  <si>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</si>
  <si>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</si>
  <si>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</si>
  <si>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</si>
  <si>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</si>
  <si>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</si>
  <si>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</si>
  <si>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</si>
  <si>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</si>
  <si>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</si>
  <si>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</si>
  <si>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</si>
  <si>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</si>
  <si>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</si>
  <si>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</si>
  <si>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</si>
  <si>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</si>
  <si>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</si>
  <si>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</si>
  <si>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</si>
  <si>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</si>
  <si>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</si>
  <si>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</si>
  <si>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</si>
  <si>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</si>
  <si>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</si>
  <si>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</si>
  <si>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</si>
  <si>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</si>
  <si>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</si>
  <si>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</si>
  <si>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</si>
  <si>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</si>
  <si>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</si>
  <si>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</si>
  <si>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</si>
  <si>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</si>
  <si>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</si>
  <si>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</si>
  <si>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</si>
  <si>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</si>
  <si>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</si>
  <si>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</si>
  <si>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</si>
  <si>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</si>
  <si>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</si>
  <si>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</si>
  <si>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</si>
  <si>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</si>
  <si>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</si>
  <si>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</si>
  <si>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</si>
  <si>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</si>
  <si>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</si>
  <si>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</si>
  <si>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</si>
  <si>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</si>
  <si>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</si>
  <si>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</si>
  <si>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</si>
  <si>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</si>
  <si>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</si>
  <si>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</si>
  <si>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</si>
  <si>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</si>
  <si>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</si>
  <si>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</si>
  <si>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</si>
  <si>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</si>
  <si>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</si>
  <si>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</si>
  <si>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</si>
  <si>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</si>
  <si>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</si>
  <si>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</si>
  <si>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</si>
  <si>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</si>
  <si>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</si>
  <si>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</si>
  <si>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</si>
  <si>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</si>
  <si>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</si>
  <si>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</si>
  <si>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</si>
  <si>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</si>
  <si>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</si>
  <si>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</si>
  <si>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</si>
  <si>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</si>
  <si>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</si>
  <si>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</si>
  <si>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</si>
  <si>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</si>
  <si>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</si>
  <si>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</si>
  <si>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</si>
  <si>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</si>
  <si>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</si>
  <si>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</si>
  <si>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</si>
  <si>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</si>
  <si>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</si>
  <si>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</si>
  <si>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</si>
  <si>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</si>
  <si>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</si>
  <si>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</si>
  <si>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</si>
  <si>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</si>
  <si>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</si>
  <si>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</si>
  <si>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</si>
  <si>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</si>
  <si>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</si>
  <si>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</si>
  <si>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</si>
  <si>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</si>
  <si>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</si>
  <si>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</si>
  <si>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</si>
  <si>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</si>
  <si>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</si>
  <si>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</si>
  <si>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</si>
  <si>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</si>
  <si>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</si>
  <si>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</si>
  <si>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</si>
  <si>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</si>
  <si>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</si>
  <si>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</si>
  <si>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</si>
  <si>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</si>
  <si>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</si>
  <si>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</si>
  <si>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</si>
  <si>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</si>
  <si>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</si>
  <si>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</si>
  <si>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</si>
  <si>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</si>
  <si>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</si>
  <si>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</si>
  <si>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</si>
  <si>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</si>
  <si>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</si>
  <si>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</si>
  <si>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</si>
  <si>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</si>
  <si>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</si>
  <si>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</si>
  <si>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</si>
  <si>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</si>
  <si>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</si>
  <si>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</si>
  <si>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</si>
  <si>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</si>
  <si>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</si>
  <si>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</si>
  <si>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</si>
  <si>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</si>
  <si>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</si>
  <si>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</si>
  <si>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</si>
  <si>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</si>
  <si>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</si>
  <si>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</si>
  <si>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</si>
  <si>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</si>
  <si>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</si>
  <si>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</si>
  <si>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</si>
  <si>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</si>
  <si>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</si>
  <si>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</si>
  <si>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</si>
  <si>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</si>
  <si>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</si>
  <si>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</si>
  <si>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</si>
  <si>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</si>
  <si>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</si>
  <si>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</si>
  <si>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</si>
  <si>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</si>
  <si>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</si>
  <si>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</si>
  <si>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</si>
  <si>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</si>
  <si>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</si>
  <si>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</si>
  <si>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</si>
  <si>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</si>
  <si>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</si>
  <si>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</si>
  <si>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</si>
  <si>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</si>
  <si>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</si>
  <si>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</si>
  <si>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</si>
  <si>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</si>
  <si>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</si>
  <si>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</si>
  <si>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</si>
  <si>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</si>
  <si>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</si>
  <si>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</si>
  <si>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</si>
  <si>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</si>
  <si>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</si>
  <si>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</si>
  <si>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</si>
  <si>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</si>
  <si>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</si>
  <si>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</si>
  <si>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</si>
  <si>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</si>
  <si>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</si>
  <si>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</si>
  <si>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</si>
  <si>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</si>
  <si>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</si>
  <si>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</si>
  <si>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</si>
  <si>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</si>
  <si>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</si>
  <si>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</si>
  <si>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</si>
  <si>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</si>
  <si>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</si>
  <si>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</si>
  <si>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</si>
  <si>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</si>
  <si>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</si>
  <si>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</si>
  <si>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</si>
  <si>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</si>
  <si>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</si>
  <si>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</si>
  <si>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</si>
  <si>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</si>
  <si>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</si>
  <si>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</si>
  <si>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</si>
  <si>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</si>
  <si>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</si>
  <si>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</si>
  <si>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</si>
  <si>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</si>
  <si>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</si>
  <si>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</si>
  <si>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</si>
  <si>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</si>
  <si>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</si>
  <si>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</si>
  <si>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</si>
  <si>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</si>
  <si>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</si>
  <si>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</si>
  <si>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</si>
  <si>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</si>
  <si>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</si>
  <si>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</si>
  <si>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</si>
  <si>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</si>
  <si>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</si>
  <si>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</si>
  <si>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</si>
  <si>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</si>
  <si>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</si>
  <si>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</si>
  <si>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</si>
  <si>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</si>
  <si>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</si>
  <si>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</si>
  <si>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</si>
  <si>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</si>
  <si>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</si>
  <si>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</si>
  <si>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</si>
  <si>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</si>
  <si>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</si>
  <si>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</si>
  <si>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</si>
  <si>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</si>
  <si>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</si>
  <si>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</si>
  <si>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</si>
  <si>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</si>
  <si>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</si>
  <si>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</si>
  <si>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</si>
  <si>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</si>
  <si>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</si>
  <si>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</si>
  <si>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</si>
  <si>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</si>
  <si>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</si>
  <si>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</si>
  <si>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</si>
  <si>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</si>
  <si>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</si>
  <si>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</si>
  <si>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</si>
  <si>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</si>
  <si>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</si>
  <si>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</si>
  <si>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</si>
  <si>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</si>
  <si>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</si>
  <si>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</si>
  <si>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</si>
  <si>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</si>
  <si>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</si>
  <si>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</si>
  <si>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</si>
  <si>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</si>
  <si>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</si>
  <si>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</si>
  <si>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</si>
  <si>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</si>
  <si>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</si>
  <si>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</si>
  <si>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</si>
  <si>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</si>
  <si>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</si>
  <si>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</si>
  <si>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</si>
  <si>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</si>
  <si>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</si>
  <si>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</si>
  <si>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</si>
  <si>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</si>
  <si>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</si>
  <si>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</si>
  <si>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</si>
  <si>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</si>
  <si>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</si>
  <si>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</si>
  <si>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</si>
  <si>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</si>
  <si>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</si>
  <si>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</si>
  <si>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</si>
  <si>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</si>
  <si>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</si>
  <si>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</si>
  <si>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</si>
  <si>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</si>
  <si>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</si>
  <si>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</si>
  <si>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</si>
  <si>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</si>
  <si>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</si>
  <si>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</si>
  <si>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</si>
  <si>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</si>
  <si>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</si>
  <si>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</si>
  <si>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</si>
  <si>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</si>
  <si>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</si>
  <si>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</si>
  <si>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</si>
  <si>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</si>
  <si>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</si>
  <si>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</si>
  <si>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</si>
  <si>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</si>
  <si>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</si>
  <si>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</si>
  <si>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</si>
  <si>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</si>
  <si>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</si>
  <si>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</si>
  <si>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</si>
  <si>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</si>
  <si>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</si>
  <si>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</si>
  <si>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</si>
  <si>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</si>
  <si>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</si>
  <si>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</si>
  <si>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</si>
  <si>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</si>
  <si>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</si>
  <si>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</si>
  <si>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</si>
  <si>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</si>
  <si>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</si>
  <si>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</si>
  <si>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</si>
  <si>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</si>
  <si>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</si>
  <si>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</si>
  <si>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</si>
  <si>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</si>
  <si>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</si>
  <si>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</si>
  <si>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</si>
  <si>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</si>
  <si>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</si>
  <si>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</si>
  <si>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</si>
  <si>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</si>
  <si>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</si>
  <si>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</si>
  <si>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</si>
  <si>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</si>
  <si>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</si>
  <si>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</si>
  <si>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</si>
  <si>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</si>
  <si>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</si>
  <si>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</si>
  <si>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</si>
  <si>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</si>
  <si>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</si>
  <si>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</si>
  <si>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</si>
  <si>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</si>
  <si>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</si>
  <si>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</si>
  <si>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</si>
  <si>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</si>
  <si>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</si>
  <si>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</si>
  <si>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</si>
  <si>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</si>
  <si>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</si>
  <si>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</si>
  <si>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</si>
  <si>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</si>
  <si>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</si>
  <si>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</si>
  <si>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</si>
  <si>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</si>
  <si>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</si>
  <si>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</si>
  <si>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</si>
  <si>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</si>
  <si>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</si>
  <si>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</si>
  <si>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</si>
  <si>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</si>
  <si>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</si>
  <si>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</si>
  <si>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</si>
  <si>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</si>
  <si>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</si>
  <si>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</si>
  <si>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</si>
  <si>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</si>
  <si>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</si>
  <si>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</si>
  <si>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</si>
  <si>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</si>
  <si>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</si>
  <si>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</si>
  <si>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</si>
  <si>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</si>
  <si>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</si>
  <si>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</si>
  <si>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</si>
  <si>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</si>
  <si>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</si>
  <si>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</si>
  <si>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</si>
  <si>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</si>
  <si>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</si>
  <si>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</si>
  <si>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</si>
  <si>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</si>
  <si>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</si>
  <si>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</si>
  <si>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</si>
  <si>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</si>
  <si>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</si>
  <si>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</si>
  <si>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</si>
  <si>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</si>
  <si>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</si>
  <si>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</si>
  <si>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</si>
  <si>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</si>
  <si>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</si>
  <si>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</si>
  <si>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</si>
  <si>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</si>
  <si>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</si>
  <si>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</si>
  <si>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</si>
  <si>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</si>
  <si>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</si>
  <si>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</si>
  <si>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</si>
  <si>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</si>
  <si>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</si>
  <si>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</si>
  <si>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</si>
  <si>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</si>
  <si>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</si>
  <si>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</si>
  <si>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</si>
  <si>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</si>
  <si>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</si>
  <si>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</si>
  <si>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</si>
  <si>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</si>
  <si>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</si>
  <si>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</si>
  <si>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</si>
  <si>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</si>
  <si>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</si>
  <si>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</si>
  <si>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</si>
  <si>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</si>
  <si>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</si>
  <si>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</si>
  <si>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</si>
  <si>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</si>
  <si>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</si>
  <si>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</si>
  <si>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</si>
  <si>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</si>
  <si>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</si>
  <si>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</si>
  <si>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</si>
  <si>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</si>
  <si>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</si>
  <si>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</si>
  <si>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</si>
  <si>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</si>
  <si>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</si>
  <si>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</si>
  <si>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</si>
  <si>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</si>
  <si>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</si>
  <si>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</si>
  <si>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</si>
  <si>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</si>
  <si>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</si>
  <si>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</si>
  <si>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</si>
  <si>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</si>
  <si>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</si>
  <si>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</si>
  <si>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</si>
  <si>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</si>
  <si>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</si>
  <si>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</si>
  <si>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</si>
  <si>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</si>
  <si>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</si>
  <si>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</si>
  <si>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</si>
  <si>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</si>
  <si>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</si>
  <si>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</si>
  <si>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</si>
  <si>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</si>
  <si>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</si>
  <si>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</si>
  <si>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</si>
  <si>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</si>
  <si>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</si>
  <si>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</si>
  <si>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</si>
  <si>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</si>
  <si>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</si>
  <si>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</si>
  <si>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</si>
  <si>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</si>
  <si>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</si>
  <si>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</si>
  <si>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</si>
  <si>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</si>
  <si>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</si>
  <si>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</si>
  <si>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</si>
  <si>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</si>
  <si>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</si>
  <si>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</si>
  <si>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</si>
  <si>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</si>
  <si>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</si>
  <si>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</si>
  <si>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</si>
  <si>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</si>
  <si>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</si>
  <si>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</si>
  <si>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</si>
  <si>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</si>
  <si>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</si>
  <si>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</si>
  <si>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</si>
  <si>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</si>
  <si>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</si>
  <si>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</si>
  <si>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</si>
  <si>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</si>
  <si>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</si>
  <si>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</si>
  <si>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</si>
  <si>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</si>
  <si>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</si>
  <si>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</si>
  <si>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</si>
  <si>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</si>
  <si>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</si>
  <si>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</si>
  <si>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</si>
  <si>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</si>
  <si>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</si>
  <si>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</si>
  <si>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</si>
  <si>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</si>
  <si>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</si>
  <si>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</si>
  <si>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</si>
  <si>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</si>
  <si>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</si>
  <si>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</si>
  <si>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</si>
  <si>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</si>
  <si>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</si>
  <si>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</si>
  <si>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</si>
  <si>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</si>
  <si>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</si>
  <si>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</si>
  <si>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</si>
  <si>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</si>
  <si>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</si>
  <si>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</si>
  <si>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</si>
  <si>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</si>
  <si>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</si>
  <si>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</si>
  <si>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</si>
  <si>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</si>
  <si>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</si>
  <si>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</si>
  <si>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</si>
  <si>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</si>
  <si>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</si>
  <si>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</si>
  <si>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</si>
  <si>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</si>
  <si>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</si>
  <si>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</si>
  <si>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</si>
  <si>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</si>
  <si>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</si>
  <si>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</si>
  <si>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</si>
  <si>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</si>
  <si>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</si>
  <si>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</si>
  <si>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</si>
  <si>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</si>
  <si>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</si>
  <si>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</si>
  <si>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</si>
  <si>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</si>
  <si>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</si>
  <si>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</si>
  <si>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</si>
  <si>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</si>
  <si>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</si>
  <si>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</si>
  <si>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</si>
  <si>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</si>
  <si>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</si>
  <si>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</si>
  <si>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</si>
  <si>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</si>
  <si>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</si>
  <si>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</si>
  <si>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</si>
  <si>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</si>
  <si>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</si>
  <si>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</si>
  <si>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</si>
  <si>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</si>
  <si>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</si>
  <si>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</si>
  <si>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</si>
  <si>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</si>
  <si>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</si>
  <si>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</si>
  <si>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</si>
  <si>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</si>
  <si>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</si>
  <si>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</si>
  <si>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</si>
  <si>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</si>
  <si>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</si>
  <si>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</si>
  <si>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</si>
  <si>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</si>
  <si>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</si>
  <si>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</si>
  <si>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</si>
  <si>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</si>
  <si>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</si>
  <si>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</si>
  <si>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</si>
  <si>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</si>
  <si>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</si>
  <si>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</si>
  <si>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</si>
  <si>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</si>
  <si>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</si>
  <si>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</si>
  <si>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</si>
  <si>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</si>
  <si>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</si>
  <si>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</si>
  <si>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</si>
  <si>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</si>
  <si>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</si>
  <si>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</si>
  <si>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</si>
  <si>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</si>
  <si>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</si>
  <si>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</si>
  <si>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</si>
  <si>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</si>
  <si>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</si>
  <si>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</si>
  <si>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</si>
  <si>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</si>
  <si>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</si>
  <si>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</si>
  <si>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</si>
  <si>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</si>
  <si>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</si>
  <si>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</si>
  <si>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</si>
  <si>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</si>
  <si>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</si>
  <si>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</si>
  <si>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</si>
  <si>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</si>
  <si>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</si>
  <si>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</si>
  <si>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</si>
  <si>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</si>
  <si>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</si>
  <si>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</si>
  <si>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</si>
  <si>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</si>
  <si>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</si>
  <si>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</si>
  <si>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</si>
  <si>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</si>
  <si>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</si>
  <si>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</si>
  <si>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</si>
  <si>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</si>
  <si>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</si>
  <si>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</si>
  <si>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</si>
  <si>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</si>
  <si>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</si>
  <si>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</si>
  <si>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</si>
  <si>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</si>
  <si>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</si>
  <si>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</si>
  <si>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</si>
  <si>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</si>
  <si>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</si>
  <si>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</si>
  <si>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</si>
  <si>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</si>
  <si>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</si>
  <si>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</si>
  <si>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</si>
  <si>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</si>
  <si>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</si>
  <si>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</si>
  <si>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</si>
  <si>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</si>
  <si>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</si>
  <si>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</si>
  <si>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</si>
  <si>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</si>
  <si>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</si>
  <si>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</si>
  <si>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</si>
  <si>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</si>
  <si>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</si>
  <si>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</si>
  <si>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</si>
  <si>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</si>
  <si>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</si>
  <si>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</si>
  <si>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</si>
  <si>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</si>
  <si>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</si>
  <si>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</si>
  <si>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</si>
  <si>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</si>
  <si>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</si>
  <si>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</si>
  <si>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</si>
  <si>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</si>
  <si>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</si>
  <si>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</si>
  <si>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</si>
  <si>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</si>
  <si>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</si>
  <si>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</si>
  <si>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</si>
  <si>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</si>
  <si>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</si>
  <si>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</si>
  <si>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</si>
  <si>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</si>
  <si>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</si>
  <si>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</si>
  <si>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</si>
  <si>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</si>
  <si>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</si>
  <si>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</si>
  <si>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</si>
  <si>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</si>
  <si>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</si>
  <si>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</si>
  <si>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</si>
  <si>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</si>
  <si>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</si>
  <si>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</si>
  <si>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</si>
  <si>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</si>
  <si>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</si>
  <si>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</si>
  <si>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</si>
  <si>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</si>
  <si>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</si>
  <si>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</si>
  <si>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</si>
  <si>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</si>
  <si>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</si>
  <si>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</si>
  <si>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</si>
  <si>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</si>
  <si>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</si>
  <si>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</si>
  <si>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</si>
  <si>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</si>
  <si>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</si>
  <si>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</si>
  <si>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</si>
  <si>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</si>
  <si>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</si>
  <si>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</si>
  <si>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</si>
  <si>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</si>
  <si>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</si>
  <si>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</si>
  <si>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</si>
  <si>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</si>
  <si>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</si>
  <si>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</si>
  <si>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</si>
  <si>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</si>
  <si>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</si>
  <si>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</si>
  <si>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</si>
  <si>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</si>
  <si>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</si>
  <si>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</si>
  <si>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</si>
  <si>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</si>
  <si>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</si>
  <si>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</si>
  <si>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</si>
  <si>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</si>
  <si>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</si>
  <si>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</si>
  <si>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</si>
  <si>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</si>
  <si>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</si>
  <si>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</si>
  <si>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</si>
  <si>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</si>
  <si>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</si>
  <si>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</si>
  <si>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</si>
  <si>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</si>
  <si>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</si>
  <si>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</si>
  <si>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</si>
  <si>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</si>
  <si>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</si>
  <si>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</si>
  <si>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</si>
  <si>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</si>
  <si>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</si>
  <si>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</si>
  <si>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</si>
  <si>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</si>
  <si>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</si>
  <si>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</si>
  <si>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</si>
  <si>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</si>
  <si>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</si>
  <si>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</si>
  <si>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</si>
  <si>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</si>
  <si>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</si>
  <si>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</si>
  <si>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</si>
  <si>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</si>
  <si>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</si>
  <si>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</si>
  <si>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</si>
  <si>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</si>
  <si>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</si>
  <si>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</si>
  <si>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</si>
  <si>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</si>
  <si>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</si>
  <si>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</si>
  <si>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</si>
  <si>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</si>
  <si>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</si>
  <si>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</si>
  <si>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</si>
  <si>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</si>
  <si>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</si>
  <si>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</si>
  <si>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</si>
  <si>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</si>
  <si>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</si>
  <si>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</si>
  <si>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</si>
  <si>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</si>
  <si>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</si>
  <si>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</si>
  <si>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</si>
  <si>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</si>
  <si>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</si>
  <si>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</si>
  <si>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</si>
  <si>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</si>
  <si>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</si>
  <si>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</si>
  <si>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</si>
  <si>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</si>
  <si>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</si>
  <si>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</si>
  <si>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</si>
  <si>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</si>
  <si>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</si>
  <si>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</si>
  <si>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</si>
  <si>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</si>
  <si>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</si>
  <si>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</si>
  <si>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</si>
  <si>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</si>
  <si>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</si>
  <si>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</si>
  <si>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</si>
  <si>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</si>
  <si>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</si>
  <si>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</si>
  <si>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</si>
  <si>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</si>
  <si>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</si>
  <si>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</si>
  <si>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</si>
  <si>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</si>
  <si>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</si>
  <si>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</si>
  <si>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</si>
  <si>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</si>
  <si>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</si>
  <si>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</si>
  <si>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</si>
  <si>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</si>
  <si>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</si>
  <si>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</si>
  <si>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</si>
  <si>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</si>
  <si>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</si>
  <si>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</si>
  <si>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</si>
  <si>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</si>
  <si>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</si>
  <si>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</si>
  <si>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</si>
  <si>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</si>
  <si>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</si>
  <si>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</si>
  <si>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</si>
  <si>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</si>
  <si>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</si>
  <si>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</si>
  <si>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</si>
  <si>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</si>
  <si>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</si>
  <si>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</si>
  <si>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</si>
  <si>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</si>
  <si>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</si>
  <si>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</si>
  <si>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</si>
  <si>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</si>
  <si>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</si>
  <si>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</si>
  <si>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</si>
  <si>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</si>
  <si>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</si>
  <si>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</si>
  <si>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</si>
  <si>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</si>
  <si>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</si>
  <si>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</si>
  <si>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</si>
  <si>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</si>
  <si>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</si>
  <si>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</si>
  <si>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</si>
  <si>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</si>
  <si>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</si>
  <si>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</si>
  <si>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</si>
  <si>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</si>
  <si>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</si>
  <si>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</si>
  <si>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</si>
  <si>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</si>
  <si>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</si>
  <si>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</si>
  <si>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</si>
  <si>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</si>
  <si>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</si>
  <si>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</si>
  <si>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</si>
  <si>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</si>
  <si>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</si>
  <si>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</si>
  <si>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</si>
  <si>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</si>
  <si>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</si>
  <si>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</si>
  <si>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</si>
  <si>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</si>
  <si>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</si>
  <si>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</si>
  <si>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</si>
  <si>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</si>
  <si>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</si>
  <si>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</si>
  <si>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</si>
  <si>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</si>
  <si>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</si>
  <si>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</si>
  <si>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</si>
  <si>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</si>
  <si>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</si>
  <si>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</si>
  <si>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</si>
  <si>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</si>
  <si>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</si>
  <si>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</si>
  <si>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</si>
  <si>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</si>
  <si>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</si>
  <si>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</si>
  <si>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</si>
  <si>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</si>
  <si>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</si>
  <si>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</si>
  <si>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</si>
  <si>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</si>
  <si>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</si>
  <si>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</si>
  <si>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</si>
  <si>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</si>
  <si>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</si>
  <si>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</si>
  <si>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</si>
  <si>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</si>
  <si>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</si>
  <si>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</si>
  <si>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</si>
  <si>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</si>
  <si>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</si>
  <si>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</si>
  <si>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</si>
  <si>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</si>
  <si>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</si>
  <si>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</si>
  <si>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</si>
  <si>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</si>
  <si>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</si>
  <si>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</si>
  <si>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</si>
  <si>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</si>
  <si>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</si>
  <si>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</si>
  <si>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</si>
  <si>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</si>
  <si>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</si>
  <si>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</si>
  <si>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</si>
  <si>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</si>
  <si>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</si>
  <si>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</si>
  <si>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</si>
  <si>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</si>
  <si>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</si>
  <si>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</si>
  <si>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</si>
  <si>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</si>
  <si>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</si>
  <si>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</si>
  <si>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</si>
  <si>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</si>
  <si>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</si>
  <si>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</si>
  <si>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</si>
  <si>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</si>
  <si>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</si>
  <si>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</si>
  <si>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</si>
  <si>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</si>
  <si>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</si>
  <si>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</si>
  <si>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</si>
  <si>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</si>
  <si>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</si>
  <si>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</si>
  <si>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</si>
  <si>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</si>
  <si>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</si>
  <si>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</si>
  <si>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</si>
  <si>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</si>
  <si>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</si>
  <si>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</si>
  <si>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</si>
  <si>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</si>
  <si>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</si>
  <si>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</si>
  <si>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</si>
  <si>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</si>
  <si>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</si>
  <si>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</si>
  <si>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</si>
  <si>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</si>
  <si>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</si>
  <si>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</si>
  <si>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</si>
  <si>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</si>
  <si>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</si>
  <si>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</si>
  <si>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</si>
  <si>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</si>
  <si>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</si>
  <si>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</si>
  <si>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</si>
  <si>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</si>
  <si>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</si>
  <si>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</si>
  <si>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</si>
  <si>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</si>
  <si>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</si>
  <si>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</si>
  <si>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</si>
  <si>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</si>
  <si>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</si>
  <si>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</si>
  <si>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</si>
  <si>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</si>
  <si>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</si>
  <si>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</si>
  <si>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</si>
  <si>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</si>
  <si>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</si>
  <si>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</si>
  <si>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</si>
  <si>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</si>
  <si>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</si>
  <si>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</si>
  <si>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</si>
  <si>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</si>
  <si>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</si>
  <si>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</si>
  <si>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</si>
  <si>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</si>
  <si>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</si>
  <si>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</si>
  <si>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</si>
  <si>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</si>
  <si>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</si>
  <si>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</si>
  <si>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</si>
  <si>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</si>
  <si>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</si>
  <si>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</si>
  <si>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</si>
  <si>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</si>
  <si>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</si>
  <si>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</si>
  <si>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</si>
  <si>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</si>
  <si>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</si>
  <si>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</si>
  <si>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</si>
  <si>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</si>
  <si>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</si>
  <si>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</si>
  <si>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</si>
  <si>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</si>
  <si>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</si>
  <si>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</si>
  <si>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</si>
  <si>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</si>
  <si>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</si>
  <si>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</si>
  <si>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</si>
  <si>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</si>
  <si>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</si>
  <si>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</si>
  <si>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</si>
  <si>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</si>
  <si>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</si>
  <si>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</si>
  <si>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</si>
  <si>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</si>
  <si>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</si>
  <si>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</si>
  <si>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</si>
  <si>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</si>
  <si>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</si>
  <si>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</si>
  <si>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</si>
  <si>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</si>
  <si>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</si>
  <si>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</si>
  <si>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</si>
  <si>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</si>
  <si>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</si>
  <si>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</si>
  <si>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</si>
  <si>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</si>
  <si>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</si>
  <si>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</si>
  <si>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</si>
  <si>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</si>
  <si>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</si>
  <si>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</si>
  <si>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</si>
  <si>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</si>
  <si>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</si>
  <si>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</si>
  <si>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</si>
  <si>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</si>
  <si>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</si>
  <si>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</si>
  <si>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</si>
  <si>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</si>
  <si>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</si>
  <si>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</si>
  <si>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</si>
  <si>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</si>
  <si>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</si>
  <si>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</si>
  <si>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</si>
  <si>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</si>
  <si>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</si>
  <si>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</si>
  <si>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</si>
  <si>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</si>
  <si>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</si>
  <si>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</si>
  <si>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</si>
  <si>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</si>
  <si>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</si>
  <si>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</si>
  <si>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</si>
  <si>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</si>
  <si>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</si>
  <si>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</si>
  <si>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</si>
  <si>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</si>
  <si>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</si>
  <si>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</si>
  <si>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</si>
  <si>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</si>
  <si>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</si>
  <si>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</si>
  <si>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</si>
  <si>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</si>
  <si>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</si>
  <si>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</si>
  <si>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</si>
  <si>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</si>
  <si>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</si>
  <si>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</si>
  <si>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</si>
  <si>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</si>
  <si>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</si>
  <si>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</si>
  <si>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</si>
  <si>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</si>
  <si>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</si>
  <si>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</si>
  <si>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</si>
  <si>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</si>
  <si>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</si>
  <si>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</si>
  <si>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</si>
  <si>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</si>
  <si>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</si>
  <si>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</si>
  <si>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</si>
  <si>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</si>
  <si>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</si>
  <si>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</si>
  <si>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</si>
  <si>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</si>
  <si>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</si>
  <si>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</si>
  <si>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</si>
  <si>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</si>
  <si>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</si>
  <si>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</si>
  <si>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</si>
  <si>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</si>
  <si>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</si>
  <si>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</si>
  <si>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</si>
  <si>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</si>
  <si>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</si>
  <si>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</si>
  <si>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</si>
  <si>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</si>
  <si>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</si>
  <si>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</si>
  <si>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</si>
  <si>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</si>
  <si>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</si>
  <si>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</si>
  <si>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</si>
  <si>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</si>
  <si>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</si>
  <si>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</si>
  <si>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</si>
  <si>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</si>
  <si>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</si>
  <si>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</si>
  <si>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</si>
  <si>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</si>
  <si>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</si>
  <si>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</si>
  <si>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</si>
  <si>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</si>
  <si>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</si>
  <si>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</si>
  <si>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</si>
  <si>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</si>
  <si>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</si>
  <si>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</si>
  <si>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</si>
  <si>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</si>
  <si>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</si>
  <si>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</si>
  <si>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</si>
  <si>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</si>
  <si>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</si>
  <si>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</si>
  <si>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</si>
  <si>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</si>
  <si>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</si>
  <si>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</si>
  <si>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</si>
  <si>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</si>
  <si>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</si>
  <si>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</si>
  <si>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</si>
  <si>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</si>
  <si>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</si>
  <si>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</si>
  <si>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</si>
  <si>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</si>
  <si>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</si>
  <si>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</si>
  <si>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</si>
  <si>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</si>
  <si>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</si>
  <si>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</si>
  <si>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</si>
  <si>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</si>
  <si>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</si>
  <si>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</si>
  <si>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</si>
  <si>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</si>
  <si>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</si>
  <si>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</si>
  <si>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</si>
  <si>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</si>
  <si>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</si>
  <si>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</si>
  <si>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</si>
  <si>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</si>
  <si>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</si>
  <si>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</si>
  <si>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</si>
  <si>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</si>
  <si>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</si>
  <si>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</si>
  <si>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</si>
  <si>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</si>
  <si>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</si>
  <si>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</si>
  <si>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</si>
  <si>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</si>
  <si>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</si>
  <si>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</si>
  <si>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</si>
  <si>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</si>
  <si>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</si>
  <si>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</si>
  <si>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</si>
  <si>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</si>
  <si>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</si>
  <si>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</si>
  <si>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</si>
  <si>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</si>
  <si>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</si>
  <si>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</si>
  <si>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</si>
  <si>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</si>
  <si>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</si>
  <si>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</si>
  <si>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</si>
  <si>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</si>
  <si>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</si>
  <si>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</si>
  <si>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</si>
  <si>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</si>
  <si>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</si>
  <si>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</si>
  <si>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</si>
  <si>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</si>
  <si>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</si>
  <si>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</si>
  <si>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</si>
  <si>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</si>
  <si>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</si>
  <si>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</si>
  <si>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</si>
  <si>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</si>
  <si>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</si>
  <si>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</si>
  <si>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</si>
  <si>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</si>
  <si>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</si>
  <si>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</si>
  <si>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</si>
  <si>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</si>
  <si>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</si>
  <si>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</si>
  <si>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</si>
  <si>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</si>
  <si>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</si>
  <si>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</si>
  <si>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</si>
  <si>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</si>
  <si>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</si>
  <si>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</si>
  <si>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</si>
  <si>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</si>
  <si>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</si>
  <si>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</si>
  <si>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</si>
  <si>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</si>
  <si>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</si>
  <si>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</si>
  <si>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</si>
  <si>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</si>
  <si>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</si>
  <si>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</si>
  <si>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</si>
  <si>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</si>
  <si>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</si>
  <si>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</si>
  <si>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</si>
  <si>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</si>
  <si>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</si>
  <si>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</si>
  <si>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</si>
  <si>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</si>
  <si>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</si>
  <si>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</si>
  <si>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</si>
  <si>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</si>
  <si>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</si>
  <si>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</si>
  <si>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</si>
  <si>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</si>
  <si>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</si>
  <si>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</si>
  <si>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</si>
  <si>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</si>
  <si>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</si>
  <si>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</si>
  <si>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</si>
  <si>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</si>
  <si>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</si>
  <si>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</si>
  <si>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</si>
  <si>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</si>
  <si>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</si>
  <si>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</si>
  <si>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</si>
  <si>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</si>
  <si>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</si>
  <si>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</si>
  <si>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</si>
  <si>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</si>
  <si>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</si>
  <si>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</si>
  <si>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</si>
  <si>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</si>
  <si>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</si>
  <si>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</si>
  <si>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</si>
  <si>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</si>
  <si>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</si>
  <si>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</si>
  <si>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</si>
  <si>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</si>
  <si>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</si>
  <si>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</si>
  <si>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</si>
  <si>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</si>
  <si>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</si>
  <si>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</si>
  <si>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</si>
  <si>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</si>
  <si>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</si>
  <si>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</si>
  <si>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</si>
  <si>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</si>
  <si>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</si>
  <si>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</si>
  <si>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</si>
  <si>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</si>
  <si>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</si>
  <si>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</si>
  <si>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</si>
  <si>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</si>
  <si>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</si>
  <si>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</si>
  <si>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</si>
  <si>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</si>
  <si>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</si>
  <si>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</si>
  <si>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</si>
  <si>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</si>
  <si>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</si>
  <si>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</si>
  <si>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</si>
  <si>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</si>
  <si>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</si>
  <si>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</si>
  <si>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</si>
  <si>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</si>
  <si>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</si>
  <si>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</si>
  <si>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</si>
  <si>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</si>
  <si>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</si>
  <si>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</si>
  <si>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</si>
  <si>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</si>
  <si>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</si>
  <si>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</si>
  <si>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</si>
  <si>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</si>
  <si>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</si>
  <si>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</si>
  <si>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</si>
  <si>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</si>
  <si>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</si>
  <si>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</si>
  <si>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</si>
  <si>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</si>
  <si>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</si>
  <si>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</si>
  <si>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</si>
  <si>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</si>
  <si>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</si>
  <si>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</si>
  <si>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</si>
  <si>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</si>
  <si>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</si>
  <si>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</si>
  <si>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</si>
  <si>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</si>
  <si>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</si>
  <si>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</si>
  <si>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</si>
  <si>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</si>
  <si>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</si>
  <si>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</si>
  <si>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</si>
  <si>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</si>
  <si>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</si>
  <si>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</si>
  <si>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</si>
  <si>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</si>
  <si>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</si>
  <si>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</si>
  <si>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</si>
  <si>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</si>
  <si>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</si>
  <si>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</si>
  <si>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</si>
  <si>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</si>
  <si>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</si>
  <si>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</si>
  <si>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</si>
  <si>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</si>
  <si>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</si>
  <si>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</si>
  <si>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</si>
  <si>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</si>
  <si>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</si>
  <si>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</si>
  <si>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</si>
  <si>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</si>
  <si>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</si>
  <si>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</si>
  <si>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</si>
  <si>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</si>
  <si>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</si>
  <si>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</si>
  <si>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</si>
  <si>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</si>
  <si>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</si>
  <si>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</si>
  <si>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</si>
  <si>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</si>
  <si>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</si>
  <si>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</si>
  <si>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</si>
  <si>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</si>
  <si>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</si>
  <si>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</si>
  <si>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</si>
  <si>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</si>
  <si>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</si>
  <si>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</si>
  <si>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</si>
  <si>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</si>
  <si>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</si>
  <si>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</si>
  <si>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</si>
  <si>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</si>
  <si>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</si>
  <si>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</si>
  <si>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</si>
  <si>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</si>
  <si>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</si>
  <si>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</si>
  <si>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</si>
  <si>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</si>
  <si>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</si>
  <si>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</si>
  <si>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</si>
  <si>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</si>
  <si>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</si>
  <si>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</si>
  <si>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</si>
  <si>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</si>
  <si>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</si>
  <si>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</si>
  <si>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</si>
  <si>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</si>
  <si>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</si>
  <si>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</si>
  <si>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</si>
  <si>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</si>
  <si>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</si>
  <si>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</si>
  <si>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</si>
  <si>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</si>
  <si>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</si>
  <si>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</si>
  <si>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</si>
  <si>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</si>
  <si>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</si>
  <si>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</si>
  <si>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</si>
  <si>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</si>
  <si>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</si>
  <si>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</si>
  <si>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</si>
  <si>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</si>
  <si>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</si>
  <si>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</si>
  <si>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</si>
  <si>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</si>
  <si>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</si>
  <si>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</si>
  <si>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</si>
  <si>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</si>
  <si>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</si>
  <si>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</si>
  <si>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</si>
  <si>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</si>
  <si>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</si>
  <si>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</si>
  <si>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</si>
  <si>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</si>
  <si>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</si>
  <si>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</si>
  <si>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</si>
  <si>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</si>
  <si>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</si>
  <si>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</si>
  <si>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</si>
  <si>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</si>
  <si>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</si>
  <si>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</si>
  <si>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</si>
  <si>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</si>
  <si>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</si>
  <si>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</si>
  <si>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</si>
  <si>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</si>
  <si>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</si>
  <si>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</si>
  <si>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</si>
  <si>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</si>
  <si>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</si>
  <si>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</si>
  <si>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</si>
  <si>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</si>
  <si>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</si>
  <si>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</si>
  <si>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</si>
  <si>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</si>
  <si>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</si>
  <si>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</si>
  <si>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</si>
  <si>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</si>
  <si>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</si>
  <si>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</si>
  <si>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</si>
  <si>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</si>
  <si>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</si>
  <si>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</si>
  <si>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</si>
  <si>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</si>
  <si>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</si>
  <si>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</si>
  <si>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</si>
  <si>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</si>
  <si>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</si>
  <si>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</si>
  <si>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</si>
  <si>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</si>
  <si>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</si>
  <si>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</si>
  <si>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</si>
  <si>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</si>
  <si>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</si>
  <si>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</si>
  <si>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</si>
  <si>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</si>
  <si>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</si>
  <si>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</si>
  <si>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</si>
  <si>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</si>
  <si>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</si>
  <si>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</si>
  <si>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</si>
  <si>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</si>
  <si>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</si>
  <si>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</si>
  <si>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</si>
  <si>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</si>
  <si>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</si>
  <si>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</si>
  <si>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</si>
  <si>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</si>
  <si>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</si>
  <si>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</si>
  <si>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</si>
  <si>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</si>
  <si>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</si>
  <si>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</si>
  <si>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</si>
  <si>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</si>
  <si>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</si>
  <si>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</si>
  <si>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</si>
  <si>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</si>
  <si>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</si>
  <si>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</si>
  <si>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</si>
  <si>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</si>
  <si>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</si>
  <si>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</si>
  <si>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</si>
  <si>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</si>
  <si>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</si>
  <si>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</si>
  <si>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</si>
  <si>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</si>
  <si>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</si>
  <si>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</si>
  <si>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</si>
  <si>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</si>
  <si>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</si>
  <si>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</si>
  <si>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</si>
  <si>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</si>
  <si>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</si>
  <si>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</si>
  <si>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</si>
  <si>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</si>
  <si>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</si>
  <si>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</si>
  <si>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</si>
  <si>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</si>
  <si>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</si>
  <si>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</si>
  <si>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</si>
  <si>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</si>
  <si>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</si>
  <si>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</si>
  <si>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</si>
  <si>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</si>
  <si>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</si>
  <si>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</si>
  <si>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</si>
  <si>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</si>
  <si>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</si>
  <si>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</si>
  <si>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</si>
  <si>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</si>
  <si>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</si>
  <si>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</si>
  <si>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</si>
  <si>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</si>
  <si>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</si>
  <si>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</si>
  <si>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</si>
  <si>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</si>
  <si>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</si>
  <si>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</si>
  <si>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</si>
  <si>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</si>
  <si>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</si>
  <si>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</si>
  <si>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</si>
  <si>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</si>
  <si>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</si>
  <si>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</si>
  <si>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</si>
  <si>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</si>
  <si>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</si>
  <si>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</si>
  <si>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</si>
  <si>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</si>
  <si>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</si>
  <si>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</si>
  <si>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</si>
  <si>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</si>
  <si>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</si>
  <si>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</si>
  <si>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</si>
  <si>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</si>
  <si>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</si>
  <si>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</si>
  <si>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</si>
  <si>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</si>
  <si>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</si>
  <si>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</si>
  <si>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</si>
  <si>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</si>
  <si>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</si>
  <si>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</si>
  <si>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</si>
  <si>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</si>
  <si>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</si>
  <si>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</si>
  <si>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</si>
  <si>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</si>
  <si>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</si>
  <si>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</si>
  <si>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</si>
  <si>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</si>
  <si>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</si>
  <si>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</si>
  <si>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</si>
  <si>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</si>
  <si>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</si>
  <si>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</si>
  <si>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</si>
  <si>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</si>
  <si>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</si>
  <si>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</si>
  <si>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</si>
  <si>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</si>
  <si>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</si>
  <si>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</si>
  <si>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</si>
  <si>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</si>
  <si>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</si>
  <si>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</si>
  <si>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</si>
  <si>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</si>
  <si>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</si>
  <si>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</si>
  <si>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</si>
  <si>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</si>
  <si>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</si>
  <si>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</si>
  <si>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</si>
  <si>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</si>
  <si>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</si>
  <si>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</si>
  <si>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</si>
  <si>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</si>
  <si>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</si>
  <si>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</si>
  <si>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</si>
  <si>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</si>
  <si>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</si>
  <si>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</si>
  <si>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</si>
  <si>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</si>
  <si>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</si>
  <si>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</si>
  <si>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</si>
  <si>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</si>
  <si>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</si>
  <si>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</si>
  <si>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</si>
  <si>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</si>
  <si>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</si>
  <si>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</si>
  <si>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</si>
  <si>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</si>
  <si>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</si>
  <si>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</si>
  <si>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</si>
  <si>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</si>
  <si>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</si>
  <si>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</si>
  <si>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</si>
  <si>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</si>
  <si>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</si>
  <si>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</si>
  <si>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</si>
  <si>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</si>
  <si>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</si>
  <si>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</si>
  <si>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</si>
  <si>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</si>
  <si>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</si>
  <si>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</si>
  <si>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</si>
  <si>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</si>
  <si>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</si>
  <si>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</si>
  <si>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</si>
  <si>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</si>
  <si>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</si>
  <si>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</si>
  <si>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</si>
  <si>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</si>
  <si>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</si>
  <si>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</si>
  <si>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</si>
  <si>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</si>
  <si>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</si>
  <si>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</si>
  <si>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</si>
  <si>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</si>
  <si>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</si>
  <si>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</si>
  <si>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</si>
  <si>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</si>
  <si>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</si>
  <si>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</si>
  <si>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</si>
  <si>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</si>
  <si>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</si>
  <si>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</si>
  <si>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</si>
  <si>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</si>
  <si>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</si>
  <si>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</si>
  <si>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</si>
  <si>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</si>
  <si>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</si>
  <si>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</si>
  <si>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</si>
  <si>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</si>
  <si>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</si>
  <si>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</si>
  <si>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</si>
  <si>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</si>
  <si>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</si>
  <si>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</si>
  <si>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</si>
  <si>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</si>
  <si>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</si>
  <si>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</si>
  <si>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</si>
  <si>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</si>
  <si>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</si>
  <si>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</si>
  <si>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</si>
  <si>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</si>
  <si>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</si>
  <si>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</si>
  <si>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</si>
  <si>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</si>
  <si>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</si>
  <si>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</si>
  <si>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</si>
  <si>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</si>
  <si>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</si>
  <si>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</si>
  <si>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</si>
  <si>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</si>
  <si>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</si>
  <si>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</si>
  <si>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</si>
  <si>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</si>
  <si>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</si>
  <si>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</si>
  <si>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</si>
  <si>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</si>
  <si>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</si>
  <si>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</si>
  <si>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</si>
  <si>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</si>
  <si>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</si>
  <si>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</si>
  <si>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</si>
  <si>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</si>
  <si>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</si>
  <si>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</si>
  <si>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</si>
  <si>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</si>
  <si>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</si>
  <si>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</si>
  <si>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</si>
  <si>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</si>
  <si>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</si>
  <si>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</si>
  <si>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</si>
  <si>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</si>
  <si>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</si>
  <si>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</si>
  <si>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</si>
  <si>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</si>
  <si>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</si>
  <si>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</si>
  <si>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</si>
  <si>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</si>
  <si>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</si>
  <si>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</si>
  <si>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</si>
  <si>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</si>
  <si>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</si>
  <si>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</si>
  <si>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</si>
  <si>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</si>
  <si>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</si>
  <si>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</si>
  <si>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</si>
  <si>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</si>
  <si>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</si>
  <si>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</si>
  <si>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</si>
  <si>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</si>
  <si>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</si>
  <si>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</si>
  <si>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</si>
  <si>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</si>
  <si>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</si>
  <si>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</si>
  <si>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</si>
  <si>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</si>
  <si>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</si>
  <si>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</si>
  <si>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</si>
  <si>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</si>
  <si>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</si>
  <si>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</si>
  <si>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</si>
  <si>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</si>
  <si>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</si>
  <si>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</si>
  <si>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</si>
  <si>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</si>
  <si>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</si>
  <si>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</si>
  <si>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</si>
  <si>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</si>
  <si>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</si>
  <si>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</si>
  <si>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</si>
  <si>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</si>
  <si>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</si>
  <si>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</si>
  <si>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</si>
  <si>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</si>
  <si>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</si>
  <si>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</si>
  <si>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</si>
  <si>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</si>
  <si>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</si>
  <si>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</si>
  <si>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</si>
  <si>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</si>
  <si>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</si>
  <si>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</si>
  <si>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</si>
  <si>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</si>
  <si>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</si>
  <si>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</si>
  <si>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</si>
  <si>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</si>
  <si>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</si>
  <si>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</si>
  <si>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</si>
  <si>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</si>
  <si>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</si>
  <si>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</si>
  <si>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</si>
  <si>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</si>
  <si>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</si>
  <si>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</si>
  <si>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</si>
  <si>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</si>
  <si>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</si>
  <si>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</si>
  <si>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</si>
  <si>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</si>
  <si>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</si>
  <si>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</si>
  <si>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</si>
  <si>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</si>
  <si>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</si>
  <si>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</si>
  <si>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</si>
  <si>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</si>
  <si>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</si>
  <si>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</si>
  <si>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</si>
  <si>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</si>
  <si>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</si>
  <si>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</si>
  <si>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</si>
  <si>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</si>
  <si>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</si>
  <si>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</si>
  <si>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</si>
  <si>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</si>
  <si>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</si>
  <si>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</si>
  <si>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</si>
  <si>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</si>
  <si>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</si>
  <si>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</si>
  <si>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</si>
  <si>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</si>
  <si>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</si>
  <si>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</si>
  <si>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</si>
  <si>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</si>
  <si>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</si>
  <si>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</si>
  <si>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</si>
  <si>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</si>
  <si>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</si>
  <si>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</si>
  <si>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</si>
  <si>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</si>
  <si>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</si>
  <si>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</si>
  <si>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</si>
  <si>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</si>
  <si>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</si>
  <si>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</si>
  <si>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</si>
  <si>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</si>
  <si>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</si>
  <si>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</si>
  <si>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</si>
  <si>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</si>
  <si>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</si>
  <si>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</si>
  <si>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</si>
  <si>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</si>
  <si>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</si>
  <si>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</si>
  <si>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</si>
  <si>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</si>
  <si>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</si>
  <si>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</si>
  <si>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</si>
  <si>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</si>
  <si>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</si>
  <si>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</si>
  <si>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</si>
  <si>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</si>
  <si>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</si>
  <si>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</si>
  <si>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</si>
  <si>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</si>
  <si>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</si>
  <si>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</si>
  <si>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</si>
  <si>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</si>
  <si>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</si>
  <si>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</si>
  <si>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</si>
  <si>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</si>
  <si>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</si>
  <si>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</si>
  <si>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</si>
  <si>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</si>
  <si>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</si>
  <si>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</si>
  <si>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</si>
  <si>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</si>
  <si>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</si>
  <si>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</si>
  <si>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</si>
  <si>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</si>
  <si>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</si>
  <si>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</si>
  <si>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</si>
  <si>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</si>
  <si>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</si>
  <si>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</si>
  <si>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</si>
  <si>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</si>
  <si>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</si>
  <si>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</si>
  <si>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</si>
  <si>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</si>
  <si>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</si>
  <si>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</si>
  <si>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</si>
  <si>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</si>
  <si>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</si>
  <si>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</si>
  <si>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</si>
  <si>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</si>
  <si>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</si>
  <si>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</si>
  <si>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</si>
  <si>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</si>
  <si>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</si>
  <si>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</si>
  <si>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</si>
  <si>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</si>
  <si>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</si>
  <si>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</si>
  <si>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</si>
  <si>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</si>
  <si>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</si>
  <si>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</si>
  <si>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</si>
  <si>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</si>
  <si>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</si>
  <si>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</si>
  <si>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</si>
  <si>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</si>
  <si>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</si>
  <si>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</si>
  <si>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</si>
  <si>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</si>
  <si>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</si>
  <si>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</si>
  <si>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</si>
  <si>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</si>
  <si>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</si>
  <si>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</si>
  <si>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</si>
  <si>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</si>
  <si>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</si>
  <si>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</si>
  <si>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</si>
  <si>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</si>
  <si>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</si>
  <si>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</si>
  <si>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</si>
  <si>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</si>
  <si>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</si>
  <si>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</si>
  <si>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</si>
  <si>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</si>
  <si>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</si>
  <si>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</si>
  <si>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</si>
  <si>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</si>
  <si>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</si>
  <si>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</si>
  <si>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</si>
  <si>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</si>
  <si>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</si>
  <si>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</si>
  <si>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</si>
  <si>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</si>
  <si>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</si>
  <si>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</si>
  <si>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</si>
  <si>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</si>
  <si>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</si>
  <si>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</si>
  <si>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</si>
  <si>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</si>
  <si>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</si>
  <si>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</si>
  <si>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</si>
  <si>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</si>
  <si>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</si>
  <si>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</si>
  <si>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</si>
  <si>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</si>
  <si>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</si>
  <si>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</si>
  <si>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</si>
  <si>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</si>
  <si>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</si>
  <si>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</si>
  <si>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</si>
  <si>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</si>
  <si>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</si>
  <si>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</si>
  <si>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</si>
  <si>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</si>
  <si>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</si>
  <si>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</si>
  <si>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</si>
  <si>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</si>
  <si>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</si>
  <si>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</si>
  <si>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</si>
  <si>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</si>
  <si>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</si>
  <si>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</si>
  <si>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</si>
  <si>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</si>
  <si>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</si>
  <si>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</si>
  <si>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</si>
  <si>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</si>
  <si>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</si>
  <si>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</si>
  <si>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</si>
  <si>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</si>
  <si>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</si>
  <si>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</si>
  <si>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</si>
  <si>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</si>
  <si>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</si>
  <si>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</si>
  <si>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</si>
  <si>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</si>
  <si>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</si>
  <si>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</si>
  <si>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</si>
  <si>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</si>
  <si>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</si>
  <si>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</si>
  <si>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</si>
  <si>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</si>
  <si>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</si>
  <si>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</si>
  <si>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</si>
  <si>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</si>
  <si>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</si>
  <si>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</si>
  <si>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</si>
  <si>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</si>
  <si>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</si>
  <si>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</si>
  <si>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</si>
  <si>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</si>
  <si>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</si>
  <si>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</si>
  <si>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</si>
  <si>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</si>
  <si>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</si>
  <si>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</si>
  <si>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</si>
  <si>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</si>
  <si>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</si>
  <si>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</si>
  <si>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</si>
  <si>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项目所属</t>
    <phoneticPr fontId="228" type="noConversion"/>
  </si>
  <si>
    <t>规划建筑面积</t>
    <phoneticPr fontId="228" type="noConversion"/>
  </si>
  <si>
    <t>二期</t>
    <phoneticPr fontId="228" type="noConversion"/>
  </si>
  <si>
    <t>住宅</t>
    <phoneticPr fontId="228" type="noConversion"/>
  </si>
  <si>
    <t>宗地面积</t>
    <phoneticPr fontId="228" type="noConversion"/>
  </si>
  <si>
    <t>三期</t>
    <phoneticPr fontId="228" type="noConversion"/>
  </si>
  <si>
    <t>分摊土地面积</t>
    <phoneticPr fontId="228" type="noConversion"/>
  </si>
  <si>
    <t>12层住宅</t>
    <phoneticPr fontId="228" type="noConversion"/>
  </si>
  <si>
    <t>33层住宅</t>
    <phoneticPr fontId="228" type="noConversion"/>
  </si>
  <si>
    <t>配套用房</t>
    <phoneticPr fontId="228" type="noConversion"/>
  </si>
  <si>
    <t>物业管理</t>
    <phoneticPr fontId="228" type="noConversion"/>
  </si>
  <si>
    <t>商业</t>
  </si>
  <si>
    <t>商业</t>
    <phoneticPr fontId="228" type="noConversion"/>
  </si>
  <si>
    <t>地下车库</t>
    <phoneticPr fontId="228" type="noConversion"/>
  </si>
  <si>
    <t>地下设备</t>
    <phoneticPr fontId="228" type="noConversion"/>
  </si>
  <si>
    <t>地上设备</t>
    <phoneticPr fontId="228" type="noConversion"/>
  </si>
  <si>
    <t>容积率</t>
    <phoneticPr fontId="228" type="noConversion"/>
  </si>
  <si>
    <t>负2层商业</t>
    <phoneticPr fontId="228" type="noConversion"/>
  </si>
  <si>
    <t>负1层商业</t>
    <phoneticPr fontId="228" type="noConversion"/>
  </si>
  <si>
    <t>四期</t>
    <phoneticPr fontId="228" type="noConversion"/>
  </si>
  <si>
    <t>叠拼</t>
    <phoneticPr fontId="228" type="noConversion"/>
  </si>
  <si>
    <t>地下车库</t>
    <phoneticPr fontId="228" type="noConversion"/>
  </si>
  <si>
    <t>合计</t>
    <phoneticPr fontId="228" type="noConversion"/>
  </si>
  <si>
    <t>抵押价格</t>
  </si>
  <si>
    <t>其他：</t>
  </si>
  <si>
    <t>企业</t>
  </si>
  <si>
    <t>地上</t>
  </si>
  <si>
    <t>底商</t>
  </si>
  <si>
    <t>地下</t>
  </si>
  <si>
    <t>拿地</t>
    <phoneticPr fontId="228" type="noConversion"/>
  </si>
  <si>
    <t>总价</t>
    <phoneticPr fontId="228" type="noConversion"/>
  </si>
  <si>
    <t>楼面单价</t>
    <phoneticPr fontId="228" type="noConversion"/>
  </si>
  <si>
    <t>建筑面积</t>
    <phoneticPr fontId="228" type="noConversion"/>
  </si>
  <si>
    <t>土地面积</t>
    <phoneticPr fontId="228" type="noConversion"/>
  </si>
  <si>
    <t>一期</t>
    <phoneticPr fontId="228" type="noConversion"/>
  </si>
  <si>
    <t>住宅</t>
    <phoneticPr fontId="228" type="noConversion"/>
  </si>
  <si>
    <t>二期</t>
    <phoneticPr fontId="228" type="noConversion"/>
  </si>
  <si>
    <t>三期</t>
    <phoneticPr fontId="228" type="noConversion"/>
  </si>
  <si>
    <t>商业</t>
    <phoneticPr fontId="228" type="noConversion"/>
  </si>
  <si>
    <t>四期</t>
    <phoneticPr fontId="228" type="noConversion"/>
  </si>
  <si>
    <t>住宅</t>
    <phoneticPr fontId="228" type="noConversion"/>
  </si>
  <si>
    <t>车库</t>
  </si>
  <si>
    <t>商业</t>
    <phoneticPr fontId="7" type="noConversion"/>
  </si>
  <si>
    <t>地下车库</t>
    <phoneticPr fontId="7" type="noConversion"/>
  </si>
  <si>
    <t>剩余法-待开发</t>
  </si>
  <si>
    <t>比较法-住宅、综合</t>
  </si>
  <si>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</si>
  <si>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</si>
  <si>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</si>
  <si>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</si>
  <si>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</si>
  <si>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</si>
  <si>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</si>
  <si>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</si>
  <si>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</si>
  <si>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</si>
  <si>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</si>
  <si>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</si>
  <si>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</si>
  <si>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</si>
  <si>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</si>
  <si>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</si>
  <si>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渝北区两路组团G分区G49-1/03、G49-3/03地块</t>
  </si>
  <si>
    <t>重庆市</t>
  </si>
  <si>
    <t>综合用地(含住宅)</t>
  </si>
  <si>
    <t>g49-1/03≤2,g49-3/03≤1.5</t>
  </si>
  <si>
    <t>拍卖</t>
  </si>
  <si>
    <t>商业用地、商务用地、二类居住用地</t>
  </si>
  <si>
    <t>2020-05-29</t>
  </si>
  <si>
    <t>博创城市建设开发有限公司</t>
  </si>
  <si>
    <t>5星</t>
  </si>
  <si>
    <t>两江新区龙兴组团H分区H17-1、H17-2、H21-1、H26-4、H28-3、H29-1地块</t>
  </si>
  <si>
    <t>h17-1≤1.25,h17-2≤0.58,h21-1、h26-4、h28-3、h29-1≤1.01</t>
  </si>
  <si>
    <t>挂牌</t>
  </si>
  <si>
    <t>二类居住用地、商业用地、服务设施用地</t>
  </si>
  <si>
    <t>2020-05-28</t>
  </si>
  <si>
    <t>重庆昆翔房地产开发有限责任公司、重庆太平洋屋业发展有限公司</t>
  </si>
  <si>
    <t>两江新区龙兴组团H分区H15-1、H16-1、H19-1、H20-1、H26-1、H26-2、H26-3地块</t>
  </si>
  <si>
    <t>h15-1、h16-1≤1.3,h19-1、h20-1、h26-1、h26-2≤1.01,h26-3≤1</t>
  </si>
  <si>
    <t>二类居住用地、商业用地</t>
  </si>
  <si>
    <t>重庆融创凯旋置业有限公司、重庆仁融熠企业管理咨询有限责任公司</t>
  </si>
  <si>
    <t>4星</t>
  </si>
  <si>
    <t>渝北区两路组团I分区I21-2-1/04地块</t>
  </si>
  <si>
    <t>住宅用地</t>
  </si>
  <si>
    <t>＞1并且≤1.5</t>
  </si>
  <si>
    <t>二类居住用地</t>
  </si>
  <si>
    <t>2020-05-15</t>
  </si>
  <si>
    <t>昆明市海伦堡房地产开发有限公司</t>
  </si>
  <si>
    <t>两江新区两路组团I分区I47-1地块、I47-2地块</t>
  </si>
  <si>
    <t>i47-1≤1.2,i47-2≤1.35</t>
  </si>
  <si>
    <t>2020-04-17</t>
  </si>
  <si>
    <t>重庆尖置房地产有限公司</t>
  </si>
  <si>
    <t>3星</t>
  </si>
  <si>
    <t>两江新区两路组团I分区I39-1地块、I39-2地块、I39-3地块</t>
  </si>
  <si>
    <t>i39-1≤1.2,i39-2、i39-3≤1.5</t>
  </si>
  <si>
    <t>2星</t>
  </si>
  <si>
    <t>两江新区龙兴组团I分区I07地块、I10-1地块、I11地块、I13-1地块、I14-1-3地块</t>
  </si>
  <si>
    <t>≥1并且≤1.5</t>
  </si>
  <si>
    <t>二类居住用地、商业用地、商务用地</t>
  </si>
  <si>
    <t>2020-04-10</t>
  </si>
  <si>
    <t>重庆两江新区置业发展有限公司</t>
  </si>
  <si>
    <t>渝北区两路组团F分区F37-3/04地块</t>
  </si>
  <si>
    <t>2020-03-25</t>
  </si>
  <si>
    <t>重庆柏景铭厦置业有限公司</t>
  </si>
  <si>
    <t>渝北区两路组团F分区F35-1/03、F35-2-1/04、F35-2-2/04地块</t>
  </si>
  <si>
    <t>≥1并且≤2</t>
  </si>
  <si>
    <t>重庆荣盛坤创房地产开发有限公司</t>
  </si>
  <si>
    <t>两江新区龙兴组团J分区J44-8、J45-1地块</t>
  </si>
  <si>
    <t>j44-8地块≤1,j45-1地块1.5</t>
  </si>
  <si>
    <t>2020-03-20</t>
  </si>
  <si>
    <t>重庆两江新区新太置业发展有限公司</t>
  </si>
  <si>
    <t>渝北区唐家沱组团N分区N1-7-1/02(部分)地块</t>
  </si>
  <si>
    <t>2020-03-05</t>
  </si>
  <si>
    <t>重庆创新经济走廊开发建设有限公司</t>
  </si>
  <si>
    <t>两江新区悦来组团D分区D39-1、D40-1、D40-2、D37-3、D36-2、D43-3号宗地</t>
  </si>
  <si>
    <t>≥1并且≤1.56</t>
  </si>
  <si>
    <t>二类居住用地、商业用地、商务用地、其他商务用地</t>
  </si>
  <si>
    <t>2020-01-21</t>
  </si>
  <si>
    <t>重庆万悦置业有限公司</t>
  </si>
  <si>
    <t>两江新区悦来组团D分区D35-3、D36-5、D39-4、D34-2、D35-4号宗地</t>
  </si>
  <si>
    <t>≥1并且≤2.28</t>
  </si>
  <si>
    <t>两江新区两路组团C标准分区C13-1、C14-1、C48-1-1、C48-1-2号宗地</t>
  </si>
  <si>
    <t>2019-12-24</t>
  </si>
  <si>
    <t>GLL*CHONGQING*18*STEPS*PTE.LTD.</t>
  </si>
  <si>
    <t>两江新区两路组团C标准分区C53-1、C55-1、C56-1、C57-1、C49-12号宗地</t>
  </si>
  <si>
    <t>＞1并且≤2</t>
  </si>
  <si>
    <t>2019-09-16</t>
  </si>
  <si>
    <t>重庆怡置房地产开发有限公司</t>
  </si>
  <si>
    <t>两江新区两路组团C标准分区C52-1、C54-1、C49-7号宗地</t>
  </si>
  <si>
    <t>保利(重庆)投资实业有限公司</t>
  </si>
  <si>
    <t>两江新区两路组团C分区C86-1/04、C87-1/04、C88-1/04、C93-1/04号宗地</t>
  </si>
  <si>
    <t>＞1并且≤2.1</t>
  </si>
  <si>
    <t>2019-08-29</t>
  </si>
  <si>
    <t>上海复怡实业发展有限公司、天津湖滨广场置业发展有限公司</t>
  </si>
  <si>
    <t>两江新区两路组团C标准分区C49-1-1/05、C49-1-2/05号宗地</t>
  </si>
  <si>
    <t>＞1并且≤1.3</t>
  </si>
  <si>
    <t>2019-08-22</t>
  </si>
  <si>
    <t>重庆绿城致嘉房地产开发有限公司</t>
  </si>
  <si>
    <t>两江新区两路组团C标准分区C49-2-1/05、C49-2-2/05、C50-1/03号宗地</t>
  </si>
  <si>
    <t>＞1并且≤1.4</t>
  </si>
  <si>
    <t>渝北区观音桥组团C分区C6-1、C5-1号宗地</t>
  </si>
  <si>
    <t>＞1并且≤1.9</t>
  </si>
  <si>
    <t>2019-07-31</t>
  </si>
  <si>
    <t>成都永进合能房地产有限公司</t>
  </si>
  <si>
    <t>渝北区人和组团N分区N14-2、N14-5-2、B分区B35-1号宗地</t>
  </si>
  <si>
    <t>＞1并且≤2.2</t>
  </si>
  <si>
    <t>2019-06-27</t>
  </si>
  <si>
    <t>重庆友熙置业有限公司</t>
  </si>
  <si>
    <t>渝北区两路组团I分区I25-1号宗地</t>
  </si>
  <si>
    <t>2019-06-26</t>
  </si>
  <si>
    <t>农工商房地产(集团)有限公司</t>
  </si>
  <si>
    <t>渝北区人和组团B标准分区B35-2、B35-3、B37-4、N14-5-1、N14-1号宗地</t>
  </si>
  <si>
    <t>＞1并且≤1.6</t>
  </si>
  <si>
    <t>2019-06-25</t>
  </si>
  <si>
    <t>两江新区悦来组团Q分区Q15-6、Q16-1号宗地</t>
  </si>
  <si>
    <t>2019-06-20</t>
  </si>
  <si>
    <t>万科(重庆)企业有限公司</t>
  </si>
  <si>
    <t>两江新区悦来组团Q分区Q15-2、Q15-3号宗地</t>
  </si>
  <si>
    <t>两江新区悦来组团Q分区Q15-1、Q15-4号宗地</t>
  </si>
  <si>
    <t>2019-06-19</t>
  </si>
  <si>
    <t>两江新区悦来组团Q分区Q20-1、Q21-1号宗地</t>
  </si>
  <si>
    <t>＞1并且≤1.2</t>
  </si>
  <si>
    <t>两江新区悦来组团Q分区Q18-2、Q19-1号宗地</t>
  </si>
  <si>
    <t>2019-06-18</t>
  </si>
  <si>
    <t>重庆同原房地产开发有限公司、重庆东毅之方企业管理咨询有限公司、深圳市盛钧投资管理有限公司</t>
  </si>
  <si>
    <t>渝北区两路组团S分区S20-1、S20-3、S20-4号宗地</t>
  </si>
  <si>
    <t>2019-06-17</t>
  </si>
  <si>
    <t>重庆龙湖企业拓展有限公司、深圳市盛钧投资管理有限公司</t>
  </si>
  <si>
    <t>渝北区两路组团S分区S17-1、S17-3、S18-1号宗地</t>
  </si>
  <si>
    <t>2019-06-13</t>
  </si>
  <si>
    <t>渝北区两路组团S分区S17-5、S17-6、S18-3号宗地</t>
  </si>
  <si>
    <t>两江新区悦来组团D分区D22-1、D22-3号宗地</t>
  </si>
  <si>
    <t>2019-05-30</t>
  </si>
  <si>
    <t>两江新区悦来组团D分区D25-1、D24-1-2号宗地</t>
  </si>
  <si>
    <t>＞1并且≤2.5</t>
  </si>
  <si>
    <t>两江新区悦来组团C分区C17-3、C17-4-1号宗地</t>
  </si>
  <si>
    <t>2019-05-29</t>
  </si>
  <si>
    <t>两江新区两路组团I分区I5-1/03、I5-2/03、I6-4/04、I7-3/04号宗地</t>
  </si>
  <si>
    <t>重庆金科宸居置业有限公司、重庆和彰企业管理咨询有限公司</t>
  </si>
  <si>
    <t>两江新区两路组团I分区I2-4/03、I3-3/03、I4-1/04、I4-3/04号宗地</t>
  </si>
  <si>
    <t>2019-05-16</t>
  </si>
  <si>
    <t>重庆旭辉房地产开发有限公司、重庆市金科宸居置业有限公司</t>
  </si>
  <si>
    <t>两江新区两路组团I分区I40-1/03、I40-2/03、I41-2/03、I42-1/03号宗地</t>
  </si>
  <si>
    <t>2019-05-10</t>
  </si>
  <si>
    <t>北京首钢房地产开发有限公司</t>
  </si>
  <si>
    <t>两江新区两路组团I分区I38-2-1/03、I38-2-2/03、I38-3-2/03号宗地</t>
  </si>
  <si>
    <t>2019-05-09</t>
  </si>
  <si>
    <t>两江新区两路组团C标准分区C12-1/04号宗地</t>
  </si>
  <si>
    <t>2019-04-25</t>
  </si>
  <si>
    <t>成都顶峰房地产开发有限公司、上海顶融置业有限公司</t>
  </si>
  <si>
    <t>渝北区两路组团E标准分区E89-3/02、E90-1号宗地</t>
  </si>
  <si>
    <t>2019-04-10</t>
  </si>
  <si>
    <t>重庆融永房地产开发有限公司</t>
  </si>
  <si>
    <t>渝北区两路组团I标准分区I20/04号宗地</t>
  </si>
  <si>
    <t>2019-03-29</t>
  </si>
  <si>
    <t>重庆正惠置业有限公司</t>
  </si>
  <si>
    <t>渝北区两路组团I标准分区I21-1/04号宗地</t>
  </si>
  <si>
    <t>重庆灿瑞置业有限公司</t>
  </si>
  <si>
    <t>渝北区两路组团S分区S19-2、S19-3、S19-4号宗地</t>
  </si>
  <si>
    <t>2019-03-28</t>
  </si>
  <si>
    <t>重庆市金科宸居置业有限公司、美的西南房地产发展有限公司</t>
  </si>
  <si>
    <t>渝北区两路组团S分区S16-2、S16-3号宗地</t>
  </si>
  <si>
    <t>北京北辰实业股份有限公司</t>
  </si>
  <si>
    <t>渝北区两路组团F分区F47-1、F48-1号宗地</t>
  </si>
  <si>
    <t>＞1并且≤1.7</t>
  </si>
  <si>
    <t>2019-03-27</t>
  </si>
  <si>
    <t>重庆市綦江区煦江房地产开发有限公司、阳光城中光电(重庆)实业有限公司</t>
  </si>
  <si>
    <t>两江新区礼嘉组团F标准分区F05-11/04号宗地</t>
  </si>
  <si>
    <t>＞1并且≤1.49</t>
  </si>
  <si>
    <t>2018-12-29</t>
  </si>
  <si>
    <t>绿城房地产集团有限公司</t>
  </si>
  <si>
    <t>两江新区礼嘉组团F标准分区F05-2/07号宗地</t>
  </si>
  <si>
    <t>卓越置业集团重庆两江有限公司、重庆瀚置北兴企业管理顾问有限公司</t>
  </si>
  <si>
    <t>两江新区悦来组团D分区D21-1/03、D21-2/03号宗地</t>
  </si>
  <si>
    <t>2018-12-28</t>
  </si>
  <si>
    <t>重庆瀚置新辰企业管理顾问有限公司、重庆怡置房地产开发有限公司</t>
  </si>
  <si>
    <t>两江新区悦来组团C分区C71-2/05、C74/05、C75-2/05、C81/05、C82/05、C83-3/05、C83-2/05、C84/05、C60-1/05、C61-2/05号宗地</t>
  </si>
  <si>
    <t>＞1并且＜2.39</t>
  </si>
  <si>
    <t>二类居住用地、服务设施用地、商业用地、商务用地</t>
  </si>
  <si>
    <t>2018-06-28</t>
  </si>
  <si>
    <t>重庆华宇业和实业有限公司、重庆辉沛企业管理有限公司、重庆华侨城实业发展有限公司</t>
  </si>
  <si>
    <t>两江新区悦来组团C分区C89/05、C60-2/06、C79-2/05、C78-2/05、C73/05、C76/05、C75-1/05号宗地</t>
  </si>
  <si>
    <t>＞1并且≤2.7</t>
  </si>
  <si>
    <t>二类居住用地、商业用地、商务用地、娱乐康体用地、其他商务用地</t>
  </si>
  <si>
    <t>2018-06-27</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</si>
  <si>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</si>
  <si>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</si>
  <si>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</si>
  <si>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</si>
  <si>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</si>
  <si>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</si>
  <si>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</si>
  <si>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</si>
  <si>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两江新区两路组团I分区I45-4/03、I45-1/03、I45-5/03、I45-7/03、I46-1/03、I48-3/03、I49-8/03、I49-17/03号宗地</t>
  </si>
  <si>
    <t>美的西南房地产发展有限公司</t>
  </si>
  <si>
    <t>两江新区两路组团I分区I6-1/03、I7-4/03、I7-5/03、I7-8/03、I10-3/03、I11-1/03、I11-2/03、I12-2/03、I16-3/04号宗地</t>
  </si>
  <si>
    <t>重庆金科房地产开发有限公司</t>
  </si>
  <si>
    <t>两江新区龙兴组团H分区H70-4/01、H72-1/01、H73-2/01、H74-1/01、H76/01、H77/01号宗地</t>
  </si>
  <si>
    <t>商业用地、商务用地、二类居住用地、社会停车场用地</t>
  </si>
  <si>
    <t>2018-05-04</t>
  </si>
  <si>
    <t>重庆两江新区龙湖新御置业发展有限公司</t>
  </si>
  <si>
    <t>两江新区悦来组团C分区C62-2/06、C62-3-3/05、C63/05、C64/05、C65-1/05、C66/05、C67/05、C68/05、C69-1/05、C69-2/05号宗地</t>
  </si>
  <si>
    <t>＞1并且≤2.58</t>
  </si>
  <si>
    <t>二类居住用地、娱乐康体用地、其他商务设施用地、文化设施用地、服务设施用地、商业用地</t>
  </si>
  <si>
    <t>2018-04-04</t>
  </si>
  <si>
    <t>重庆华侨城实业发展有限公司</t>
  </si>
  <si>
    <t>两江新区龙兴组团H分区H13-1/01、H16-1/01、H17-1/01、H17-2/01、H19-1/01、H26-1/01号宗地</t>
  </si>
  <si>
    <t>＞1并且≤1.04</t>
  </si>
  <si>
    <t>其他服务设施用地(民办学校)、二类居住用地、商业用地、行政办公用地</t>
  </si>
  <si>
    <t>2018-03-30</t>
  </si>
  <si>
    <t>重庆两江新区开发投资集团有限公司、重庆两江新区置业发展有限公司</t>
  </si>
  <si>
    <t>两江新区龙兴组团H分区H23-1/01、H18-2/01、H20-1/01、H21-1/01、H26-2/01、H26-3/01、H26-4/01、H28-3/01、H29-1/01号宗地</t>
  </si>
  <si>
    <t>≤0.95</t>
  </si>
  <si>
    <t>其他服务设施用地(民办学校)、二类居住用地、商业用地、社会停车场用地</t>
  </si>
  <si>
    <t>两江新区两路组团C分区C126-1-1/04、C126-1-2/04、C127-1/03、C128-1/03、C129-1/03号宗地</t>
  </si>
  <si>
    <t>2018-03-27</t>
  </si>
  <si>
    <t>万科(重庆)房地产有限公司</t>
  </si>
  <si>
    <t>两江新区两路组团C分区C119-1/03、C123-1/04、C120-1/03号宗地</t>
  </si>
  <si>
    <t>两江新区两路组团J分区J01-2/04、J02/04、J03-1/04、J04/04号宗地</t>
  </si>
  <si>
    <t>2018-02-27</t>
  </si>
  <si>
    <t>重庆招商依城房地产开发有限公司</t>
  </si>
  <si>
    <t>两江新区龙兴组团K、H分区K28-1/01、H1-3/01、H2-3/01、H3-2/01、H4-2/01、H14-2/01、H24-3/01号宗地</t>
  </si>
  <si>
    <t>＞1并且≤1.48</t>
  </si>
  <si>
    <t>二类居住用地、商业用地、商务用地、其他服务设施用地(民办学校)</t>
  </si>
  <si>
    <t>2018-02-13</t>
  </si>
  <si>
    <t>重庆协信远涪房地产开发有限公司、哈羅國際*(中國)管理服務有限公司</t>
  </si>
  <si>
    <t>两江新区龙兴组团K、H分区K27-1/01、K29-1/01、*K30-3/01、K31-1/01、K31-8/01、K33-2/01、H25-2/01号宗地</t>
  </si>
  <si>
    <t>＞1并且≤1.1</t>
  </si>
  <si>
    <t>二类居住用地、商业用地、其他服务设施用地(民办学校)</t>
  </si>
  <si>
    <t>两江新区大竹林组团G分区G10-1/05号宗地</t>
  </si>
  <si>
    <t>2018-01-04</t>
  </si>
  <si>
    <t>深圳安创投资管理有限公司、重庆龙湖地产发展有限公司</t>
  </si>
  <si>
    <t>两江新区悦来组团C分区C53/05号宗地</t>
  </si>
  <si>
    <t>2017-12-11</t>
  </si>
  <si>
    <t>宁波投创荣安置业有限公司</t>
  </si>
  <si>
    <t>渝北区两路组团F分区F110-5、F111-4、F113-1、F113-2号宗地</t>
  </si>
  <si>
    <t>＞1并且≤3.9</t>
  </si>
  <si>
    <t>2017-10-20</t>
  </si>
  <si>
    <t>重庆中新航旅实业有限公司、万科(重庆)房地产有限公司、海航集团西南总部有限公司</t>
  </si>
  <si>
    <t>渝北区两路组团F分区F108-3、F109-1、F112-1、F125-1、F126-1、F127-1、F128-1、F24-1号宗地</t>
  </si>
  <si>
    <t>＞1并且≤3.4</t>
  </si>
  <si>
    <t>2017-10-12</t>
  </si>
  <si>
    <t>重庆龙湖企业拓展有限公司、深圳联新投资管理有限公司</t>
  </si>
  <si>
    <t>两江新区龙兴组团C分区C51-1/01、C51-3/01、C51-4/01、C51-6/01、C51-8/01号宗地</t>
  </si>
  <si>
    <t>二类居住用地、其它商务用地(生产性服务业用地)</t>
  </si>
  <si>
    <t>2017-09-29</t>
  </si>
  <si>
    <t>重庆作平置业有限公司、重庆金可镂实业有限公司</t>
  </si>
  <si>
    <t>渝北区两路组团F分区F110-1/02、F111-1/02、F114-1/02、F114-2/02、F115-1/02、F115-2/02号宗地</t>
  </si>
  <si>
    <t>＞1并且≤3.6</t>
  </si>
  <si>
    <t>2017-09-28</t>
  </si>
  <si>
    <t>成都市中天盈房地产开发有限公司</t>
  </si>
  <si>
    <t>两江新区两路组团C标准分区C27-1/04、C28-1-1/04号宗地</t>
  </si>
  <si>
    <t>2017-09-27</t>
  </si>
  <si>
    <t>重庆康田置业(集团)有限公司</t>
  </si>
  <si>
    <t>渝北区两路组团F分区F134-1、F135-1、F129-1、F131-1、F131-2号宗地</t>
  </si>
  <si>
    <t>创滔有限公司</t>
  </si>
  <si>
    <t>渝北区两路组团F分区F108-1、F107-2、F58-2、F63-1、F63-2、F64-1号宗地</t>
  </si>
  <si>
    <t>上海新城万嘉房地产有限公司</t>
  </si>
  <si>
    <t>两江新区两路组团C标准分区C28-2-1/03、C28-2-4/03、C30-1-1/03、C28-2-3/03、C29-1-1/03(部分)、C30-1-3/03、C30-1-4/03号宗地</t>
  </si>
  <si>
    <t>＞1并且≤1.8</t>
  </si>
  <si>
    <t>渝北区观音桥组团C分区8-1/04、13-1/04、8-6/02号宗地</t>
  </si>
  <si>
    <t>＞1并且≤4.3</t>
  </si>
  <si>
    <t>二类居住用地、服务设施用地</t>
  </si>
  <si>
    <t>2017-09-08</t>
  </si>
  <si>
    <t>重庆象屿置业有限公司</t>
  </si>
  <si>
    <t>两江新区两路组团J分区J06-1/06号宗地</t>
  </si>
  <si>
    <t>≥1并且≤2.5</t>
  </si>
  <si>
    <t>2017-08-31</t>
  </si>
  <si>
    <t>浙江佳源房地产集团有限公司、重庆佳源中恒文化旅游开发有限公司、中农国信控股集团有限公司</t>
  </si>
  <si>
    <t>两江新区两路组团J分区J12-1/05、J01-17/05、J13-4/05、J13-13/05号宗地</t>
  </si>
  <si>
    <t>≥1并且≤1.65</t>
  </si>
  <si>
    <t>二类居住用地、医疗卫生用地</t>
  </si>
  <si>
    <t>两江新区两路组团I分区I49-5/03、I50-1/03、I51/03号宗地</t>
  </si>
  <si>
    <t>≥1并且≤2.7</t>
  </si>
  <si>
    <t>两江新区两路组团J分区J05/05号宗地</t>
  </si>
  <si>
    <t>两江新区大竹林组团O分区O01-4/05、O01-1/05、O01-2/05号宗地</t>
  </si>
  <si>
    <t>≥1并且≤1.13</t>
  </si>
  <si>
    <t>二类居住用地、一类居住用地、商业用地</t>
  </si>
  <si>
    <t>重庆怡置房地产开发有限公司、重庆新辰北兴企业管理有限公司</t>
  </si>
  <si>
    <t>两江新区礼嘉组团A标准分区A21-2-1/06、A23-2/05、A23-1/06号宗地</t>
  </si>
  <si>
    <t>≥1并且≤1.1</t>
  </si>
  <si>
    <t>一类居住用地、商业用地、二类居住用地</t>
  </si>
  <si>
    <t>2017-08-30</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</si>
  <si>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</si>
  <si>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</si>
  <si>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</si>
  <si>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</si>
  <si>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</si>
  <si>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</si>
  <si>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</si>
  <si>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</si>
  <si>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</si>
  <si>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</si>
  <si>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重庆金辉锦江房地产有限公司、重庆市金科骏凯房地产开发有限公司、贵阳市美的房地产发展有限公司</t>
  </si>
  <si>
    <t>两江新区礼嘉组团A标准分区A09-4-1/07号宗地</t>
  </si>
  <si>
    <t>北京方兴亦城置业有限公司、重庆市垫江县碧桂园房地产开发有限公司、重庆市金科骏凯房地产开发有限公司</t>
  </si>
  <si>
    <t>两江新区龙兴组团H分区H35-1/02、H38-1/02、H42-1/02、H44-1/02、H49-1/02号宗地</t>
  </si>
  <si>
    <t>2017-07-31</t>
  </si>
  <si>
    <t>天津保盛乾元企业管理合伙企业(有限合伙)、北京方兴亦城置业有限公司</t>
  </si>
  <si>
    <t>两江新区龙兴组团H分区H30-1/02、H30-6-1/02、H31-1/02、H31-3/02、H34-1/02、H37-1/02号宗地</t>
  </si>
  <si>
    <t>重庆市垫江县碧桂园房地产开发有限公司</t>
  </si>
  <si>
    <t>两江新区龙兴组团H分区H46-1/01、H47-2/01、H48-2/01、H50-1/01、H51-2/01、H52-2/01号宗地</t>
  </si>
  <si>
    <t>≤0.7</t>
  </si>
  <si>
    <t>2017-06-29</t>
  </si>
  <si>
    <t>2017-06-30</t>
  </si>
  <si>
    <t>北京方兴亦城置业有限公司</t>
  </si>
  <si>
    <t>渝北区大石坝组团B分区27-1号宗地</t>
  </si>
  <si>
    <t>2017-06-27</t>
  </si>
  <si>
    <r>
      <rPr>
        <sz val="10"/>
        <color indexed="8"/>
        <rFont val="宋体"/>
        <family val="3"/>
        <charset val="134"/>
      </rPr>
      <t>负</t>
    </r>
    <r>
      <rPr>
        <sz val="10"/>
        <color indexed="8"/>
        <rFont val="Arial"/>
        <family val="2"/>
      </rPr>
      <t>2</t>
    </r>
    <phoneticPr fontId="15" type="noConversion"/>
  </si>
  <si>
    <r>
      <rPr>
        <sz val="10"/>
        <color indexed="8"/>
        <rFont val="宋体"/>
        <family val="3"/>
        <charset val="134"/>
      </rPr>
      <t>负</t>
    </r>
    <r>
      <rPr>
        <sz val="10"/>
        <color indexed="8"/>
        <rFont val="Arial"/>
        <family val="2"/>
      </rPr>
      <t>1</t>
    </r>
    <phoneticPr fontId="15" type="noConversion"/>
  </si>
  <si>
    <t>设定地上</t>
    <phoneticPr fontId="15" type="noConversion"/>
  </si>
  <si>
    <t>正常</t>
  </si>
  <si>
    <t>计算容积率</t>
    <phoneticPr fontId="228" type="noConversion"/>
  </si>
  <si>
    <t>自持</t>
    <phoneticPr fontId="26" type="noConversion"/>
  </si>
  <si>
    <t>自持时间</t>
    <phoneticPr fontId="26" type="noConversion"/>
  </si>
  <si>
    <t>住宅、商业</t>
  </si>
  <si>
    <t>住宅、商业</t>
    <phoneticPr fontId="26" type="noConversion"/>
  </si>
  <si>
    <t>住宅</t>
    <phoneticPr fontId="26" type="noConversion"/>
  </si>
  <si>
    <t>综合含住宅</t>
  </si>
  <si>
    <t>综合含住宅</t>
    <phoneticPr fontId="26" type="noConversion"/>
  </si>
  <si>
    <t>否</t>
    <phoneticPr fontId="26" type="noConversion"/>
  </si>
  <si>
    <t>是</t>
    <phoneticPr fontId="26" type="noConversion"/>
  </si>
  <si>
    <t>是</t>
    <phoneticPr fontId="26" type="noConversion"/>
  </si>
  <si>
    <t>否</t>
    <phoneticPr fontId="26" type="noConversion"/>
  </si>
  <si>
    <t>较好</t>
  </si>
  <si>
    <t>较好</t>
    <phoneticPr fontId="21" type="noConversion"/>
  </si>
  <si>
    <t>一般</t>
  </si>
  <si>
    <t>一般</t>
    <phoneticPr fontId="21" type="noConversion"/>
  </si>
  <si>
    <t>较好</t>
    <phoneticPr fontId="21" type="noConversion"/>
  </si>
  <si>
    <t>一般</t>
    <phoneticPr fontId="21" type="noConversion"/>
  </si>
  <si>
    <t>估价对象</t>
    <phoneticPr fontId="228" type="noConversion"/>
  </si>
  <si>
    <t>洋房</t>
    <phoneticPr fontId="228" type="noConversion"/>
  </si>
  <si>
    <t>底商</t>
    <phoneticPr fontId="228" type="noConversion"/>
  </si>
  <si>
    <t>高层</t>
    <phoneticPr fontId="228" type="noConversion"/>
  </si>
  <si>
    <t>叠拼</t>
  </si>
  <si>
    <t>叠拼</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</si>
</sst>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45" fillId="0" borderId="0" xfId="0" applyFont="1">
      <alignment vertical="center"/>
    </xf>
    <xf numFmtId="14" fontId="0" fillId="0" borderId="0" xfId="0" applyNumberFormat="1">
      <alignment vertical="center"/>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0" fillId="0" borderId="0" xfId="0" applyAlignment="1">
      <alignment wrapText="1"/>
    </xf>
    <xf numFmtId="0" fontId="0" fillId="0" borderId="0" xfId="0" applyAlignment="1">
      <alignment horizontal="center" vertical="center" wrapText="1"/>
    </xf>
    <xf numFmtId="0" fontId="0" fillId="0" borderId="0" xfId="0" applyAlignment="1">
      <alignment horizontal="center" vertical="center"/>
    </xf>
    <xf numFmtId="0" fontId="133" fillId="8" borderId="0" xfId="0" applyFont="1" applyFill="1" applyAlignment="1" applyProtection="1">
      <protection locked="0"/>
    </xf>
    <xf numFmtId="0" fontId="164" fillId="0" borderId="0" xfId="0" applyFont="1" applyAlignment="1">
      <alignment horizontal="center" vertical="center" wrapText="1"/>
    </xf>
    <xf numFmtId="0" fontId="164" fillId="0" borderId="0" xfId="0" applyFont="1" applyAlignment="1">
      <alignment wrapText="1"/>
    </xf>
    <xf numFmtId="0" fontId="164" fillId="0" borderId="0" xfId="0" applyFont="1" applyAlignment="1">
      <alignment horizontal="center" vertical="center"/>
    </xf>
    <xf numFmtId="0" fontId="164" fillId="0" borderId="0" xfId="0" applyFont="1" applyAlignment="1"/>
    <xf numFmtId="0" fontId="164" fillId="0" borderId="0" xfId="0" applyFont="1" applyAlignment="1">
      <alignment horizontal="center" wrapText="1"/>
    </xf>
    <xf numFmtId="0" fontId="164" fillId="0" borderId="0" xfId="0" applyFont="1" applyAlignment="1">
      <alignment horizontal="center"/>
    </xf>
    <xf numFmtId="0" fontId="164" fillId="9" borderId="0" xfId="0" applyFont="1" applyFill="1" applyAlignment="1">
      <alignment horizontal="center" vertical="center" wrapText="1"/>
    </xf>
    <xf numFmtId="0" fontId="164" fillId="9" borderId="0" xfId="0" applyFont="1" applyFill="1" applyAlignment="1">
      <alignment horizontal="center" vertical="center"/>
    </xf>
    <xf numFmtId="0" fontId="0" fillId="9" borderId="0" xfId="0" applyFill="1" applyAlignment="1">
      <alignment horizontal="center" vertical="center"/>
    </xf>
    <xf numFmtId="0" fontId="164" fillId="9" borderId="0" xfId="0" applyFont="1" applyFill="1" applyAlignment="1"/>
    <xf numFmtId="0" fontId="164" fillId="6" borderId="0" xfId="0" applyFont="1" applyFill="1" applyAlignment="1">
      <alignment horizontal="center" vertical="center" wrapText="1"/>
    </xf>
    <xf numFmtId="0" fontId="164" fillId="6" borderId="0" xfId="0" applyFont="1" applyFill="1" applyAlignment="1">
      <alignment horizontal="center" vertical="center"/>
    </xf>
    <xf numFmtId="0" fontId="0" fillId="6" borderId="0" xfId="0" applyFill="1" applyAlignment="1">
      <alignment horizontal="center" vertical="center"/>
    </xf>
    <xf numFmtId="0" fontId="164" fillId="6" borderId="0" xfId="0" applyFont="1" applyFill="1" applyAlignment="1"/>
    <xf numFmtId="0" fontId="164" fillId="0" borderId="0" xfId="0" applyFont="1" applyFill="1" applyAlignment="1">
      <alignment horizontal="center" vertical="center" wrapText="1"/>
    </xf>
    <xf numFmtId="0" fontId="164" fillId="0" borderId="0" xfId="0" applyFont="1" applyFill="1" applyAlignment="1">
      <alignment horizontal="center" vertical="center"/>
    </xf>
    <xf numFmtId="0" fontId="0" fillId="0" borderId="0" xfId="0" applyFill="1" applyAlignment="1">
      <alignment horizontal="center" vertical="center"/>
    </xf>
    <xf numFmtId="0" fontId="164" fillId="0" borderId="0" xfId="0" applyFont="1" applyFill="1" applyAlignment="1"/>
    <xf numFmtId="0" fontId="0" fillId="18" borderId="0" xfId="0" applyFill="1" applyAlignment="1">
      <alignment horizontal="center" vertical="center" wrapText="1"/>
    </xf>
    <xf numFmtId="0" fontId="0" fillId="18" borderId="0" xfId="0" applyFill="1" applyAlignment="1">
      <alignment horizontal="center" vertical="center"/>
    </xf>
    <xf numFmtId="0" fontId="0" fillId="18" borderId="0" xfId="0" applyFill="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275" fillId="0" borderId="7" xfId="0" applyNumberFormat="1" applyFont="1" applyFill="1" applyBorder="1" applyAlignment="1" applyProtection="1">
      <alignment horizontal="center" vertical="center" wrapText="1"/>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90</xdr:row>
      <xdr:rowOff>0</xdr:rowOff>
    </xdr:from>
    <xdr:to>
      <xdr:col>5</xdr:col>
      <xdr:colOff>1104833</xdr:colOff>
      <xdr:row>141</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95700"/>
          <a:ext cx="9201083" cy="7772400"/>
        </a:xfrm>
        <a:prstGeom prst="rect">
          <a:avLst/>
        </a:prstGeom>
      </xdr:spPr>
    </xdr:pic>
    <xdr:clientData/>
  </xdr:twoCellAnchor>
  <xdr:twoCellAnchor editAs="oneCell">
    <xdr:from>
      <xdr:col>0</xdr:col>
      <xdr:colOff>0</xdr:colOff>
      <xdr:row>142</xdr:row>
      <xdr:rowOff>0</xdr:rowOff>
    </xdr:from>
    <xdr:to>
      <xdr:col>6</xdr:col>
      <xdr:colOff>333375</xdr:colOff>
      <xdr:row>185</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620500"/>
          <a:ext cx="9591675" cy="6638925"/>
        </a:xfrm>
        <a:prstGeom prst="rect">
          <a:avLst/>
        </a:prstGeom>
      </xdr:spPr>
    </xdr:pic>
    <xdr:clientData/>
  </xdr:twoCellAnchor>
  <xdr:twoCellAnchor editAs="oneCell">
    <xdr:from>
      <xdr:col>6</xdr:col>
      <xdr:colOff>238125</xdr:colOff>
      <xdr:row>89</xdr:row>
      <xdr:rowOff>95250</xdr:rowOff>
    </xdr:from>
    <xdr:to>
      <xdr:col>9</xdr:col>
      <xdr:colOff>933450</xdr:colOff>
      <xdr:row>128</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96425" y="3638550"/>
          <a:ext cx="5991225" cy="5953125"/>
        </a:xfrm>
        <a:prstGeom prst="rect">
          <a:avLst/>
        </a:prstGeom>
      </xdr:spPr>
    </xdr:pic>
    <xdr:clientData/>
  </xdr:twoCellAnchor>
  <xdr:twoCellAnchor editAs="oneCell">
    <xdr:from>
      <xdr:col>0</xdr:col>
      <xdr:colOff>0</xdr:colOff>
      <xdr:row>187</xdr:row>
      <xdr:rowOff>0</xdr:rowOff>
    </xdr:from>
    <xdr:to>
      <xdr:col>6</xdr:col>
      <xdr:colOff>338428</xdr:colOff>
      <xdr:row>238</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478500"/>
          <a:ext cx="9596728"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明细"/>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市调"/>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L7">
            <v>2500</v>
          </cell>
        </row>
      </sheetData>
      <sheetData sheetId="15" refreshError="1"/>
      <sheetData sheetId="16" refreshError="1"/>
      <sheetData sheetId="17" refreshError="1"/>
      <sheetData sheetId="18" refreshError="1"/>
      <sheetData sheetId="19" refreshError="1"/>
      <sheetData sheetId="20">
        <row r="8">
          <cell r="C8">
            <v>12600</v>
          </cell>
          <cell r="D8">
            <v>16000</v>
          </cell>
          <cell r="E8">
            <v>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出让国有建设用地使用权抵押价格预评估</v>
      </c>
      <c r="AX2" s="2851"/>
      <c r="AZ2" s="2851"/>
      <c r="BA2" s="2852"/>
      <c r="BC2" s="2852"/>
    </row>
    <row r="3" spans="1:55" s="2853" customFormat="1">
      <c r="A3" s="2832" t="s">
        <v>2654</v>
      </c>
      <c r="B3" s="2835">
        <f>'预评函-封皮'!B40</f>
        <v>0</v>
      </c>
    </row>
    <row r="4" spans="1:55" s="2834" customFormat="1">
      <c r="A4" s="2832" t="s">
        <v>2655</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受贵公司委托，我公司对出让国有建设用地使用权抵押价格进行了预评估。</v>
      </c>
      <c r="AM6" s="2857"/>
    </row>
    <row r="7" spans="1:55" s="2831" customFormat="1">
      <c r="A7" s="2832" t="s">
        <v>2650</v>
      </c>
      <c r="B7" s="2833" t="str">
        <f>'预评函-1'!A6</f>
        <v>估价对象为使用的、位于出让国有建设用地使用权。根据，估价对象（分摊）出让国有建设用地使用权面积为49011平方米。根据，估价对象规划建筑面积为62924.7平方米。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2652</v>
      </c>
      <c r="B10" s="2833" t="str">
        <f>'预评函-1'!A11</f>
        <v>2020年6月12日（评估专业人员勘察现场之日）</v>
      </c>
    </row>
    <row r="11" spans="1:55" s="2831" customFormat="1">
      <c r="A11" s="2832" t="s">
        <v>2658</v>
      </c>
      <c r="B11" s="2833" t="str">
        <f>'预评函-1'!A14</f>
        <v>根据，本次评估估价对象证载（地类）用途为。</v>
      </c>
    </row>
    <row r="12" spans="1:55" s="2831" customFormat="1">
      <c r="A12" s="2832" t="s">
        <v>2659</v>
      </c>
      <c r="B12" s="2833" t="str">
        <f>'预评函-1'!A15</f>
        <v>本次评估设定用途即为证载用途。</v>
      </c>
    </row>
    <row r="13" spans="1:55" s="2831" customFormat="1">
      <c r="A13" s="2832" t="s">
        <v>2660</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2661</v>
      </c>
      <c r="B14" s="2833" t="str">
        <f>'预评函-1'!A18</f>
        <v>。本次评估设定土地开发程度为红线外市政基础设施达“七通”、宗地红线内场地平整。</v>
      </c>
    </row>
    <row r="15" spans="1:55" s="2831" customFormat="1">
      <c r="A15" s="2832" t="s">
        <v>2657</v>
      </c>
      <c r="B15" s="2833" t="str">
        <f>'预评函-1'!A20</f>
        <v>根据，估价对象（分摊）出让国有建设用地使用权面积为49011平方米。根据，估价对象规划建筑面积为62924.7平方米。</v>
      </c>
    </row>
    <row r="16" spans="1:55" s="2831" customFormat="1">
      <c r="A16" s="2832" t="s">
        <v>2662</v>
      </c>
      <c r="B16" s="2833" t="str">
        <f>'预评函-1'!A22</f>
        <v>本次估价对象为出让国有建设用地使用权，依据、，土地终止日期为住宅2067年4月26日、商业2057年4月26日地下车库2057年4月26日。截至估价期日，出让国有建设用地使用权剩余土地使用年限为。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估价期日：2020年6月12日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f>'预评函-2'!E5</f>
        <v>0</v>
      </c>
      <c r="AV32" s="2837"/>
    </row>
    <row r="33" spans="1:2">
      <c r="A33" s="2832" t="s">
        <v>2706</v>
      </c>
      <c r="B33" s="2833">
        <f>'预评函-2'!F5</f>
        <v>258</v>
      </c>
    </row>
    <row r="34" spans="1:2">
      <c r="A34" s="2832" t="s">
        <v>2707</v>
      </c>
      <c r="B34" s="2833">
        <f>'预评函-2'!G5</f>
        <v>0</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红线外七通、宗地红线内</v>
      </c>
    </row>
    <row r="39" spans="1:2">
      <c r="A39" s="2832" t="s">
        <v>2712</v>
      </c>
      <c r="B39" s="2833" t="str">
        <f>'预评函-2'!L5</f>
        <v>红线外七通、宗地红线内场地</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49011</v>
      </c>
    </row>
    <row r="44" spans="1:2">
      <c r="A44" s="2832" t="s">
        <v>2733</v>
      </c>
      <c r="B44" s="2833" t="str">
        <f>'预评函-2'!O3</f>
        <v>规划建筑面积/㎡</v>
      </c>
    </row>
    <row r="45" spans="1:2">
      <c r="A45" s="2832" t="s">
        <v>2715</v>
      </c>
      <c r="B45" s="2833">
        <f>'预评函-2'!O5</f>
        <v>62924.7</v>
      </c>
    </row>
    <row r="46" spans="1:2">
      <c r="A46" s="2832" t="s">
        <v>2716</v>
      </c>
      <c r="B46" s="2833">
        <f ca="1">'预评函-2'!P5</f>
        <v>8216</v>
      </c>
    </row>
    <row r="47" spans="1:2">
      <c r="A47" s="2832" t="s">
        <v>2717</v>
      </c>
      <c r="B47" s="2833">
        <f ca="1">'预评函-2'!Q5</f>
        <v>6400</v>
      </c>
    </row>
    <row r="48" spans="1:2">
      <c r="A48" s="2832" t="s">
        <v>2718</v>
      </c>
      <c r="B48" s="2833">
        <f ca="1">'预评函-2'!R5</f>
        <v>40269</v>
      </c>
    </row>
    <row r="49" spans="1:2">
      <c r="A49" s="2832" t="s">
        <v>2734</v>
      </c>
      <c r="B49" s="2833" t="str">
        <f>'预评函-2'!A6</f>
        <v>抵押价格</v>
      </c>
    </row>
    <row r="50" spans="1:2">
      <c r="A50" s="2832" t="s">
        <v>2719</v>
      </c>
      <c r="B50" s="2833" t="str">
        <f>'预评函-2'!R6</f>
        <v>——</v>
      </c>
    </row>
    <row r="51" spans="1:2">
      <c r="A51" s="2832" t="s">
        <v>2735</v>
      </c>
      <c r="B51" s="2833" t="str">
        <f>'预评函-2'!A7</f>
        <v>——</v>
      </c>
    </row>
    <row r="52" spans="1:2">
      <c r="A52" s="2832" t="s">
        <v>2720</v>
      </c>
      <c r="B52" s="2833" t="str">
        <f>'预评函-2'!R7</f>
        <v>——</v>
      </c>
    </row>
    <row r="53" spans="1:2">
      <c r="A53" s="2832" t="s">
        <v>2736</v>
      </c>
      <c r="B53" s="2833">
        <f>'预评函-2'!A8</f>
        <v>0</v>
      </c>
    </row>
    <row r="54" spans="1:2" s="2847" customFormat="1" ht="15" thickBot="1">
      <c r="A54" s="2854" t="s">
        <v>2721</v>
      </c>
      <c r="B54" s="2855" t="str">
        <f>'预评函-2'!R8</f>
        <v>——</v>
      </c>
    </row>
    <row r="55" spans="1:2" ht="15" thickTop="1">
      <c r="A55" s="2843" t="s">
        <v>2671</v>
      </c>
      <c r="B55" s="2844" t="str">
        <f>'预评函-3'!A2</f>
        <v>1.权利限制：根据估价对象《不动产权证书》原件、《国有土地使用权》复印件，截至估价期日，估价对象抵押权未见登记。未设定租赁等其他他项权利。</v>
      </c>
    </row>
    <row r="56" spans="1:2">
      <c r="A56" s="2832" t="s">
        <v>2672</v>
      </c>
      <c r="B56" s="2833" t="str">
        <f>'预评函-3'!A3</f>
        <v>2.基础设施条件：估价对象实际开发程度为红线外七通、宗地红线内；本次评估设定开发程度为红线外七通、宗地红线内场地。</v>
      </c>
    </row>
    <row r="57" spans="1:2">
      <c r="A57" s="2832" t="s">
        <v>2673</v>
      </c>
      <c r="B57" s="2833" t="str">
        <f>'预评函-3'!A4</f>
        <v>3.估价规划限制条件：详见。</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土地估价师</v>
      </c>
    </row>
    <row r="70" spans="1:2">
      <c r="A70" s="2832" t="s">
        <v>2683</v>
      </c>
      <c r="B70" s="2839">
        <f>'预评函-3'!B20</f>
        <v>0</v>
      </c>
    </row>
    <row r="71" spans="1:2">
      <c r="A71" s="2832" t="s">
        <v>2684</v>
      </c>
      <c r="B71" s="2833" t="str">
        <f>'预评函-3'!A21</f>
        <v>土地估价师</v>
      </c>
    </row>
    <row r="72" spans="1:2" s="2847" customFormat="1" ht="15" thickBot="1">
      <c r="A72" s="2854" t="s">
        <v>2684</v>
      </c>
      <c r="B72" s="2860">
        <f>'预评函-3'!B21</f>
        <v>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L26"/>
  <sheetViews>
    <sheetView workbookViewId="0">
      <selection activeCell="B19" sqref="B19"/>
    </sheetView>
  </sheetViews>
  <sheetFormatPr defaultRowHeight="13.5"/>
  <cols>
    <col min="4" max="6" width="10.5" bestFit="1" customWidth="1"/>
  </cols>
  <sheetData>
    <row r="2" spans="1:8">
      <c r="A2" s="3188" t="s">
        <v>2990</v>
      </c>
      <c r="B2" s="3188" t="s">
        <v>2996</v>
      </c>
      <c r="C2" s="3188" t="s">
        <v>2991</v>
      </c>
      <c r="D2" s="3188"/>
      <c r="F2" s="3188" t="s">
        <v>2994</v>
      </c>
    </row>
    <row r="3" spans="1:8">
      <c r="A3" s="3188" t="s">
        <v>2992</v>
      </c>
      <c r="B3">
        <v>5222</v>
      </c>
      <c r="C3" s="3188" t="s">
        <v>2997</v>
      </c>
      <c r="D3" s="3188">
        <v>9671.76</v>
      </c>
      <c r="E3" s="3189">
        <v>61113</v>
      </c>
      <c r="F3">
        <v>64129</v>
      </c>
    </row>
    <row r="4" spans="1:8">
      <c r="A4" s="3188"/>
    </row>
    <row r="5" spans="1:8">
      <c r="A5" s="3188" t="s">
        <v>2995</v>
      </c>
      <c r="B5">
        <v>39424</v>
      </c>
      <c r="C5" s="3188" t="s">
        <v>2998</v>
      </c>
      <c r="D5">
        <v>122551.57</v>
      </c>
      <c r="E5" s="3189">
        <v>61113</v>
      </c>
      <c r="H5">
        <f>D5-997</f>
        <v>121554.57</v>
      </c>
    </row>
    <row r="6" spans="1:8">
      <c r="C6" s="3188" t="s">
        <v>2999</v>
      </c>
      <c r="D6">
        <f>74.23</f>
        <v>74.23</v>
      </c>
    </row>
    <row r="7" spans="1:8">
      <c r="C7" s="3188" t="s">
        <v>3000</v>
      </c>
      <c r="D7">
        <v>419.54</v>
      </c>
    </row>
    <row r="8" spans="1:8">
      <c r="C8" s="3188" t="s">
        <v>3002</v>
      </c>
      <c r="D8">
        <v>2873.02</v>
      </c>
      <c r="F8" s="3188" t="s">
        <v>3007</v>
      </c>
      <c r="G8" s="3188">
        <v>1603.1</v>
      </c>
    </row>
    <row r="9" spans="1:8">
      <c r="C9" s="3188" t="s">
        <v>3005</v>
      </c>
      <c r="D9">
        <v>997.97</v>
      </c>
      <c r="F9" s="3188" t="s">
        <v>3008</v>
      </c>
      <c r="G9" s="3188">
        <v>1269.92</v>
      </c>
    </row>
    <row r="10" spans="1:8">
      <c r="C10" s="3188" t="s">
        <v>3003</v>
      </c>
      <c r="D10">
        <f>45035.36-D11</f>
        <v>42472.42</v>
      </c>
      <c r="E10" s="3190">
        <v>1211</v>
      </c>
      <c r="G10">
        <f>SUM(G8:G9)</f>
        <v>2873.02</v>
      </c>
    </row>
    <row r="11" spans="1:8">
      <c r="C11" s="3188" t="s">
        <v>3004</v>
      </c>
      <c r="D11">
        <v>2562.94</v>
      </c>
    </row>
    <row r="12" spans="1:8">
      <c r="A12" s="3188" t="s">
        <v>3006</v>
      </c>
      <c r="B12">
        <f>125934.89/B5</f>
        <v>3.1943711952110387</v>
      </c>
      <c r="C12" s="3188" t="s">
        <v>3012</v>
      </c>
      <c r="D12">
        <f>SUM(D5:D11)</f>
        <v>171951.69</v>
      </c>
    </row>
    <row r="13" spans="1:8">
      <c r="A13" s="3188"/>
      <c r="C13" s="3188"/>
    </row>
    <row r="14" spans="1:8">
      <c r="A14" s="3188"/>
      <c r="C14" s="3188"/>
    </row>
    <row r="15" spans="1:8">
      <c r="A15" s="3188" t="s">
        <v>3009</v>
      </c>
      <c r="B15">
        <v>49011</v>
      </c>
      <c r="C15" s="3188" t="s">
        <v>3010</v>
      </c>
      <c r="D15">
        <v>41090.31</v>
      </c>
      <c r="E15" s="3189">
        <v>61113</v>
      </c>
    </row>
    <row r="16" spans="1:8">
      <c r="C16" s="3188" t="s">
        <v>3002</v>
      </c>
      <c r="D16">
        <v>2597.5300000000002</v>
      </c>
    </row>
    <row r="17" spans="1:12">
      <c r="C17" s="3188" t="s">
        <v>3011</v>
      </c>
      <c r="D17">
        <v>19236.86</v>
      </c>
      <c r="E17">
        <f>D17/40</f>
        <v>480.92150000000004</v>
      </c>
    </row>
    <row r="18" spans="1:12">
      <c r="A18" s="3188" t="s">
        <v>3006</v>
      </c>
      <c r="B18">
        <f>(D15+D16)/B15</f>
        <v>0.89138846381424575</v>
      </c>
      <c r="C18" s="3188" t="s">
        <v>3012</v>
      </c>
      <c r="D18">
        <f>SUM(D15:D17)</f>
        <v>62924.7</v>
      </c>
      <c r="G18" s="3188" t="s">
        <v>3024</v>
      </c>
      <c r="H18" s="3188" t="s">
        <v>3025</v>
      </c>
      <c r="I18">
        <v>97789.71</v>
      </c>
      <c r="J18" s="3188" t="s">
        <v>2993</v>
      </c>
      <c r="K18">
        <f>I18+I20+I22+I24</f>
        <v>408669.86</v>
      </c>
      <c r="L18">
        <v>347883.2</v>
      </c>
    </row>
    <row r="19" spans="1:12">
      <c r="C19" s="3188"/>
      <c r="G19" s="3188"/>
      <c r="H19" s="3188" t="s">
        <v>3002</v>
      </c>
      <c r="I19">
        <v>4770.3500000000004</v>
      </c>
      <c r="J19" s="3188" t="s">
        <v>3002</v>
      </c>
      <c r="K19">
        <f>I19+I21+I23+I25</f>
        <v>15503.070000000002</v>
      </c>
      <c r="L19">
        <v>86970.8</v>
      </c>
    </row>
    <row r="20" spans="1:12">
      <c r="G20" s="3188" t="s">
        <v>3026</v>
      </c>
      <c r="H20" s="3188" t="s">
        <v>3025</v>
      </c>
      <c r="I20">
        <v>147238.26999999999</v>
      </c>
      <c r="K20">
        <f>SUM(K18:K19)</f>
        <v>424172.93</v>
      </c>
      <c r="L20">
        <f>SUM(L18:L19)</f>
        <v>434854</v>
      </c>
    </row>
    <row r="21" spans="1:12">
      <c r="B21" s="3188" t="s">
        <v>3020</v>
      </c>
      <c r="C21" s="3188" t="s">
        <v>3022</v>
      </c>
      <c r="D21" s="3188" t="s">
        <v>3021</v>
      </c>
      <c r="H21" s="3188" t="s">
        <v>3002</v>
      </c>
      <c r="I21">
        <v>5262.17</v>
      </c>
    </row>
    <row r="22" spans="1:12">
      <c r="A22" s="3188" t="s">
        <v>3019</v>
      </c>
      <c r="B22">
        <v>262000</v>
      </c>
      <c r="C22">
        <v>434854</v>
      </c>
      <c r="D22">
        <f>B22/C22*10000</f>
        <v>6025.0106932441695</v>
      </c>
      <c r="G22" s="3188" t="s">
        <v>3027</v>
      </c>
      <c r="H22" s="3188" t="s">
        <v>2993</v>
      </c>
      <c r="I22">
        <f>D5</f>
        <v>122551.57</v>
      </c>
    </row>
    <row r="23" spans="1:12">
      <c r="B23" s="3188" t="s">
        <v>3023</v>
      </c>
      <c r="C23">
        <v>206303</v>
      </c>
      <c r="H23" s="3188" t="s">
        <v>3028</v>
      </c>
      <c r="I23">
        <f>D8</f>
        <v>2873.02</v>
      </c>
    </row>
    <row r="24" spans="1:12">
      <c r="C24" s="3188" t="s">
        <v>3006</v>
      </c>
      <c r="D24">
        <f>C22/C23</f>
        <v>2.1078413789426231</v>
      </c>
      <c r="G24" s="3188" t="s">
        <v>3029</v>
      </c>
      <c r="H24" s="3188" t="s">
        <v>3030</v>
      </c>
      <c r="I24">
        <f>D15</f>
        <v>41090.31</v>
      </c>
    </row>
    <row r="25" spans="1:12">
      <c r="H25" s="3188" t="s">
        <v>3002</v>
      </c>
      <c r="I25">
        <f>D16</f>
        <v>2597.5300000000002</v>
      </c>
    </row>
    <row r="26" spans="1:12">
      <c r="I26">
        <f>SUM(I18:I25)</f>
        <v>424172.93000000011</v>
      </c>
    </row>
  </sheetData>
  <phoneticPr fontId="228" type="noConversion"/>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59" t="str">
        <f>IF(B10="北京市","北京市",C10)&amp;F10&amp;B16&amp;"国有建设用地使用权"&amp;B9&amp;"预评估"</f>
        <v>出让国有建设用地使用权抵押价格预评估</v>
      </c>
      <c r="C1" s="3260"/>
      <c r="D1" s="3260"/>
      <c r="E1" s="3260"/>
      <c r="F1" s="3260"/>
      <c r="G1" s="3260"/>
      <c r="H1" s="3260"/>
      <c r="I1" s="3261"/>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1935</v>
      </c>
      <c r="B3" s="1645">
        <v>43994</v>
      </c>
      <c r="C3" s="1646" t="s">
        <v>1991</v>
      </c>
      <c r="D3" s="1645">
        <f>B3</f>
        <v>43994</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2882</v>
      </c>
      <c r="C4" s="1829">
        <f>SUMIF(土地估价师,B4,估价师及机构信息!E3:E24)</f>
        <v>0</v>
      </c>
      <c r="D4" s="1826" t="s">
        <v>2882</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2700</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2979</v>
      </c>
      <c r="C8" s="1654"/>
      <c r="D8" s="3265" t="s">
        <v>1940</v>
      </c>
      <c r="E8" s="1827"/>
      <c r="F8" s="1655"/>
      <c r="G8" s="1643"/>
      <c r="H8" s="1643"/>
      <c r="I8" s="1690"/>
      <c r="J8" s="1677"/>
      <c r="K8" s="1757"/>
      <c r="L8" s="1706"/>
      <c r="M8" s="1706"/>
      <c r="N8" s="1677"/>
      <c r="O8" s="1678"/>
      <c r="P8" s="1677"/>
      <c r="Q8" s="1677"/>
      <c r="R8" s="1677"/>
      <c r="S8" s="1677"/>
      <c r="T8" s="1677"/>
      <c r="U8" s="1677"/>
    </row>
    <row r="9" spans="1:21" ht="15" thickBot="1">
      <c r="A9" s="1656" t="s">
        <v>1939</v>
      </c>
      <c r="B9" s="1657" t="s">
        <v>3013</v>
      </c>
      <c r="C9" s="1658"/>
      <c r="D9" s="3266"/>
      <c r="E9" s="1657"/>
      <c r="F9" s="1730"/>
      <c r="G9" s="1725"/>
      <c r="H9" s="1725"/>
      <c r="I9" s="1726"/>
      <c r="J9" s="1677"/>
      <c r="K9" s="1757"/>
      <c r="L9" s="1706"/>
      <c r="M9" s="1706"/>
      <c r="N9" s="1677"/>
      <c r="O9" s="1678"/>
      <c r="P9" s="1677"/>
      <c r="Q9" s="1677"/>
      <c r="R9" s="1677"/>
      <c r="S9" s="1677"/>
      <c r="T9" s="1677"/>
      <c r="U9" s="1677"/>
    </row>
    <row r="10" spans="1:21" ht="15" thickTop="1">
      <c r="A10" s="1727" t="s">
        <v>1994</v>
      </c>
      <c r="B10" s="1702" t="s">
        <v>3014</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1995</v>
      </c>
      <c r="B11" s="1681" t="s">
        <v>3015</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2053</v>
      </c>
      <c r="B12" s="3262"/>
      <c r="C12" s="3263"/>
      <c r="D12" s="3264"/>
      <c r="E12" s="1682" t="s">
        <v>2056</v>
      </c>
      <c r="F12" s="3280"/>
      <c r="G12" s="3281"/>
      <c r="H12" s="3281"/>
      <c r="I12" s="3282"/>
      <c r="J12" s="1677"/>
      <c r="K12" s="1757"/>
      <c r="L12" s="1706"/>
      <c r="M12" s="1706"/>
      <c r="N12" s="1677"/>
      <c r="O12" s="1678"/>
      <c r="P12" s="1677"/>
      <c r="Q12" s="1677"/>
      <c r="R12" s="1677"/>
      <c r="S12" s="1677"/>
      <c r="T12" s="1677"/>
      <c r="U12" s="1677"/>
    </row>
    <row r="13" spans="1:21">
      <c r="A13" s="1670" t="s">
        <v>2054</v>
      </c>
      <c r="B13" s="3262"/>
      <c r="C13" s="3263"/>
      <c r="D13" s="3264"/>
      <c r="E13" s="1682" t="s">
        <v>2056</v>
      </c>
      <c r="F13" s="3280"/>
      <c r="G13" s="3281"/>
      <c r="H13" s="3281"/>
      <c r="I13" s="3282"/>
      <c r="J13" s="1677"/>
      <c r="K13" s="1757"/>
      <c r="L13" s="1706"/>
      <c r="M13" s="1706"/>
      <c r="N13" s="1677"/>
      <c r="O13" s="1678"/>
      <c r="P13" s="1677"/>
      <c r="Q13" s="1677"/>
      <c r="R13" s="1677"/>
      <c r="S13" s="1677"/>
      <c r="T13" s="1677"/>
      <c r="U13" s="1677"/>
    </row>
    <row r="14" spans="1:21">
      <c r="A14" s="1644" t="s">
        <v>2057</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42.75">
      <c r="A16" s="1663" t="s">
        <v>1943</v>
      </c>
      <c r="B16" s="1664" t="s">
        <v>2974</v>
      </c>
      <c r="C16" s="1682" t="s">
        <v>1944</v>
      </c>
      <c r="D16" s="2609" t="s">
        <v>1945</v>
      </c>
      <c r="E16" s="1705" t="s">
        <v>3001</v>
      </c>
      <c r="F16" s="1705"/>
      <c r="G16" s="1705" t="s">
        <v>35</v>
      </c>
      <c r="H16" s="1705"/>
      <c r="I16" s="1669" t="s">
        <v>1950</v>
      </c>
      <c r="J16" s="1677"/>
      <c r="K16" s="2419" t="str">
        <f>IF(D17="","",D16&amp;TEXT(D17,"yyyy年m月d日;;"))</f>
        <v>住宅2067年4月26日</v>
      </c>
      <c r="L16" s="1682" t="str">
        <f>IF(OR(K16="",M16=""),"","、")</f>
        <v>、</v>
      </c>
      <c r="M16" s="2419" t="str">
        <f>IF(E17="","",E16&amp;TEXT(E17,"yyyy年m月d日;;"))</f>
        <v>商业2057年4月26日</v>
      </c>
      <c r="N16" s="1682" t="str">
        <f>IF(OR(M16="",O16=""),"","、")</f>
        <v/>
      </c>
      <c r="O16" s="2419" t="str">
        <f>IF(F17="","",F16&amp;TEXT(F17,"yyyy年m月d日;;"))</f>
        <v/>
      </c>
      <c r="P16" s="1682" t="str">
        <f>IF(OR(O16="",Q16=""),"","、")</f>
        <v/>
      </c>
      <c r="Q16" s="2419" t="str">
        <f>IF(G17="","",G16&amp;TEXT(G17,"yyyy年m月d日;;"))</f>
        <v>地下车库2057年4月26日</v>
      </c>
      <c r="R16" s="1682" t="str">
        <f>IF(OR(Q16="",S16=""),"","、")</f>
        <v/>
      </c>
      <c r="S16" s="2419" t="str">
        <f>IF(H17="","",H16&amp;TEXT(H17,"yyyy年m月d日;;"))</f>
        <v/>
      </c>
      <c r="T16" s="1682" t="str">
        <f>IF(OR(S16="",U16=""),"","、")</f>
        <v/>
      </c>
      <c r="U16" s="2419" t="str">
        <f>IF(I17="","",I16&amp;TEXT(I17,"yyyy年m月d日;;"))</f>
        <v/>
      </c>
    </row>
    <row r="17" spans="1:21">
      <c r="A17" s="1746"/>
      <c r="B17" s="1665"/>
      <c r="C17" s="1666" t="s">
        <v>1951</v>
      </c>
      <c r="D17" s="1683">
        <f>明细!E3</f>
        <v>61113</v>
      </c>
      <c r="E17" s="1683">
        <v>57461</v>
      </c>
      <c r="F17" s="1683"/>
      <c r="G17" s="1683">
        <v>57461</v>
      </c>
      <c r="H17" s="1683"/>
      <c r="I17" s="1683"/>
      <c r="J17" s="1677"/>
      <c r="K17" s="2418" t="str">
        <f>CONCATENATE(K16,L16,M16,N16,O16,P16,Q16,R16,S16,T16,,U16)</f>
        <v>住宅2067年4月26日、商业2057年4月26日地下车库2057年4月26日</v>
      </c>
      <c r="L17" s="1706"/>
      <c r="M17" s="1706"/>
      <c r="N17" s="1677"/>
      <c r="O17" s="1678"/>
      <c r="P17" s="1677"/>
      <c r="Q17" s="1677"/>
      <c r="R17" s="1677"/>
      <c r="S17" s="1677"/>
      <c r="T17" s="1677"/>
      <c r="U17" s="1677"/>
    </row>
    <row r="18" spans="1:21">
      <c r="A18" s="1746"/>
      <c r="B18" s="1665"/>
      <c r="C18" s="1666" t="s">
        <v>1952</v>
      </c>
      <c r="D18" s="1667">
        <v>50</v>
      </c>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1953</v>
      </c>
      <c r="D19" s="1741">
        <f>IF(B16="出让",IF(D17="","",ROUNDDOWN(MIN((D17-$D$3)/365,D18),2)),D18)</f>
        <v>46.9</v>
      </c>
      <c r="E19" s="1668">
        <f>IF(B16="出让",IF(E17="","",ROUNDDOWN(MIN((E17-$D$3)/365,E18),2)),E18)</f>
        <v>36.89</v>
      </c>
      <c r="F19" s="1668" t="str">
        <f>IF(B16="出让",IF(F17="","",ROUNDDOWN(MIN((F17-$D$3)/365,F18),2)),F18)</f>
        <v/>
      </c>
      <c r="G19" s="1668">
        <f>IF(B16="出让",IF(G17="","",ROUNDDOWN(MIN((G17-$D$3)/365,G18),2)),G18)</f>
        <v>36.89</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2055</v>
      </c>
      <c r="D20" s="3277"/>
      <c r="E20" s="3278"/>
      <c r="F20" s="3278"/>
      <c r="G20" s="3278"/>
      <c r="H20" s="3278"/>
      <c r="I20" s="3279"/>
      <c r="J20" s="1677"/>
      <c r="K20" s="1757"/>
      <c r="L20" s="1706"/>
      <c r="M20" s="1706"/>
      <c r="N20" s="1677"/>
      <c r="O20" s="1678"/>
      <c r="P20" s="1677"/>
      <c r="Q20" s="1677"/>
      <c r="R20" s="1677"/>
      <c r="S20" s="1677"/>
      <c r="T20" s="1677"/>
      <c r="U20" s="1677"/>
    </row>
    <row r="21" spans="1:21">
      <c r="A21" s="1746" t="s">
        <v>1954</v>
      </c>
      <c r="B21" s="1747" t="s">
        <v>1955</v>
      </c>
      <c r="C21" s="1742">
        <f>'数据-汇总表'!E3</f>
        <v>62924.7</v>
      </c>
      <c r="D21" s="1743" t="s">
        <v>1956</v>
      </c>
      <c r="E21" s="3267"/>
      <c r="F21" s="3268"/>
      <c r="G21" s="3268"/>
      <c r="H21" s="3268"/>
      <c r="I21" s="3269"/>
      <c r="J21" s="1677"/>
      <c r="K21" s="1757"/>
      <c r="L21" s="1706"/>
      <c r="M21" s="1706"/>
      <c r="N21" s="1677"/>
      <c r="O21" s="1678"/>
      <c r="P21" s="1677"/>
      <c r="Q21" s="1677"/>
      <c r="R21" s="1677"/>
      <c r="S21" s="1677"/>
      <c r="T21" s="1677"/>
      <c r="U21" s="1677"/>
    </row>
    <row r="22" spans="1:21">
      <c r="A22" s="3089" t="s">
        <v>950</v>
      </c>
      <c r="B22" s="1644" t="s">
        <v>1957</v>
      </c>
      <c r="C22" s="1669">
        <f>'数据-汇总表'!D3</f>
        <v>49011</v>
      </c>
      <c r="D22" s="1670" t="s">
        <v>1956</v>
      </c>
      <c r="E22" s="3267"/>
      <c r="F22" s="3268"/>
      <c r="G22" s="3268"/>
      <c r="H22" s="3268"/>
      <c r="I22" s="3269"/>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70" t="s">
        <v>1962</v>
      </c>
      <c r="C24" s="3271"/>
      <c r="D24" s="3272" t="s">
        <v>1963</v>
      </c>
      <c r="E24" s="3273"/>
      <c r="F24" s="1691" t="s">
        <v>1964</v>
      </c>
      <c r="G24" s="1677"/>
      <c r="H24" s="1677"/>
      <c r="I24" s="1690"/>
      <c r="J24" s="1677"/>
      <c r="K24" s="3258"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2319</v>
      </c>
      <c r="C25" s="1692" t="s">
        <v>1966</v>
      </c>
      <c r="D25" s="1693"/>
      <c r="E25" s="1694" t="s">
        <v>950</v>
      </c>
      <c r="F25" s="1695"/>
      <c r="G25" s="1677"/>
      <c r="H25" s="1677"/>
      <c r="I25" s="1690"/>
      <c r="J25" s="1677"/>
      <c r="K25" s="325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2320</v>
      </c>
      <c r="D26" s="1643"/>
      <c r="E26" s="1643"/>
      <c r="F26" s="1671"/>
      <c r="G26" s="1677"/>
      <c r="H26" s="1677"/>
      <c r="I26" s="1690"/>
      <c r="J26" s="1677"/>
      <c r="K26" s="325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85" t="s">
        <v>1996</v>
      </c>
      <c r="B31" s="1747" t="s">
        <v>1997</v>
      </c>
      <c r="C31" s="3283"/>
      <c r="D31" s="3284"/>
      <c r="E31" s="1677"/>
      <c r="F31" s="1677"/>
      <c r="G31" s="1677"/>
      <c r="H31" s="1677"/>
      <c r="I31" s="1690"/>
      <c r="J31" s="1677"/>
      <c r="K31" s="2421"/>
      <c r="L31" s="1677"/>
      <c r="M31" s="1677"/>
      <c r="N31" s="1677"/>
      <c r="O31" s="1677"/>
      <c r="P31" s="1677"/>
      <c r="Q31" s="1677"/>
      <c r="R31" s="1677"/>
      <c r="S31" s="1677"/>
      <c r="T31" s="1677"/>
      <c r="U31" s="1677"/>
    </row>
    <row r="32" spans="1:21">
      <c r="A32" s="3285"/>
      <c r="B32" s="1644" t="s">
        <v>1998</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5"/>
      <c r="B33" s="1644" t="s">
        <v>1999</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6"/>
      <c r="B34" s="1644" t="s">
        <v>2000</v>
      </c>
      <c r="C34" s="3287"/>
      <c r="D34" s="3288"/>
      <c r="E34" s="1677"/>
      <c r="F34" s="1677"/>
      <c r="G34" s="1677"/>
      <c r="H34" s="1677"/>
      <c r="I34" s="1690"/>
      <c r="J34" s="1677"/>
      <c r="K34" s="2421"/>
      <c r="L34" s="1677"/>
      <c r="M34" s="1677"/>
      <c r="N34" s="1677"/>
      <c r="O34" s="1677"/>
      <c r="P34" s="1677"/>
      <c r="Q34" s="1677"/>
      <c r="R34" s="1677"/>
      <c r="S34" s="1677"/>
      <c r="T34" s="1677"/>
      <c r="U34" s="1677"/>
    </row>
    <row r="35" spans="1:21">
      <c r="A35" s="3289" t="s">
        <v>845</v>
      </c>
      <c r="B35" s="1705"/>
      <c r="C35" s="1759" t="str">
        <f>IF(B35="场地平整","——","具体情况：")</f>
        <v>具体情况：</v>
      </c>
      <c r="D35" s="3291"/>
      <c r="E35" s="3292"/>
      <c r="F35" s="3292"/>
      <c r="G35" s="3292"/>
      <c r="H35" s="3292"/>
      <c r="I35" s="3293"/>
      <c r="J35" s="1677"/>
      <c r="K35" s="1758"/>
      <c r="L35" s="1706"/>
      <c r="M35" s="1706"/>
      <c r="N35" s="1677"/>
      <c r="O35" s="1678"/>
      <c r="P35" s="1677"/>
      <c r="Q35" s="1677"/>
      <c r="R35" s="1677"/>
      <c r="S35" s="1677"/>
      <c r="T35" s="1677"/>
      <c r="U35" s="1677"/>
    </row>
    <row r="36" spans="1:21">
      <c r="A36" s="3285"/>
      <c r="B36" s="3294" t="s">
        <v>2049</v>
      </c>
      <c r="C36" s="3295"/>
      <c r="D36" s="1775"/>
      <c r="E36" s="3296"/>
      <c r="F36" s="3296"/>
      <c r="G36" s="1670" t="str">
        <f>IF(B35="场地未平整","估价结果处理","")</f>
        <v/>
      </c>
      <c r="H36" s="3297"/>
      <c r="I36" s="3297"/>
      <c r="J36" s="1677"/>
      <c r="K36" s="1758"/>
      <c r="L36" s="1706"/>
      <c r="M36" s="1706"/>
      <c r="N36" s="1677"/>
      <c r="O36" s="1678"/>
      <c r="P36" s="1677"/>
      <c r="Q36" s="1677"/>
      <c r="R36" s="1677"/>
      <c r="S36" s="1677"/>
      <c r="T36" s="1677"/>
      <c r="U36" s="1677"/>
    </row>
    <row r="37" spans="1:21" ht="28.5">
      <c r="A37" s="3285"/>
      <c r="B37" s="3274"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85"/>
      <c r="B38" s="3275"/>
      <c r="C38" s="1652" t="s">
        <v>848</v>
      </c>
      <c r="D38" s="1774">
        <f>ROUNDDOWN(MIN(('数据-取费表'!$B$2-D37)/365,D34),1)</f>
        <v>120.5</v>
      </c>
      <c r="E38" s="1710" t="s">
        <v>849</v>
      </c>
      <c r="F38" s="1677"/>
      <c r="G38" s="1677"/>
      <c r="H38" s="1677"/>
      <c r="I38" s="1690"/>
      <c r="J38" s="1677"/>
      <c r="K38" s="1758"/>
      <c r="L38" s="1677"/>
      <c r="M38" s="1677"/>
      <c r="N38" s="1677"/>
      <c r="O38" s="1677"/>
      <c r="P38" s="1677"/>
      <c r="Q38" s="1677"/>
      <c r="R38" s="1677"/>
      <c r="S38" s="1677"/>
      <c r="T38" s="1677"/>
      <c r="U38" s="1677"/>
    </row>
    <row r="39" spans="1:21">
      <c r="A39" s="3286"/>
      <c r="B39" s="327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57" t="s">
        <v>1981</v>
      </c>
      <c r="T40" s="1714" t="str">
        <f>NUMBERSTRING(7-K40,1)&amp;"通"</f>
        <v>七通</v>
      </c>
      <c r="U40" s="1677"/>
    </row>
    <row r="41" spans="1:21">
      <c r="A41" s="1646"/>
      <c r="B41" s="3290" t="s">
        <v>1719</v>
      </c>
      <c r="C41" s="3290"/>
      <c r="D41" s="3290"/>
      <c r="E41" s="329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7"/>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2883</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2001</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2002</v>
      </c>
      <c r="B48" s="1669" t="s">
        <v>2003</v>
      </c>
      <c r="C48" s="1669" t="s">
        <v>2004</v>
      </c>
      <c r="D48" s="1669" t="s">
        <v>2005</v>
      </c>
      <c r="E48" s="1669" t="s">
        <v>2006</v>
      </c>
      <c r="F48" s="1669" t="s">
        <v>2007</v>
      </c>
      <c r="G48" s="1669" t="s">
        <v>2008</v>
      </c>
      <c r="H48" s="1669" t="s">
        <v>2009</v>
      </c>
      <c r="I48" s="1669" t="s">
        <v>2010</v>
      </c>
      <c r="J48" s="1755" t="s">
        <v>2011</v>
      </c>
      <c r="K48" s="1749" t="s">
        <v>2012</v>
      </c>
      <c r="L48" s="1749" t="s">
        <v>2013</v>
      </c>
      <c r="M48" s="1749" t="s">
        <v>2014</v>
      </c>
      <c r="N48" s="1669" t="s">
        <v>2015</v>
      </c>
      <c r="O48" s="1669" t="s">
        <v>2016</v>
      </c>
      <c r="P48" s="1669" t="s">
        <v>2017</v>
      </c>
      <c r="Q48" s="1682" t="s">
        <v>2018</v>
      </c>
      <c r="R48" s="1682" t="s">
        <v>2019</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4" sqref="L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2327</v>
      </c>
      <c r="BA2" s="2324"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明细!B15</f>
        <v>49011</v>
      </c>
      <c r="B3" s="22">
        <f>IF(C3="否",G5-AT5,G5)</f>
        <v>62924.7</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62924.7</v>
      </c>
      <c r="H5" s="27">
        <f t="shared" ref="H5:AT5" si="0">SUM(H13:H641)</f>
        <v>62924.7</v>
      </c>
      <c r="I5" s="27">
        <f t="shared" si="0"/>
        <v>41090.31</v>
      </c>
      <c r="J5" s="27">
        <f t="shared" si="0"/>
        <v>0</v>
      </c>
      <c r="K5" s="27">
        <f t="shared" si="0"/>
        <v>2597.5300000000002</v>
      </c>
      <c r="L5" s="27">
        <f t="shared" si="0"/>
        <v>0</v>
      </c>
      <c r="M5" s="27">
        <f t="shared" si="0"/>
        <v>19236.86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62924.7</v>
      </c>
      <c r="BA5" s="29">
        <f t="shared" si="1"/>
        <v>62924.7</v>
      </c>
      <c r="BB5" s="29">
        <f t="shared" si="1"/>
        <v>41090.31</v>
      </c>
      <c r="BC5" s="29">
        <f t="shared" si="1"/>
        <v>2597.5300000000002</v>
      </c>
      <c r="BD5" s="29">
        <f t="shared" si="1"/>
        <v>19236.86</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49011</v>
      </c>
      <c r="F6" s="27" t="s">
        <v>1</v>
      </c>
      <c r="G6" s="27" t="s">
        <v>2</v>
      </c>
      <c r="H6" s="33">
        <f>SUMIF(I$12:AB$12,"总值",I6:AB6)</f>
        <v>49011</v>
      </c>
      <c r="I6" s="27">
        <f t="shared" ref="I6:AB6" si="2">ROUND($A$3*I5/$B$3,2)</f>
        <v>32004.560000000001</v>
      </c>
      <c r="J6" s="27">
        <f t="shared" si="2"/>
        <v>0</v>
      </c>
      <c r="K6" s="27">
        <f t="shared" si="2"/>
        <v>2023.17</v>
      </c>
      <c r="L6" s="27">
        <f t="shared" si="2"/>
        <v>0</v>
      </c>
      <c r="M6" s="27">
        <f t="shared" si="2"/>
        <v>14983.27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49011</v>
      </c>
      <c r="AZ6" s="27" t="s">
        <v>3</v>
      </c>
      <c r="BA6" s="27">
        <f>ROUND($AY$6*BA5/$AZ$5,2)</f>
        <v>49011</v>
      </c>
      <c r="BB6" s="27">
        <f>ROUND($AY$6*BB5/$AZ$5,2)</f>
        <v>32004.560000000001</v>
      </c>
      <c r="BC6" s="27">
        <f t="shared" ref="BC6:BH6" si="4">ROUND($AY$6*BC5/$AZ$5,2)</f>
        <v>2023.17</v>
      </c>
      <c r="BD6" s="27">
        <f t="shared" si="4"/>
        <v>14983.27</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3016</v>
      </c>
      <c r="J9" s="51"/>
      <c r="K9" s="2970" t="s">
        <v>3016</v>
      </c>
      <c r="L9" s="51"/>
      <c r="M9" s="2970"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921</v>
      </c>
      <c r="J10" s="51"/>
      <c r="K10" s="2972" t="s">
        <v>921</v>
      </c>
      <c r="L10" s="51"/>
      <c r="M10" s="2972" t="s">
        <v>3031</v>
      </c>
      <c r="N10" s="51"/>
      <c r="O10" s="66"/>
      <c r="P10" s="51"/>
      <c r="Q10" s="66"/>
      <c r="R10" s="51"/>
      <c r="S10" s="66"/>
      <c r="T10" s="51"/>
      <c r="U10" s="66"/>
      <c r="V10" s="51"/>
      <c r="W10" s="66"/>
      <c r="X10" s="51"/>
      <c r="Y10" s="66"/>
      <c r="Z10" s="51"/>
      <c r="AA10" s="66"/>
      <c r="AB10" s="51"/>
      <c r="AC10" s="55"/>
      <c r="AD10" s="2298" t="s">
        <v>2311</v>
      </c>
      <c r="AE10" s="2320"/>
      <c r="AF10" s="2298" t="s">
        <v>2311</v>
      </c>
      <c r="AG10" s="2320"/>
      <c r="AH10" s="2298" t="s">
        <v>2312</v>
      </c>
      <c r="AI10" s="2320"/>
      <c r="AJ10" s="26" t="s">
        <v>2325</v>
      </c>
      <c r="AK10" s="2317"/>
      <c r="AL10" s="2298" t="s">
        <v>2313</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3364</v>
      </c>
      <c r="J11" s="71"/>
      <c r="K11" s="2971" t="s">
        <v>3017</v>
      </c>
      <c r="L11" s="71"/>
      <c r="M11" s="70"/>
      <c r="N11" s="71"/>
      <c r="O11" s="70"/>
      <c r="P11" s="71"/>
      <c r="Q11" s="70"/>
      <c r="R11" s="71"/>
      <c r="S11" s="70"/>
      <c r="T11" s="71"/>
      <c r="U11" s="70"/>
      <c r="V11" s="71"/>
      <c r="W11" s="70"/>
      <c r="X11" s="71"/>
      <c r="Y11" s="70"/>
      <c r="Z11" s="71"/>
      <c r="AA11" s="70"/>
      <c r="AB11" s="71"/>
      <c r="AC11" s="55"/>
      <c r="AD11" s="2318" t="s">
        <v>2324</v>
      </c>
      <c r="AE11" s="1001"/>
      <c r="AF11" s="2318" t="s">
        <v>2324</v>
      </c>
      <c r="AG11" s="1001"/>
      <c r="AH11" s="2318" t="s">
        <v>2323</v>
      </c>
      <c r="AI11" s="2319"/>
      <c r="AJ11" s="2318" t="s">
        <v>2323</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叠拼</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49011</v>
      </c>
      <c r="F13" s="81"/>
      <c r="G13" s="82">
        <f t="shared" ref="G13:G20" si="7">H13+AC13+AT13</f>
        <v>62924.7</v>
      </c>
      <c r="H13" s="33">
        <f t="shared" ref="H13:H20" si="8">SUMIF(I$12:AB$12,"总值",I13:AB13)</f>
        <v>62924.7</v>
      </c>
      <c r="I13" s="2969">
        <f>明细!D15</f>
        <v>41090.31</v>
      </c>
      <c r="J13" s="2969"/>
      <c r="K13" s="2969">
        <f>明细!D16</f>
        <v>2597.5300000000002</v>
      </c>
      <c r="L13" s="2969"/>
      <c r="M13" s="2969">
        <f>明细!D17</f>
        <v>19236.86</v>
      </c>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49011</v>
      </c>
      <c r="AZ13" s="27">
        <f t="shared" ref="AZ13:AZ20" si="12">BA13+BL13</f>
        <v>62924.7</v>
      </c>
      <c r="BA13" s="27">
        <f t="shared" ref="BA13:BA20" si="13">SUM(BB13:BK13)</f>
        <v>62924.7</v>
      </c>
      <c r="BB13" s="27">
        <f t="shared" ref="BB13:BB20" si="14">IF($D13="是",I13-J13,0)</f>
        <v>41090.31</v>
      </c>
      <c r="BC13" s="27">
        <f t="shared" ref="BC13:BC20" si="15">IF($D13="是",K13-L13,0)</f>
        <v>2597.5300000000002</v>
      </c>
      <c r="BD13" s="27">
        <f t="shared" ref="BD13:BD20" si="16">IF($D13="是",M13-N13,0)</f>
        <v>19236.86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09" t="s">
        <v>203</v>
      </c>
      <c r="B2" s="3309"/>
      <c r="C2" s="3309"/>
      <c r="D2" s="1959" t="s">
        <v>204</v>
      </c>
      <c r="E2" s="106" t="s">
        <v>205</v>
      </c>
      <c r="F2" s="1968"/>
      <c r="G2" s="1193"/>
      <c r="H2" s="1194"/>
      <c r="I2" s="1195" t="s">
        <v>855</v>
      </c>
      <c r="J2" s="1968"/>
      <c r="K2" s="1968"/>
      <c r="L2" s="1968"/>
    </row>
    <row r="3" spans="1:16" ht="15.75" thickBot="1">
      <c r="A3" s="3310" t="s">
        <v>206</v>
      </c>
      <c r="B3" s="3310"/>
      <c r="C3" s="3310"/>
      <c r="D3" s="107">
        <f>'数据-基础表'!AY6</f>
        <v>49011</v>
      </c>
      <c r="E3" s="107">
        <f>'数据-基础表'!AZ5</f>
        <v>62924.7</v>
      </c>
      <c r="F3" s="1968"/>
      <c r="G3" s="280" t="s">
        <v>856</v>
      </c>
      <c r="H3" s="275" t="s">
        <v>857</v>
      </c>
      <c r="I3" s="1960">
        <f>ROUND('数据-基础表'!B3/'数据-基础表'!A3,2)</f>
        <v>1.28</v>
      </c>
      <c r="J3" s="1968"/>
      <c r="K3" s="1968"/>
      <c r="L3" s="1968"/>
    </row>
    <row r="4" spans="1:16" ht="15">
      <c r="A4" s="3311"/>
      <c r="B4" s="3312"/>
      <c r="C4" s="3313"/>
      <c r="D4" s="108" t="s">
        <v>204</v>
      </c>
      <c r="E4" s="109" t="s">
        <v>205</v>
      </c>
      <c r="F4" s="1968"/>
      <c r="G4" s="1196"/>
      <c r="H4" s="275" t="s">
        <v>858</v>
      </c>
      <c r="I4" s="1960">
        <f>ROUND(SUMIF('数据-基础表'!I9:AS9,"地上",'数据-基础表'!I5:AS5)/'数据-基础表'!A3,2)</f>
        <v>0.89</v>
      </c>
      <c r="J4" s="1968"/>
      <c r="K4" s="1968"/>
      <c r="L4" s="1968"/>
    </row>
    <row r="5" spans="1:16">
      <c r="A5" s="110" t="s">
        <v>207</v>
      </c>
      <c r="B5" s="3314" t="s">
        <v>230</v>
      </c>
      <c r="C5" s="3314"/>
      <c r="D5" s="111">
        <f>ROUND($D$3*E5/$E$3,2)</f>
        <v>34027.730000000003</v>
      </c>
      <c r="E5" s="112">
        <f>SUMIF('数据-基础表'!$11:$11,"住宅",'数据-基础表'!$5:$5)</f>
        <v>43687.839999999997</v>
      </c>
      <c r="F5" s="1968"/>
      <c r="G5" s="280" t="s">
        <v>859</v>
      </c>
      <c r="H5" s="275" t="s">
        <v>857</v>
      </c>
      <c r="I5" s="1960">
        <f>ROUND(E31/D31,2)</f>
        <v>1.28</v>
      </c>
      <c r="J5" s="1968"/>
      <c r="K5" s="1968"/>
      <c r="L5" s="1968"/>
    </row>
    <row r="6" spans="1:16" ht="15" thickBot="1">
      <c r="A6" s="113"/>
      <c r="B6" s="3314" t="s">
        <v>208</v>
      </c>
      <c r="C6" s="3314"/>
      <c r="D6" s="111">
        <f>ROUND($D$3*E6/$E$3,2)</f>
        <v>14983.27</v>
      </c>
      <c r="E6" s="112">
        <f>E3-E5</f>
        <v>19236.86</v>
      </c>
      <c r="F6" s="1968"/>
      <c r="G6" s="1196"/>
      <c r="H6" s="275" t="s">
        <v>858</v>
      </c>
      <c r="I6" s="1960">
        <f>ROUND(F31/D31,2)</f>
        <v>0.89</v>
      </c>
      <c r="J6" s="1968"/>
      <c r="K6" s="1968"/>
      <c r="L6" s="1968"/>
    </row>
    <row r="7" spans="1:16" ht="15">
      <c r="A7" s="3306"/>
      <c r="B7" s="3307"/>
      <c r="C7" s="3308"/>
      <c r="D7" s="108" t="s">
        <v>204</v>
      </c>
      <c r="E7" s="114" t="s">
        <v>231</v>
      </c>
      <c r="F7" s="1968"/>
      <c r="G7" s="1151" t="s">
        <v>1643</v>
      </c>
      <c r="H7" s="1152"/>
      <c r="I7" s="1830">
        <f>I6</f>
        <v>0.89</v>
      </c>
      <c r="J7" s="1968"/>
      <c r="K7" s="1968"/>
      <c r="L7" s="1968"/>
    </row>
    <row r="8" spans="1:16">
      <c r="A8" s="110" t="s">
        <v>209</v>
      </c>
      <c r="B8" s="115" t="s">
        <v>210</v>
      </c>
      <c r="C8" s="111" t="s">
        <v>211</v>
      </c>
      <c r="D8" s="111">
        <f t="shared" ref="D8:D15" si="0">ROUND($D$3*E8/$E$3,2)</f>
        <v>34027.730000000003</v>
      </c>
      <c r="E8" s="116">
        <f>SUMIF('数据-基础表'!BB10:BK10,"地上",'数据-基础表'!BB5:BK5)</f>
        <v>43687.839999999997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2321</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2328</v>
      </c>
      <c r="D13" s="111">
        <f t="shared" si="0"/>
        <v>14983.27</v>
      </c>
      <c r="E13" s="116">
        <f>SUMPRODUCT(('数据-基础表'!BB10:BK10="地下")*('数据-基础表'!BB11:BK11="车库")*('数据-基础表'!BB5:BK5))</f>
        <v>19236.86</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49011</v>
      </c>
      <c r="E16" s="120">
        <f>SUM(E8:E15)</f>
        <v>62924.7</v>
      </c>
      <c r="F16" s="1968"/>
      <c r="G16" s="1970"/>
      <c r="H16" s="967" t="s">
        <v>219</v>
      </c>
      <c r="I16" s="968"/>
      <c r="J16" s="1968"/>
      <c r="K16" s="3300" t="s">
        <v>2560</v>
      </c>
      <c r="L16" s="3301"/>
      <c r="M16" s="3301"/>
      <c r="N16" s="3301"/>
      <c r="O16" s="3301"/>
      <c r="P16" s="3302"/>
    </row>
    <row r="17" spans="1:19" ht="15">
      <c r="A17" s="121" t="s">
        <v>216</v>
      </c>
      <c r="B17" s="122" t="s">
        <v>217</v>
      </c>
      <c r="C17" s="2282" t="s">
        <v>2307</v>
      </c>
      <c r="D17" s="108" t="s">
        <v>204</v>
      </c>
      <c r="E17" s="124" t="s">
        <v>205</v>
      </c>
      <c r="F17" s="125"/>
      <c r="G17" s="1361"/>
      <c r="H17" s="969" t="s">
        <v>218</v>
      </c>
      <c r="I17" s="970" t="s">
        <v>2306</v>
      </c>
      <c r="J17" s="1968"/>
      <c r="K17" s="3303" t="s">
        <v>2561</v>
      </c>
      <c r="L17" s="3304"/>
      <c r="M17" s="3305"/>
      <c r="N17" s="3303" t="s">
        <v>2562</v>
      </c>
      <c r="O17" s="3304"/>
      <c r="P17" s="3305"/>
      <c r="R17" s="2283" t="s">
        <v>2305</v>
      </c>
      <c r="S17" s="144"/>
    </row>
    <row r="18" spans="1:19" ht="15">
      <c r="A18" s="117"/>
      <c r="B18" s="128"/>
      <c r="C18" s="129"/>
      <c r="D18" s="2605"/>
      <c r="E18" s="130" t="s">
        <v>220</v>
      </c>
      <c r="F18" s="131" t="s">
        <v>221</v>
      </c>
      <c r="G18" s="1362" t="s">
        <v>222</v>
      </c>
      <c r="H18" s="971" t="s">
        <v>223</v>
      </c>
      <c r="I18" s="972" t="s">
        <v>224</v>
      </c>
      <c r="J18" s="1968"/>
      <c r="K18" s="2568" t="s">
        <v>2563</v>
      </c>
      <c r="L18" s="2569" t="s">
        <v>2564</v>
      </c>
      <c r="M18" s="2570" t="s">
        <v>2565</v>
      </c>
      <c r="N18" s="2568" t="s">
        <v>2563</v>
      </c>
      <c r="O18" s="2569" t="s">
        <v>2564</v>
      </c>
      <c r="P18" s="2570" t="s">
        <v>2565</v>
      </c>
      <c r="R18" s="2284" t="s">
        <v>2303</v>
      </c>
      <c r="S18" s="2284" t="s">
        <v>2304</v>
      </c>
    </row>
    <row r="19" spans="1:19">
      <c r="A19" s="133"/>
      <c r="B19" s="115" t="s">
        <v>225</v>
      </c>
      <c r="C19" s="2976" t="s">
        <v>3365</v>
      </c>
      <c r="D19" s="111">
        <f t="shared" ref="D19:D26" si="1">ROUND($D$3*E19/$E$3,2)</f>
        <v>32004.560000000001</v>
      </c>
      <c r="E19" s="134">
        <f t="shared" ref="E19:E26" si="2">SUM(F19:G19)</f>
        <v>41090.31</v>
      </c>
      <c r="F19" s="135">
        <f>'数据-基础表'!I13</f>
        <v>41090.31</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32004.560000000001</v>
      </c>
      <c r="S19" s="2285">
        <f t="shared" si="5"/>
        <v>41090.31</v>
      </c>
    </row>
    <row r="20" spans="1:19">
      <c r="A20" s="138"/>
      <c r="B20" s="115" t="s">
        <v>226</v>
      </c>
      <c r="C20" s="2976" t="s">
        <v>3032</v>
      </c>
      <c r="D20" s="111">
        <f t="shared" si="1"/>
        <v>2023.17</v>
      </c>
      <c r="E20" s="134">
        <f t="shared" si="2"/>
        <v>2597.5300000000002</v>
      </c>
      <c r="F20" s="135">
        <f>'数据-基础表'!K13</f>
        <v>2597.5300000000002</v>
      </c>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2023.17</v>
      </c>
      <c r="S20" s="2285">
        <f t="shared" si="5"/>
        <v>2597.5300000000002</v>
      </c>
    </row>
    <row r="21" spans="1:19">
      <c r="A21" s="138"/>
      <c r="B21" s="115" t="s">
        <v>226</v>
      </c>
      <c r="C21" s="2976" t="s">
        <v>3033</v>
      </c>
      <c r="D21" s="111">
        <f t="shared" si="1"/>
        <v>14983.27</v>
      </c>
      <c r="E21" s="134">
        <f t="shared" si="2"/>
        <v>19236.86</v>
      </c>
      <c r="F21" s="135"/>
      <c r="G21" s="1363">
        <f>'数据-基础表'!M13</f>
        <v>19236.86</v>
      </c>
      <c r="H21" s="973">
        <f t="shared" si="6"/>
        <v>0</v>
      </c>
      <c r="I21" s="116">
        <f t="shared" si="7"/>
        <v>0</v>
      </c>
      <c r="J21" s="1968"/>
      <c r="K21" s="2571">
        <f t="shared" si="3"/>
        <v>0</v>
      </c>
      <c r="L21" s="275">
        <f t="shared" si="4"/>
        <v>0</v>
      </c>
      <c r="M21" s="2572">
        <f t="shared" si="8"/>
        <v>0</v>
      </c>
      <c r="N21" s="2573"/>
      <c r="O21" s="2574"/>
      <c r="P21" s="2575">
        <f t="shared" si="9"/>
        <v>0</v>
      </c>
      <c r="R21" s="275">
        <f t="shared" si="5"/>
        <v>14983.27</v>
      </c>
      <c r="S21" s="2285">
        <f t="shared" si="5"/>
        <v>19236.86</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49011</v>
      </c>
      <c r="E27" s="143">
        <f>IF(SUM(E19:E26)='数据-基础表'!BA5,SUM(E19:E26),IF(F27="地上面积有误","面积有误","地下面积有误"))</f>
        <v>62924.7</v>
      </c>
      <c r="F27" s="134">
        <f>IF(SUM(F19:F26)=E8,SUM(F19:F26),"地上面积有误")</f>
        <v>43687.839999999997</v>
      </c>
      <c r="G27" s="112">
        <f>SUM(G19:G26)</f>
        <v>19236.86</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49011</v>
      </c>
      <c r="S27" s="275">
        <f>IF(SUM(S19:S26)=$E$3,SUM(S19:S26),SUM(S19:S26)&amp;"误差"&amp;ROUND(SUM(S19:S26)-E3,2))</f>
        <v>62924.7</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2314</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2316</v>
      </c>
      <c r="D31" s="1367">
        <f>D27+D30</f>
        <v>49011</v>
      </c>
      <c r="E31" s="1367">
        <f>E27+E30</f>
        <v>62924.7</v>
      </c>
      <c r="F31" s="1368">
        <f>F27+F30</f>
        <v>43687.839999999997</v>
      </c>
      <c r="G31" s="1369">
        <f>G27+G30</f>
        <v>19236.86</v>
      </c>
      <c r="H31" s="1968"/>
      <c r="I31" s="1968"/>
      <c r="J31" s="1968"/>
      <c r="K31" s="1968"/>
      <c r="L31" s="1968"/>
    </row>
    <row r="32" spans="1:19">
      <c r="A32" s="1968"/>
      <c r="B32" s="2326" t="s">
        <v>2315</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R15" sqref="R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43994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2318</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2566</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2317</v>
      </c>
      <c r="AI5" s="171" t="s">
        <v>2286</v>
      </c>
      <c r="AJ5" s="171" t="s">
        <v>258</v>
      </c>
      <c r="AK5" s="159" t="s">
        <v>259</v>
      </c>
      <c r="AL5" s="159" t="s">
        <v>260</v>
      </c>
      <c r="AM5" s="172" t="s">
        <v>261</v>
      </c>
      <c r="AN5" s="2354" t="s">
        <v>2367</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叠拼</v>
      </c>
      <c r="B6" s="2321" t="str">
        <f>IF(A6=0,"","经营性")</f>
        <v>经营性</v>
      </c>
      <c r="C6" s="173" t="s">
        <v>921</v>
      </c>
      <c r="D6" s="2292">
        <f>SUMIF(项目基本情况!D$15:I$15,C6,项目基本情况!D$18:I$18)</f>
        <v>50</v>
      </c>
      <c r="E6" s="2293">
        <f>IF(B6="","",SUMIF(项目基本情况!D$15:I$15,C6,项目基本情况!D$17:I$17))</f>
        <v>61113</v>
      </c>
      <c r="F6" s="174">
        <f>SUMIF(项目基本情况!D$15:I$15,C6,项目基本情况!D$19:I$19)</f>
        <v>46.9</v>
      </c>
      <c r="G6" s="175">
        <f>IF(ISERROR(ROUND(POWER(1+H6,D6-F6)*(POWER(1+H6,F6)-1)/(POWER(1+H6,D6)-1),3)),0,ROUND(POWER(1+H6,D6-F6)*(POWER(1+H6,F6)-1)/(POWER(1+H6,D6)-1),3))</f>
        <v>0.98199999999999998</v>
      </c>
      <c r="H6" s="2977">
        <v>4.4999999999999998E-2</v>
      </c>
      <c r="I6" s="2977">
        <v>0.05</v>
      </c>
      <c r="J6" s="176">
        <v>8.5000000000000006E-2</v>
      </c>
      <c r="K6" s="179">
        <f>SUMIF('数据-汇总表'!C$19:C$33,'数据-取费表'!A6,'数据-汇总表'!E$19:E$33)</f>
        <v>41090.31</v>
      </c>
      <c r="L6" s="2978">
        <v>2200</v>
      </c>
      <c r="M6" s="177">
        <f t="shared" ref="M6:M14" si="0">ROUND(K6*L6/10000,0)</f>
        <v>9040</v>
      </c>
      <c r="N6" s="2979">
        <v>0</v>
      </c>
      <c r="O6" s="177">
        <f>IF($N$5="成新度","——",ROUND(M6*N6,0))</f>
        <v>0</v>
      </c>
      <c r="P6" s="178">
        <f>IF($N$5="成新度","——",M6-O6)</f>
        <v>9040</v>
      </c>
      <c r="Q6" s="2980">
        <v>0.15</v>
      </c>
      <c r="R6" s="179">
        <f>SUMIF('数据-汇总表'!C$19:C$33,A6,'数据-汇总表'!R$19:R$33)</f>
        <v>32004.560000000001</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0.873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1">IF(A7=0,"","经营性")</f>
        <v>经营性</v>
      </c>
      <c r="C7" s="173" t="s">
        <v>3001</v>
      </c>
      <c r="D7" s="2292">
        <f>SUMIF(项目基本情况!D$15:I$15,C7,项目基本情况!D$18:I$18)</f>
        <v>40</v>
      </c>
      <c r="E7" s="2293">
        <f>IF(B7="","",SUMIF(项目基本情况!D$15:I$15,C7,项目基本情况!D$17:I$17))</f>
        <v>57461</v>
      </c>
      <c r="F7" s="174">
        <f>SUMIF(项目基本情况!D$15:I$15,C7,项目基本情况!D$19:I$19)</f>
        <v>36.89</v>
      </c>
      <c r="G7" s="175">
        <f t="shared" ref="G7:G11" si="2">IF(ISERROR(ROUND(POWER(1+H7,D7-F7)*(POWER(1+H7,F7)-1)/(POWER(1+H7,D7)-1),3)),0,ROUND(POWER(1+H7,D7-F7)*(POWER(1+H7,F7)-1)/(POWER(1+H7,D7)-1),3))</f>
        <v>0.97299999999999998</v>
      </c>
      <c r="H7" s="2977">
        <v>0.05</v>
      </c>
      <c r="I7" s="2977">
        <v>5.5E-2</v>
      </c>
      <c r="J7" s="176">
        <v>8.5000000000000006E-2</v>
      </c>
      <c r="K7" s="179">
        <f>SUMIF('数据-汇总表'!C$19:C$33,'数据-取费表'!A7,'数据-汇总表'!E$19:E$33)</f>
        <v>2597.5300000000002</v>
      </c>
      <c r="L7" s="2978">
        <f>'[1]数据-取费表'!$L$7</f>
        <v>2500</v>
      </c>
      <c r="M7" s="177">
        <f t="shared" si="0"/>
        <v>649</v>
      </c>
      <c r="N7" s="2979">
        <v>0</v>
      </c>
      <c r="O7" s="177">
        <f t="shared" ref="O7:O14" si="3">IF($N$5="成新度","——",ROUND(M7*N7,0))</f>
        <v>0</v>
      </c>
      <c r="P7" s="178">
        <f t="shared" ref="P7:P14" si="4">IF($N$5="成新度","——",M7-O7)</f>
        <v>649</v>
      </c>
      <c r="Q7" s="2980">
        <v>0.15</v>
      </c>
      <c r="R7" s="179">
        <f>SUMIF('数据-汇总表'!C$19:C$33,A7,'数据-汇总表'!R$19:R$33)</f>
        <v>2023.17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0.83499999999999996</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3" t="s">
        <v>3031</v>
      </c>
      <c r="D8" s="2292">
        <f>SUMIF(项目基本情况!D$15:I$15,C8,项目基本情况!D$18:I$18)</f>
        <v>40</v>
      </c>
      <c r="E8" s="2293">
        <f>IF(B8="","",SUMIF(项目基本情况!D$15:I$15,C8,项目基本情况!D$17:I$17))</f>
        <v>57461</v>
      </c>
      <c r="F8" s="174">
        <f>SUMIF(项目基本情况!D$15:I$15,C8,项目基本情况!D$19:I$19)</f>
        <v>36.89</v>
      </c>
      <c r="G8" s="175">
        <f t="shared" si="2"/>
        <v>0.97</v>
      </c>
      <c r="H8" s="2977">
        <v>4.4999999999999998E-2</v>
      </c>
      <c r="I8" s="2977">
        <v>0.05</v>
      </c>
      <c r="J8" s="176">
        <v>8.5000000000000006E-2</v>
      </c>
      <c r="K8" s="179">
        <f>SUMIF('数据-汇总表'!C$19:C$33,'数据-取费表'!A8,'数据-汇总表'!E$19:E$33)</f>
        <v>19236.86</v>
      </c>
      <c r="L8" s="2978">
        <v>1800</v>
      </c>
      <c r="M8" s="177">
        <f>ROUND(K8*L8/10000,0)</f>
        <v>3463</v>
      </c>
      <c r="N8" s="2979">
        <v>0</v>
      </c>
      <c r="O8" s="177">
        <f t="shared" si="3"/>
        <v>0</v>
      </c>
      <c r="P8" s="178">
        <f t="shared" si="4"/>
        <v>3463</v>
      </c>
      <c r="Q8" s="2980">
        <v>0.03</v>
      </c>
      <c r="R8" s="179">
        <f>SUMIF('数据-汇总表'!C$19:C$33,A8,'数据-汇总表'!R$19:R$33)</f>
        <v>14983.27</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0.80300000000000005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2308</v>
      </c>
      <c r="B14" s="2290" t="s">
        <v>1677</v>
      </c>
      <c r="C14" s="2291" t="s">
        <v>2308</v>
      </c>
      <c r="D14" s="2292"/>
      <c r="E14" s="2293"/>
      <c r="F14" s="174"/>
      <c r="G14" s="175"/>
      <c r="H14" s="2294"/>
      <c r="I14" s="2294"/>
      <c r="J14" s="2294"/>
      <c r="K14" s="179">
        <f>SUMIF('数据-汇总表'!C$19:C$33,'数据-取费表'!A14,'数据-汇总表'!E$19:E$33)</f>
        <v>0</v>
      </c>
      <c r="L14" s="193">
        <v>1800</v>
      </c>
      <c r="M14" s="177">
        <f t="shared" si="0"/>
        <v>0</v>
      </c>
      <c r="N14" s="194">
        <v>0</v>
      </c>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2310</v>
      </c>
      <c r="B15" s="2290" t="s">
        <v>1677</v>
      </c>
      <c r="C15" s="2291" t="s">
        <v>2309</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0.97799999999999998</v>
      </c>
      <c r="H16" s="203">
        <f>ROUND(SUMPRODUCT(H6:H13,K6:K13)/SUMPRODUCT((H6:H13&gt;0)*(K6:K13)),3)</f>
        <v>4.4999999999999998E-2</v>
      </c>
      <c r="I16" s="204"/>
      <c r="J16" s="204"/>
      <c r="K16" s="205">
        <f>SUM(K6:K15)</f>
        <v>62924.7</v>
      </c>
      <c r="L16" s="206">
        <f>ROUND(M16*10000/SUM(K6:K14),0)</f>
        <v>2090</v>
      </c>
      <c r="M16" s="206">
        <f>SUM(M6:M14)</f>
        <v>13152</v>
      </c>
      <c r="N16" s="207">
        <f>ROUND(SUMPRODUCT(M6:M14,N6:N14)/M16,3)</f>
        <v>0</v>
      </c>
      <c r="O16" s="206">
        <f>SUM(O6:O14)</f>
        <v>0</v>
      </c>
      <c r="P16" s="206">
        <f>SUM(P6:P14)</f>
        <v>13152</v>
      </c>
      <c r="Q16" s="208">
        <f>ROUND(SUMPRODUCT(Q6:Q13,K6:K13)/SUMPRODUCT((Q6:Q13&gt;0)*(K6:K13)),2)</f>
        <v>0.11</v>
      </c>
      <c r="R16" s="2295">
        <f>SUM(R6:R13)</f>
        <v>49011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2330</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2329</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2332</v>
      </c>
      <c r="B27" s="227">
        <v>290</v>
      </c>
      <c r="C27" s="2330" t="s">
        <v>2336</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2333</v>
      </c>
      <c r="B28" s="229">
        <v>290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2331</v>
      </c>
      <c r="B29" s="232"/>
      <c r="C29" s="1538" t="s">
        <v>2334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2885</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2887</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2450</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2451</v>
      </c>
      <c r="B40" s="2444">
        <f ca="1">存贷款利率!E2</f>
        <v>4.3499999999999997E-2</v>
      </c>
      <c r="C40" s="2328" t="s">
        <v>2335</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4">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0"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1094</v>
      </c>
      <c r="C53" s="3021" t="s">
        <v>2895</v>
      </c>
      <c r="D53" s="3022"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2897</v>
      </c>
      <c r="B54" s="186">
        <v>10</v>
      </c>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2898</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2899</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2900</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2901</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2902</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2906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5" t="s">
        <v>1661</v>
      </c>
      <c r="B1" s="3316"/>
      <c r="C1" s="3316"/>
      <c r="D1" s="3316"/>
      <c r="E1" s="3316"/>
      <c r="F1" s="3316"/>
      <c r="G1" s="3316"/>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42.75">
      <c r="A3" s="1222" t="s">
        <v>1664</v>
      </c>
      <c r="B3" s="1223" t="s">
        <v>1651</v>
      </c>
      <c r="C3" s="3223" t="s">
        <v>3355</v>
      </c>
      <c r="D3" s="1993"/>
      <c r="E3" s="1224" t="s">
        <v>1664</v>
      </c>
      <c r="F3" s="1225" t="s">
        <v>1652</v>
      </c>
      <c r="G3" s="3029" t="s">
        <v>2911</v>
      </c>
      <c r="H3" s="1992"/>
      <c r="I3" s="1992"/>
      <c r="J3" s="1992"/>
      <c r="K3" s="1992"/>
      <c r="L3" s="1992"/>
      <c r="M3" s="1992"/>
      <c r="N3" s="1992"/>
      <c r="O3" s="1992"/>
      <c r="P3" s="1992"/>
      <c r="Q3" s="1992"/>
      <c r="R3" s="1992"/>
    </row>
    <row r="4" spans="1:18" ht="40.5">
      <c r="A4" s="1224"/>
      <c r="B4" s="1226" t="s">
        <v>1665</v>
      </c>
      <c r="C4" s="3224" t="s">
        <v>3357</v>
      </c>
      <c r="D4" s="1993"/>
      <c r="E4" s="1227"/>
      <c r="F4" s="1228" t="s">
        <v>1666</v>
      </c>
      <c r="G4" s="3027" t="s">
        <v>2908</v>
      </c>
      <c r="H4" s="1992"/>
      <c r="I4" s="1992"/>
      <c r="J4" s="1992"/>
      <c r="K4" s="1992"/>
      <c r="L4" s="1992"/>
      <c r="M4" s="1992"/>
      <c r="N4" s="1992"/>
      <c r="O4" s="1992"/>
      <c r="P4" s="1992"/>
      <c r="Q4" s="1992"/>
      <c r="R4" s="1992"/>
    </row>
    <row r="5" spans="1:18" ht="27">
      <c r="A5" s="1224"/>
      <c r="B5" s="1226" t="s">
        <v>1667</v>
      </c>
      <c r="C5" s="3026"/>
      <c r="D5" s="1993"/>
      <c r="E5" s="1227"/>
      <c r="F5" s="1226" t="s">
        <v>2540</v>
      </c>
      <c r="G5" s="3027" t="s">
        <v>2909</v>
      </c>
      <c r="H5" s="1992"/>
      <c r="I5" s="1992"/>
      <c r="J5" s="1992"/>
      <c r="K5" s="1992"/>
      <c r="L5" s="1992"/>
      <c r="M5" s="1992"/>
      <c r="N5" s="1992"/>
      <c r="O5" s="1992"/>
      <c r="P5" s="1992"/>
      <c r="Q5" s="1992"/>
      <c r="R5" s="1992"/>
    </row>
    <row r="6" spans="1:18" ht="27">
      <c r="A6" s="1224"/>
      <c r="B6" s="1226" t="s">
        <v>1653</v>
      </c>
      <c r="C6" s="3225" t="s">
        <v>3358</v>
      </c>
      <c r="D6" s="1993"/>
      <c r="E6" s="1227"/>
      <c r="F6" s="1226" t="s">
        <v>2541</v>
      </c>
      <c r="G6" s="3027" t="s">
        <v>2907</v>
      </c>
      <c r="H6" s="1992"/>
      <c r="I6" s="1992"/>
      <c r="J6" s="1992"/>
      <c r="K6" s="1992"/>
      <c r="L6" s="1992"/>
      <c r="M6" s="1992"/>
      <c r="N6" s="1992"/>
      <c r="O6" s="1992"/>
      <c r="P6" s="1992"/>
      <c r="Q6" s="1992"/>
      <c r="R6" s="1992"/>
    </row>
    <row r="7" spans="1:18" ht="41.25" thickBot="1">
      <c r="A7" s="1224"/>
      <c r="B7" s="1226" t="s">
        <v>2540</v>
      </c>
      <c r="C7" s="3225" t="s">
        <v>3355</v>
      </c>
      <c r="D7" s="1994"/>
      <c r="E7" s="1229"/>
      <c r="F7" s="1230" t="s">
        <v>1668</v>
      </c>
      <c r="G7" s="3030" t="s">
        <v>2910</v>
      </c>
      <c r="H7" s="1992"/>
      <c r="I7" s="1992"/>
      <c r="J7" s="1992"/>
      <c r="K7" s="1992"/>
      <c r="L7" s="1992"/>
      <c r="M7" s="1992"/>
      <c r="N7" s="1992"/>
      <c r="O7" s="1992"/>
      <c r="P7" s="1992"/>
      <c r="Q7" s="1992"/>
      <c r="R7" s="1992"/>
    </row>
    <row r="8" spans="1:18" ht="14.25">
      <c r="A8" s="1224"/>
      <c r="B8" s="1226" t="s">
        <v>2541</v>
      </c>
      <c r="C8" s="3027"/>
      <c r="D8" s="1994"/>
      <c r="E8" s="1994"/>
      <c r="F8" s="1539"/>
      <c r="G8" s="1539"/>
      <c r="H8" s="1992"/>
      <c r="I8" s="1992"/>
      <c r="J8" s="1992"/>
      <c r="K8" s="1992"/>
      <c r="L8" s="1992"/>
      <c r="M8" s="1992"/>
      <c r="N8" s="1992"/>
      <c r="O8" s="1992"/>
      <c r="P8" s="1992"/>
      <c r="Q8" s="1992"/>
      <c r="R8" s="1992"/>
    </row>
    <row r="9" spans="1:18">
      <c r="A9" s="1224"/>
      <c r="B9" s="1226" t="s">
        <v>1654</v>
      </c>
      <c r="C9" s="3224" t="s">
        <v>3359</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8"/>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40.5">
      <c r="A15" s="2551" t="s">
        <v>1655</v>
      </c>
      <c r="B15" s="1237" t="s">
        <v>1651</v>
      </c>
      <c r="C15" s="1238" t="str">
        <f>C3</f>
        <v>较好</v>
      </c>
      <c r="D15" s="1993"/>
      <c r="E15" s="2548" t="s">
        <v>1656</v>
      </c>
      <c r="F15" s="1237" t="s">
        <v>1671</v>
      </c>
      <c r="G15" s="1239" t="str">
        <f>G3</f>
        <v>估价对象位于XX开发区，园区建设成熟度XX，产业集聚程度XX</v>
      </c>
    </row>
    <row r="16" spans="1:18" ht="40.5">
      <c r="A16" s="2552"/>
      <c r="B16" s="1240" t="s">
        <v>1665</v>
      </c>
      <c r="C16" s="1241" t="str">
        <f>C4</f>
        <v>一般</v>
      </c>
      <c r="D16" s="1993"/>
      <c r="E16" s="2549"/>
      <c r="F16" s="1242" t="s">
        <v>1666</v>
      </c>
      <c r="G16" s="1004" t="str">
        <f>G4</f>
        <v>估价对象周边道路状况、公共交通通达情况、停车便捷程度，综合评价交通便捷度较好</v>
      </c>
    </row>
    <row r="17" spans="1:7" ht="14.25">
      <c r="A17" s="2552"/>
      <c r="B17" s="1240" t="s">
        <v>1667</v>
      </c>
      <c r="C17" s="1241">
        <f>C5</f>
        <v>0</v>
      </c>
      <c r="D17" s="1994"/>
      <c r="E17" s="2549"/>
      <c r="F17" s="1242" t="s">
        <v>1672</v>
      </c>
      <c r="G17" s="2749"/>
    </row>
    <row r="18" spans="1:7" ht="40.5">
      <c r="A18" s="2552"/>
      <c r="B18" s="1242" t="s">
        <v>1653</v>
      </c>
      <c r="C18" s="1004" t="str">
        <f>C6</f>
        <v>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2540</v>
      </c>
      <c r="G19" s="1004" t="str">
        <f>G5</f>
        <v>估价对象所在区域公共配套设施齐备情况</v>
      </c>
    </row>
    <row r="20" spans="1:7" ht="27">
      <c r="A20" s="2552"/>
      <c r="B20" s="1242" t="s">
        <v>1658</v>
      </c>
      <c r="C20" s="1241" t="str">
        <f>C9</f>
        <v>一般</v>
      </c>
      <c r="D20" s="1994"/>
      <c r="E20" s="2549"/>
      <c r="F20" s="1226" t="s">
        <v>2541</v>
      </c>
      <c r="G20" s="1004" t="str">
        <f>G6</f>
        <v>估价对象所在区域基础设施水平</v>
      </c>
    </row>
    <row r="21" spans="1:7" ht="14.25">
      <c r="A21" s="2552"/>
      <c r="B21" s="1226" t="s">
        <v>2540</v>
      </c>
      <c r="C21" s="1004" t="str">
        <f>C7</f>
        <v>较好</v>
      </c>
      <c r="D21" s="1993"/>
      <c r="E21" s="2549"/>
      <c r="F21" s="1242" t="s">
        <v>1659</v>
      </c>
      <c r="G21" s="3031"/>
    </row>
    <row r="22" spans="1:7" ht="14.25">
      <c r="A22" s="2552"/>
      <c r="B22" s="1226" t="s">
        <v>2541</v>
      </c>
      <c r="C22" s="1004">
        <f>C8</f>
        <v>0</v>
      </c>
      <c r="D22" s="1993"/>
      <c r="E22" s="2549"/>
      <c r="F22" s="1242" t="s">
        <v>1669</v>
      </c>
      <c r="G22" s="2749"/>
    </row>
    <row r="23" spans="1:7" ht="15" thickBot="1">
      <c r="A23" s="2552"/>
      <c r="B23" s="1242" t="s">
        <v>1659</v>
      </c>
      <c r="C23" s="3031"/>
      <c r="E23" s="2550"/>
      <c r="F23" s="1243" t="s">
        <v>1673</v>
      </c>
      <c r="G23" s="3032"/>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style="3178" customWidth="1"/>
    <col min="2" max="16384" width="14.625" style="3178"/>
  </cols>
  <sheetData>
    <row r="1" spans="1:9" ht="16.5">
      <c r="A1" s="3179" t="s">
        <v>2837</v>
      </c>
      <c r="B1" s="3179">
        <f>SUM(B14:B23)</f>
        <v>62924.7</v>
      </c>
      <c r="C1" s="3177"/>
      <c r="D1" s="3177"/>
      <c r="E1" s="3177"/>
      <c r="F1" s="3177"/>
    </row>
    <row r="2" spans="1:9" ht="16.5">
      <c r="A2" s="3179" t="s">
        <v>2838</v>
      </c>
      <c r="B2" s="3179">
        <f>SUM(C14:C23)</f>
        <v>49011</v>
      </c>
      <c r="C2" s="3177"/>
      <c r="D2" s="3177"/>
      <c r="E2" s="3177"/>
      <c r="F2" s="3177"/>
    </row>
    <row r="3" spans="1:9" ht="16.5">
      <c r="A3" s="3179" t="s">
        <v>2839</v>
      </c>
      <c r="B3" s="3180">
        <f>项目基本情况!D3</f>
        <v>43994</v>
      </c>
      <c r="C3" s="3177"/>
      <c r="D3" s="3177"/>
      <c r="E3" s="3177"/>
      <c r="F3" s="3177"/>
    </row>
    <row r="4" spans="1:9" ht="33">
      <c r="A4" s="3179" t="s">
        <v>2840</v>
      </c>
      <c r="B4" s="3179" t="s">
        <v>2841</v>
      </c>
      <c r="C4" s="3179" t="s">
        <v>2842</v>
      </c>
      <c r="D4" s="3179" t="s">
        <v>2843</v>
      </c>
      <c r="E4" s="3177"/>
      <c r="F4" s="3177"/>
    </row>
    <row r="5" spans="1:9" ht="16.5">
      <c r="A5" s="3179" t="s">
        <v>2844</v>
      </c>
      <c r="B5" s="3179">
        <f ca="1">SUM(D14:D23)</f>
        <v>40269</v>
      </c>
      <c r="C5" s="3179">
        <f ca="1">ROUND(B5*10000/$B$1,0)</f>
        <v>6400</v>
      </c>
      <c r="D5" s="3179">
        <f ca="1">ROUND(B5*10000/$B$2,0)</f>
        <v>8216</v>
      </c>
      <c r="E5" s="3177"/>
      <c r="F5" s="3177"/>
    </row>
    <row r="6" spans="1:9" ht="16.5">
      <c r="A6" s="3179" t="s">
        <v>2845</v>
      </c>
      <c r="B6" s="3179">
        <f>SUM(G14:G23)</f>
        <v>0</v>
      </c>
      <c r="C6" s="3179">
        <f t="shared" ref="C6:C8" si="0">ROUND(B6*10000/$B$1,0)</f>
        <v>0</v>
      </c>
      <c r="D6" s="3179">
        <f t="shared" ref="D6:D8" si="1">ROUND(B6*10000/$B$2,0)</f>
        <v>0</v>
      </c>
      <c r="E6" s="3177"/>
      <c r="F6" s="3177"/>
    </row>
    <row r="7" spans="1:9" ht="16.5">
      <c r="A7" s="3179" t="s">
        <v>2846</v>
      </c>
      <c r="B7" s="3179">
        <f>SUM(H14:H23)</f>
        <v>0</v>
      </c>
      <c r="C7" s="3179">
        <f t="shared" si="0"/>
        <v>0</v>
      </c>
      <c r="D7" s="3179">
        <f t="shared" si="1"/>
        <v>0</v>
      </c>
      <c r="E7" s="3177"/>
      <c r="F7" s="3177"/>
    </row>
    <row r="8" spans="1:9" ht="16.5">
      <c r="A8" s="3179" t="s">
        <v>2847</v>
      </c>
      <c r="B8" s="3179">
        <f>SUM(I14:I23)</f>
        <v>0</v>
      </c>
      <c r="C8" s="3179">
        <f t="shared" si="0"/>
        <v>0</v>
      </c>
      <c r="D8" s="3179">
        <f t="shared" si="1"/>
        <v>0</v>
      </c>
      <c r="E8" s="3177"/>
      <c r="F8" s="3177"/>
    </row>
    <row r="9" spans="1:9" ht="16.5">
      <c r="A9" s="3179" t="s">
        <v>2848</v>
      </c>
      <c r="B9" s="2996"/>
      <c r="C9" s="3177"/>
      <c r="D9" s="3177"/>
      <c r="E9" s="3177"/>
      <c r="F9" s="3177"/>
    </row>
    <row r="10" spans="1:9" ht="16.5">
      <c r="A10" s="3179" t="s">
        <v>2849</v>
      </c>
      <c r="B10" s="2996"/>
      <c r="C10" s="3177"/>
      <c r="D10" s="3177"/>
      <c r="E10" s="3177"/>
      <c r="F10" s="3177"/>
    </row>
    <row r="11" spans="1:9" ht="16.5">
      <c r="A11" s="3179" t="s">
        <v>2866</v>
      </c>
      <c r="B11" s="2996"/>
      <c r="C11" s="3177"/>
      <c r="D11" s="3177"/>
      <c r="E11" s="3177"/>
      <c r="F11" s="3177"/>
    </row>
    <row r="12" spans="1:9" ht="16.5">
      <c r="A12" s="3177"/>
      <c r="B12" s="3177"/>
      <c r="C12" s="3177"/>
      <c r="D12" s="3177"/>
      <c r="E12" s="3177"/>
      <c r="F12" s="3177"/>
    </row>
    <row r="13" spans="1:9" ht="33">
      <c r="A13" s="3181" t="s">
        <v>2865</v>
      </c>
      <c r="B13" s="3182" t="s">
        <v>2837</v>
      </c>
      <c r="C13" s="3182" t="s">
        <v>2838</v>
      </c>
      <c r="D13" s="3182" t="s">
        <v>2850</v>
      </c>
      <c r="E13" s="3179" t="s">
        <v>2864</v>
      </c>
      <c r="F13" s="3179" t="s">
        <v>2843</v>
      </c>
      <c r="G13" s="3182" t="s">
        <v>2851</v>
      </c>
      <c r="H13" s="3182" t="s">
        <v>2852</v>
      </c>
      <c r="I13" s="3182" t="s">
        <v>2853</v>
      </c>
    </row>
    <row r="14" spans="1:9" ht="16.5">
      <c r="A14" s="3183" t="s">
        <v>2863</v>
      </c>
      <c r="B14" s="3184">
        <f>结果表!L38</f>
        <v>62924.7</v>
      </c>
      <c r="C14" s="3184">
        <f>结果表!K38</f>
        <v>49011</v>
      </c>
      <c r="D14" s="3184">
        <f ca="1">结果表!C42</f>
        <v>40269</v>
      </c>
      <c r="E14" s="3182">
        <f ca="1">ROUND(D14*10000/B14,0)</f>
        <v>6400</v>
      </c>
      <c r="F14" s="3182">
        <f ca="1">ROUND(D14*10000/C14,0)</f>
        <v>8216</v>
      </c>
      <c r="G14" s="3184" t="str">
        <f>结果表!C44</f>
        <v>——</v>
      </c>
      <c r="H14" s="3184" t="str">
        <f>结果表!C45</f>
        <v>——</v>
      </c>
      <c r="I14" s="3184" t="str">
        <f>结果表!C46</f>
        <v>——</v>
      </c>
    </row>
    <row r="15" spans="1:9" ht="16.5">
      <c r="A15" s="3183" t="s">
        <v>2854</v>
      </c>
      <c r="B15" s="2998"/>
      <c r="C15" s="2998"/>
      <c r="D15" s="2998"/>
      <c r="E15" s="3182" t="e">
        <f t="shared" ref="E15:E23" si="2">ROUND(D15*10000/B15,0)</f>
        <v>#DIV/0!</v>
      </c>
      <c r="F15" s="3182" t="e">
        <f t="shared" ref="F15:F23" si="3">ROUND(D15*10000/C15,0)</f>
        <v>#DIV/0!</v>
      </c>
      <c r="G15" s="2997"/>
      <c r="H15" s="2997"/>
      <c r="I15" s="2998"/>
    </row>
    <row r="16" spans="1:9" ht="16.5">
      <c r="A16" s="3183" t="s">
        <v>2855</v>
      </c>
      <c r="B16" s="2998"/>
      <c r="C16" s="2998"/>
      <c r="D16" s="2998"/>
      <c r="E16" s="3182" t="e">
        <f t="shared" si="2"/>
        <v>#DIV/0!</v>
      </c>
      <c r="F16" s="3182" t="e">
        <f t="shared" si="3"/>
        <v>#DIV/0!</v>
      </c>
      <c r="G16" s="2997"/>
      <c r="H16" s="2997"/>
      <c r="I16" s="2998"/>
    </row>
    <row r="17" spans="1:9" ht="16.5">
      <c r="A17" s="3183" t="s">
        <v>2856</v>
      </c>
      <c r="B17" s="2998"/>
      <c r="C17" s="2998"/>
      <c r="D17" s="2998"/>
      <c r="E17" s="3182" t="e">
        <f t="shared" si="2"/>
        <v>#DIV/0!</v>
      </c>
      <c r="F17" s="3182" t="e">
        <f t="shared" si="3"/>
        <v>#DIV/0!</v>
      </c>
      <c r="G17" s="2997"/>
      <c r="H17" s="2997"/>
      <c r="I17" s="2998"/>
    </row>
    <row r="18" spans="1:9" ht="16.5">
      <c r="A18" s="3183" t="s">
        <v>2857</v>
      </c>
      <c r="B18" s="2998"/>
      <c r="C18" s="2998"/>
      <c r="D18" s="2998"/>
      <c r="E18" s="3182" t="e">
        <f t="shared" si="2"/>
        <v>#DIV/0!</v>
      </c>
      <c r="F18" s="3182" t="e">
        <f t="shared" si="3"/>
        <v>#DIV/0!</v>
      </c>
      <c r="G18" s="2998"/>
      <c r="H18" s="2998"/>
      <c r="I18" s="2998"/>
    </row>
    <row r="19" spans="1:9" ht="16.5">
      <c r="A19" s="3183" t="s">
        <v>2858</v>
      </c>
      <c r="B19" s="2998"/>
      <c r="C19" s="2998"/>
      <c r="D19" s="2998"/>
      <c r="E19" s="3182" t="e">
        <f t="shared" si="2"/>
        <v>#DIV/0!</v>
      </c>
      <c r="F19" s="3182" t="e">
        <f t="shared" si="3"/>
        <v>#DIV/0!</v>
      </c>
      <c r="G19" s="2998"/>
      <c r="H19" s="2998"/>
      <c r="I19" s="2998"/>
    </row>
    <row r="20" spans="1:9" ht="16.5">
      <c r="A20" s="3183" t="s">
        <v>2859</v>
      </c>
      <c r="B20" s="2998"/>
      <c r="C20" s="2998"/>
      <c r="D20" s="2998"/>
      <c r="E20" s="3182" t="e">
        <f t="shared" si="2"/>
        <v>#DIV/0!</v>
      </c>
      <c r="F20" s="3182" t="e">
        <f t="shared" si="3"/>
        <v>#DIV/0!</v>
      </c>
      <c r="G20" s="2998"/>
      <c r="H20" s="2998"/>
      <c r="I20" s="2998"/>
    </row>
    <row r="21" spans="1:9" ht="16.5">
      <c r="A21" s="3183" t="s">
        <v>2860</v>
      </c>
      <c r="B21" s="2998"/>
      <c r="C21" s="2998"/>
      <c r="D21" s="2998"/>
      <c r="E21" s="3182" t="e">
        <f t="shared" si="2"/>
        <v>#DIV/0!</v>
      </c>
      <c r="F21" s="3182" t="e">
        <f t="shared" si="3"/>
        <v>#DIV/0!</v>
      </c>
      <c r="G21" s="2998"/>
      <c r="H21" s="2998"/>
      <c r="I21" s="2998"/>
    </row>
    <row r="22" spans="1:9" ht="16.5">
      <c r="A22" s="3183" t="s">
        <v>2861</v>
      </c>
      <c r="B22" s="2998"/>
      <c r="C22" s="2998"/>
      <c r="D22" s="2998"/>
      <c r="E22" s="3182" t="e">
        <f t="shared" si="2"/>
        <v>#DIV/0!</v>
      </c>
      <c r="F22" s="3182" t="e">
        <f t="shared" si="3"/>
        <v>#DIV/0!</v>
      </c>
      <c r="G22" s="2998"/>
      <c r="H22" s="2998"/>
      <c r="I22" s="2998"/>
    </row>
    <row r="23" spans="1:9" ht="16.5">
      <c r="A23" s="3183" t="s">
        <v>2862</v>
      </c>
      <c r="B23" s="2998"/>
      <c r="C23" s="2998"/>
      <c r="D23" s="2998"/>
      <c r="E23" s="3179" t="e">
        <f t="shared" si="2"/>
        <v>#DIV/0!</v>
      </c>
      <c r="F23" s="3179"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A27" sqref="A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2050</v>
      </c>
      <c r="B1" s="1761"/>
      <c r="C1" s="1789" t="s">
        <v>2051</v>
      </c>
      <c r="D1" s="1790"/>
      <c r="E1" s="1789" t="s">
        <v>2052</v>
      </c>
      <c r="F1" s="1791"/>
      <c r="G1" s="311"/>
      <c r="H1" s="311"/>
      <c r="I1" s="311"/>
      <c r="J1" s="2013"/>
      <c r="K1" s="2013"/>
      <c r="L1" s="2013"/>
      <c r="M1" s="2013"/>
      <c r="N1" s="2013"/>
      <c r="O1" s="2013"/>
      <c r="P1" s="2013"/>
      <c r="Q1" s="2013"/>
      <c r="R1" s="2013"/>
      <c r="S1" s="2013"/>
      <c r="T1" s="2013"/>
      <c r="U1" s="2013"/>
      <c r="V1" s="2013"/>
    </row>
    <row r="2" spans="1:22" ht="21.75" customHeight="1" thickBot="1">
      <c r="A2" s="3361" t="str">
        <f>项目基本情况!K2</f>
        <v>出让国有建设用地使用权</v>
      </c>
      <c r="B2" s="3362"/>
      <c r="C2" s="3363"/>
      <c r="D2" s="3363"/>
      <c r="E2" s="3363"/>
      <c r="F2" s="3363"/>
      <c r="G2" s="3362"/>
      <c r="H2" s="3362"/>
      <c r="I2" s="3364"/>
      <c r="J2" s="2014"/>
      <c r="K2" s="2013"/>
      <c r="L2" s="2013"/>
      <c r="M2" s="2013"/>
      <c r="N2" s="2013"/>
      <c r="O2" s="2013"/>
      <c r="P2" s="2013"/>
      <c r="Q2" s="2013"/>
      <c r="R2" s="2013"/>
      <c r="S2" s="2013"/>
      <c r="T2" s="2013"/>
      <c r="U2" s="2013"/>
      <c r="V2" s="2013"/>
    </row>
    <row r="3" spans="1:22" ht="14.25">
      <c r="A3" s="3372" t="s">
        <v>298</v>
      </c>
      <c r="B3" s="3373"/>
      <c r="C3" s="3373"/>
      <c r="D3" s="3373"/>
      <c r="E3" s="3373"/>
      <c r="F3" s="3373"/>
      <c r="G3" s="3373"/>
      <c r="H3" s="3373"/>
      <c r="I3" s="3373"/>
      <c r="J3" s="2014"/>
      <c r="K3" s="2013"/>
      <c r="L3" s="2013"/>
      <c r="M3" s="2013"/>
      <c r="N3" s="2013"/>
      <c r="O3" s="2013"/>
      <c r="P3" s="2013"/>
      <c r="Q3" s="2013"/>
      <c r="R3" s="2013"/>
      <c r="S3" s="2013"/>
      <c r="T3" s="2013"/>
      <c r="U3" s="2013"/>
      <c r="V3" s="2013"/>
    </row>
    <row r="4" spans="1:22" ht="14.25">
      <c r="A4" s="258" t="s">
        <v>299</v>
      </c>
      <c r="B4" s="259" t="s">
        <v>300</v>
      </c>
      <c r="C4" s="260" t="s">
        <v>3035</v>
      </c>
      <c r="D4" s="260" t="s">
        <v>3034</v>
      </c>
      <c r="E4" s="3336" t="s">
        <v>301</v>
      </c>
      <c r="F4" s="3378"/>
      <c r="G4" s="3378"/>
      <c r="H4" s="3378"/>
      <c r="I4" s="333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65" t="s">
        <v>302</v>
      </c>
      <c r="B5" s="3366">
        <v>25</v>
      </c>
      <c r="C5" s="3374"/>
      <c r="D5" s="3377"/>
      <c r="E5" s="261" t="s">
        <v>303</v>
      </c>
      <c r="F5" s="262"/>
      <c r="G5" s="262"/>
      <c r="H5" s="262"/>
      <c r="I5" s="263"/>
      <c r="J5" s="2014"/>
      <c r="K5" s="2013"/>
      <c r="L5" s="2013"/>
      <c r="M5" s="2013"/>
      <c r="N5" s="2013"/>
      <c r="O5" s="2013"/>
      <c r="P5" s="2013"/>
      <c r="Q5" s="2013"/>
      <c r="R5" s="2013"/>
      <c r="S5" s="2013"/>
      <c r="T5" s="2013"/>
      <c r="U5" s="2013"/>
      <c r="V5" s="2013"/>
    </row>
    <row r="6" spans="1:22" ht="14.25">
      <c r="A6" s="3365"/>
      <c r="B6" s="3366"/>
      <c r="C6" s="3375"/>
      <c r="D6" s="3377"/>
      <c r="E6" s="261" t="s">
        <v>304</v>
      </c>
      <c r="F6" s="262"/>
      <c r="G6" s="262"/>
      <c r="H6" s="262"/>
      <c r="I6" s="263"/>
      <c r="J6" s="2014"/>
      <c r="K6" s="2013"/>
      <c r="L6" s="2013"/>
      <c r="M6" s="2013"/>
      <c r="N6" s="2013"/>
      <c r="O6" s="2013"/>
      <c r="P6" s="2013"/>
      <c r="Q6" s="2013"/>
      <c r="R6" s="2013"/>
      <c r="S6" s="2013"/>
      <c r="T6" s="2013"/>
      <c r="U6" s="2013"/>
      <c r="V6" s="2013"/>
    </row>
    <row r="7" spans="1:22" ht="14.25">
      <c r="A7" s="3365"/>
      <c r="B7" s="3366"/>
      <c r="C7" s="3376"/>
      <c r="D7" s="3377"/>
      <c r="E7" s="261" t="s">
        <v>305</v>
      </c>
      <c r="F7" s="262"/>
      <c r="G7" s="262"/>
      <c r="H7" s="262"/>
      <c r="I7" s="263"/>
      <c r="J7" s="2014"/>
      <c r="K7" s="2013"/>
      <c r="L7" s="2013"/>
      <c r="M7" s="2013"/>
      <c r="N7" s="2013"/>
      <c r="O7" s="2013"/>
      <c r="P7" s="2013"/>
      <c r="Q7" s="2013"/>
      <c r="R7" s="2013"/>
      <c r="S7" s="2013"/>
      <c r="T7" s="2013"/>
      <c r="U7" s="2013"/>
      <c r="V7" s="2013"/>
    </row>
    <row r="8" spans="1:22" ht="14.25">
      <c r="A8" s="3365" t="s">
        <v>306</v>
      </c>
      <c r="B8" s="3366">
        <v>15</v>
      </c>
      <c r="C8" s="3374"/>
      <c r="D8" s="3377"/>
      <c r="E8" s="261" t="s">
        <v>307</v>
      </c>
      <c r="F8" s="262"/>
      <c r="G8" s="262"/>
      <c r="H8" s="262"/>
      <c r="I8" s="263"/>
      <c r="J8" s="2014"/>
      <c r="K8" s="2013"/>
      <c r="L8" s="2013"/>
      <c r="M8" s="2013"/>
      <c r="N8" s="2013"/>
      <c r="O8" s="2013"/>
      <c r="P8" s="2013"/>
      <c r="Q8" s="2013"/>
      <c r="R8" s="2013"/>
      <c r="S8" s="2013"/>
      <c r="T8" s="2013"/>
      <c r="U8" s="2013"/>
      <c r="V8" s="2013"/>
    </row>
    <row r="9" spans="1:22" ht="14.25">
      <c r="A9" s="3365"/>
      <c r="B9" s="3366"/>
      <c r="C9" s="3376"/>
      <c r="D9" s="3377"/>
      <c r="E9" s="261" t="s">
        <v>308</v>
      </c>
      <c r="F9" s="262"/>
      <c r="G9" s="262"/>
      <c r="H9" s="262"/>
      <c r="I9" s="263"/>
      <c r="J9" s="2014"/>
      <c r="K9" s="2013"/>
      <c r="L9" s="2013"/>
      <c r="M9" s="2013"/>
      <c r="N9" s="2013"/>
      <c r="O9" s="2013"/>
      <c r="P9" s="2013"/>
      <c r="Q9" s="2013"/>
      <c r="R9" s="2013"/>
      <c r="S9" s="2013"/>
      <c r="T9" s="2013"/>
      <c r="U9" s="2013"/>
      <c r="V9" s="2013"/>
    </row>
    <row r="10" spans="1:22" ht="14.25">
      <c r="A10" s="3365" t="s">
        <v>309</v>
      </c>
      <c r="B10" s="3366">
        <v>15</v>
      </c>
      <c r="C10" s="3374"/>
      <c r="D10" s="3377"/>
      <c r="E10" s="261" t="s">
        <v>310</v>
      </c>
      <c r="F10" s="262"/>
      <c r="G10" s="262"/>
      <c r="H10" s="262"/>
      <c r="I10" s="263"/>
      <c r="J10" s="2014"/>
      <c r="K10" s="2013"/>
      <c r="L10" s="2013"/>
      <c r="M10" s="2013"/>
      <c r="N10" s="2013"/>
      <c r="O10" s="2013"/>
      <c r="P10" s="2013"/>
      <c r="Q10" s="2013"/>
      <c r="R10" s="2013"/>
      <c r="S10" s="2013"/>
      <c r="T10" s="2013"/>
      <c r="U10" s="2013"/>
      <c r="V10" s="2013"/>
    </row>
    <row r="11" spans="1:22" ht="14.25">
      <c r="A11" s="3365"/>
      <c r="B11" s="3366"/>
      <c r="C11" s="3376"/>
      <c r="D11" s="3377"/>
      <c r="E11" s="261" t="s">
        <v>311</v>
      </c>
      <c r="F11" s="262"/>
      <c r="G11" s="262"/>
      <c r="H11" s="262"/>
      <c r="I11" s="263"/>
      <c r="J11" s="2014"/>
      <c r="K11" s="2013"/>
      <c r="L11" s="2013"/>
      <c r="M11" s="2013"/>
      <c r="N11" s="2013"/>
      <c r="O11" s="2013"/>
      <c r="P11" s="2013"/>
      <c r="Q11" s="2013"/>
      <c r="R11" s="2013"/>
      <c r="S11" s="2013"/>
      <c r="T11" s="2013"/>
      <c r="U11" s="2013"/>
      <c r="V11" s="2013"/>
    </row>
    <row r="12" spans="1:22" ht="14.25">
      <c r="A12" s="3365" t="s">
        <v>312</v>
      </c>
      <c r="B12" s="3366">
        <v>15</v>
      </c>
      <c r="C12" s="3374"/>
      <c r="D12" s="3377"/>
      <c r="E12" s="261" t="s">
        <v>313</v>
      </c>
      <c r="F12" s="262"/>
      <c r="G12" s="262"/>
      <c r="H12" s="262"/>
      <c r="I12" s="263"/>
      <c r="J12" s="2014"/>
      <c r="K12" s="2013"/>
      <c r="L12" s="2013"/>
      <c r="M12" s="2013"/>
      <c r="N12" s="2013"/>
      <c r="O12" s="2013"/>
      <c r="P12" s="2013"/>
      <c r="Q12" s="2013"/>
      <c r="R12" s="2013"/>
      <c r="S12" s="2013"/>
      <c r="T12" s="2013"/>
      <c r="U12" s="2013"/>
      <c r="V12" s="2013"/>
    </row>
    <row r="13" spans="1:22" ht="14.25">
      <c r="A13" s="3365"/>
      <c r="B13" s="3366"/>
      <c r="C13" s="3376"/>
      <c r="D13" s="3377"/>
      <c r="E13" s="261" t="s">
        <v>314</v>
      </c>
      <c r="F13" s="262"/>
      <c r="G13" s="262"/>
      <c r="H13" s="262"/>
      <c r="I13" s="263"/>
      <c r="J13" s="2014"/>
      <c r="K13" s="2013"/>
      <c r="L13" s="2013"/>
      <c r="M13" s="2013"/>
      <c r="N13" s="2013"/>
      <c r="O13" s="2013"/>
      <c r="P13" s="2013"/>
      <c r="Q13" s="2013"/>
      <c r="R13" s="2013"/>
      <c r="S13" s="2013"/>
      <c r="T13" s="2013"/>
      <c r="U13" s="2013"/>
      <c r="V13" s="2013"/>
    </row>
    <row r="14" spans="1:22" ht="14.25">
      <c r="A14" s="3365" t="s">
        <v>315</v>
      </c>
      <c r="B14" s="3366">
        <v>30</v>
      </c>
      <c r="C14" s="3374">
        <v>5</v>
      </c>
      <c r="D14" s="3377">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65"/>
      <c r="B15" s="3366"/>
      <c r="C15" s="3375"/>
      <c r="D15" s="3377"/>
      <c r="E15" s="261" t="s">
        <v>317</v>
      </c>
      <c r="F15" s="262"/>
      <c r="G15" s="262"/>
      <c r="H15" s="262"/>
      <c r="I15" s="263"/>
      <c r="J15" s="2014"/>
      <c r="K15" s="2013"/>
      <c r="L15" s="2013"/>
      <c r="M15" s="2013"/>
      <c r="N15" s="2013"/>
      <c r="O15" s="2013"/>
      <c r="P15" s="2013"/>
      <c r="Q15" s="2013"/>
      <c r="R15" s="2013"/>
      <c r="S15" s="2013"/>
      <c r="T15" s="2013"/>
      <c r="U15" s="2013"/>
      <c r="V15" s="2013"/>
    </row>
    <row r="16" spans="1:22" ht="14.25">
      <c r="A16" s="3365"/>
      <c r="B16" s="3366"/>
      <c r="C16" s="3376"/>
      <c r="D16" s="337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39420</v>
      </c>
      <c r="D19" s="271">
        <f ca="1">SUMIF(INDIRECT("'"&amp;D4&amp;"'"&amp;"!A:A"),结果表!B19,INDIRECT("'"&amp;D4&amp;"'"&amp;"!B:B"))</f>
        <v>41117</v>
      </c>
      <c r="E19" s="268" t="s">
        <v>323</v>
      </c>
      <c r="F19" s="269" t="s">
        <v>322</v>
      </c>
      <c r="G19" s="272">
        <f ca="1">ROUND(C19*$C$18+D19*$D$18,0)</f>
        <v>40269</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6265</v>
      </c>
      <c r="D20" s="277">
        <f ca="1">SUMIF(INDIRECT("'"&amp;D4&amp;"'"&amp;"!A:A"),结果表!B20,INDIRECT("'"&amp;D4&amp;"'"&amp;"!B:B"))</f>
        <v>6534</v>
      </c>
      <c r="E20" s="274"/>
      <c r="F20" s="275" t="s">
        <v>325</v>
      </c>
      <c r="G20" s="278">
        <f ca="1">ROUND(C20*$C$18+D20*$D$18,0)</f>
        <v>6400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8043</v>
      </c>
      <c r="D21" s="151">
        <f ca="1">SUMIF(INDIRECT("'"&amp;D4&amp;"'"&amp;"!A:A"),结果表!B21,INDIRECT("'"&amp;D4&amp;"'"&amp;"!B:B"))</f>
        <v>8389</v>
      </c>
      <c r="E21" s="274"/>
      <c r="F21" s="280" t="s">
        <v>327</v>
      </c>
      <c r="G21" s="282">
        <f ca="1">ROUND(C21*$C$18+D21*$D$18,0)</f>
        <v>8216</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4.3049213597158742E-2</v>
      </c>
      <c r="E22" s="284"/>
      <c r="F22" s="285"/>
      <c r="G22" s="286">
        <f ca="1">ROUND(G19/('数据-汇总表'!D3/666.67),0)</f>
        <v>548</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82"/>
      <c r="B25" s="1316" t="s">
        <v>331</v>
      </c>
      <c r="C25" s="290">
        <f>IF(B30=0,0,C30)</f>
        <v>0</v>
      </c>
      <c r="D25" s="291"/>
      <c r="E25" s="311"/>
      <c r="F25" s="311"/>
      <c r="G25" s="311"/>
      <c r="H25" s="311"/>
      <c r="I25" s="311"/>
      <c r="J25" s="2013"/>
      <c r="K25" s="1250" t="str">
        <f ca="1">项目基本情况!B16&amp;"国有建设用地使用权价格："&amp;O38&amp;"万元"</f>
        <v>出让国有建设用地使用权价格：40269万元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大写金额：人民币肆亿零贰佰陆拾玖万元整</v>
      </c>
      <c r="L26" s="1247"/>
      <c r="M26" s="1247"/>
      <c r="N26" s="1247"/>
      <c r="O26" s="1246"/>
      <c r="P26" s="2013"/>
      <c r="Q26" s="2013"/>
      <c r="R26" s="2013"/>
      <c r="S26" s="2013"/>
      <c r="T26" s="2013"/>
      <c r="U26" s="2013"/>
      <c r="V26" s="2013"/>
      <c r="W26" s="292"/>
      <c r="X26" s="292"/>
      <c r="Y26" s="292"/>
      <c r="Z26" s="292"/>
    </row>
    <row r="27" spans="1:26" ht="18">
      <c r="A27" s="293">
        <f ca="1">G19/'数据-汇总表'!F27*10000</f>
        <v>9217.4389944661943</v>
      </c>
      <c r="B27" s="294"/>
      <c r="C27" s="294"/>
      <c r="D27" s="295"/>
      <c r="E27" s="311"/>
      <c r="F27" s="311"/>
      <c r="G27" s="311"/>
      <c r="H27" s="311"/>
      <c r="I27" s="311"/>
      <c r="J27" s="2013"/>
      <c r="K27" s="1253" t="str">
        <f ca="1">"单位面积地价："&amp;M38&amp;"元/平方米"</f>
        <v>单位面积地价：8216元/平方米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楼面地价：6400元/平方米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3074" t="s">
        <v>336</v>
      </c>
      <c r="B30" s="309"/>
      <c r="C30" s="309"/>
      <c r="D30" s="310"/>
      <c r="E30" s="3075" t="s">
        <v>2955</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1686</v>
      </c>
      <c r="C32" s="1378">
        <f ca="1">G19-C24</f>
        <v>40269</v>
      </c>
      <c r="D32" s="1379" t="s">
        <v>1687</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1688</v>
      </c>
      <c r="C33" s="264">
        <f ca="1">ROUND(C32*10000/'数据-汇总表'!E3,0)</f>
        <v>6400</v>
      </c>
      <c r="D33" s="1381" t="s">
        <v>1689</v>
      </c>
      <c r="E33" s="3338"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8216</v>
      </c>
      <c r="D34" s="1383" t="s">
        <v>1689</v>
      </c>
      <c r="E34" s="3339"/>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548</v>
      </c>
      <c r="D35" s="1386" t="s">
        <v>1691</v>
      </c>
      <c r="E35" s="3340"/>
      <c r="F35" s="301" t="s">
        <v>342</v>
      </c>
      <c r="G35" s="981"/>
      <c r="H35" s="980" t="s">
        <v>343</v>
      </c>
      <c r="I35" s="311"/>
      <c r="J35" s="2013"/>
      <c r="K35" s="3344" t="s">
        <v>350</v>
      </c>
      <c r="L35" s="3344" t="s">
        <v>351</v>
      </c>
      <c r="M35" s="1259" t="s">
        <v>352</v>
      </c>
      <c r="N35" s="3344" t="s">
        <v>353</v>
      </c>
      <c r="O35" s="3344" t="s">
        <v>354</v>
      </c>
      <c r="P35" s="2013"/>
      <c r="V35" s="2013"/>
    </row>
    <row r="36" spans="1:26" ht="16.5" customHeight="1">
      <c r="A36" s="303" t="s">
        <v>344</v>
      </c>
      <c r="B36" s="304" t="s">
        <v>333</v>
      </c>
      <c r="C36" s="305" t="s">
        <v>345</v>
      </c>
      <c r="D36" s="305" t="s">
        <v>346</v>
      </c>
      <c r="E36" s="306" t="s">
        <v>347</v>
      </c>
      <c r="F36" s="311"/>
      <c r="G36" s="311"/>
      <c r="H36" s="311"/>
      <c r="I36" s="311"/>
      <c r="J36" s="2015"/>
      <c r="K36" s="3345"/>
      <c r="L36" s="3345"/>
      <c r="M36" s="1261" t="s">
        <v>355</v>
      </c>
      <c r="N36" s="3345"/>
      <c r="O36" s="3345"/>
      <c r="P36" s="2013"/>
      <c r="V36" s="2013"/>
    </row>
    <row r="37" spans="1:26" ht="16.5" customHeight="1" thickBot="1">
      <c r="A37" s="1255" t="s">
        <v>348</v>
      </c>
      <c r="B37" s="307"/>
      <c r="C37" s="294"/>
      <c r="D37" s="294"/>
      <c r="E37" s="295"/>
      <c r="F37" s="311"/>
      <c r="G37" s="311"/>
      <c r="H37" s="311"/>
      <c r="I37" s="311"/>
      <c r="J37" s="2015"/>
      <c r="K37" s="3346"/>
      <c r="L37" s="3346"/>
      <c r="M37" s="1262"/>
      <c r="N37" s="3346"/>
      <c r="O37" s="3346"/>
      <c r="P37" s="2013"/>
      <c r="V37" s="2013"/>
    </row>
    <row r="38" spans="1:26" ht="16.5" customHeight="1" thickBot="1">
      <c r="A38" s="1255" t="s">
        <v>349</v>
      </c>
      <c r="B38" s="307"/>
      <c r="C38" s="294"/>
      <c r="D38" s="294"/>
      <c r="E38" s="295"/>
      <c r="F38" s="311"/>
      <c r="G38" s="311"/>
      <c r="H38" s="311"/>
      <c r="I38" s="311"/>
      <c r="J38" s="2015"/>
      <c r="K38" s="1263">
        <f>'数据-汇总表'!D3</f>
        <v>49011</v>
      </c>
      <c r="L38" s="1264">
        <f>'数据-汇总表'!E3</f>
        <v>62924.7</v>
      </c>
      <c r="M38" s="1264">
        <f ca="1">C34</f>
        <v>8216</v>
      </c>
      <c r="N38" s="1264">
        <f ca="1">C33</f>
        <v>6400</v>
      </c>
      <c r="O38" s="1265">
        <f ca="1">C32</f>
        <v>40269</v>
      </c>
      <c r="P38" s="2013"/>
      <c r="V38" s="2013"/>
    </row>
    <row r="39" spans="1:26" ht="16.5" customHeight="1" thickBot="1">
      <c r="A39" s="1260"/>
      <c r="B39" s="308"/>
      <c r="C39" s="309"/>
      <c r="D39" s="309"/>
      <c r="E39" s="310"/>
      <c r="F39" s="311"/>
      <c r="G39" s="311"/>
      <c r="H39" s="311"/>
      <c r="I39" s="311"/>
      <c r="J39" s="2015"/>
      <c r="K39" s="3357" t="str">
        <f>MID(A44,3,LEN(A44)-2)</f>
        <v/>
      </c>
      <c r="L39" s="3358"/>
      <c r="M39" s="3358"/>
      <c r="N39" s="3359"/>
      <c r="O39" s="1388" t="str">
        <f>C44</f>
        <v>——</v>
      </c>
      <c r="P39" s="2013"/>
      <c r="V39" s="2013"/>
    </row>
    <row r="40" spans="1:26" ht="19.5" thickBot="1">
      <c r="A40" s="104" t="s">
        <v>871</v>
      </c>
      <c r="B40" s="311"/>
      <c r="C40" s="311"/>
      <c r="D40" s="311"/>
      <c r="E40" s="311"/>
      <c r="F40" s="311"/>
      <c r="G40" s="311"/>
      <c r="H40" s="311"/>
      <c r="I40" s="311"/>
      <c r="J40" s="2015"/>
      <c r="K40" s="3357" t="str">
        <f t="shared" ref="K40:K41" si="0">MID(A45,3,LEN(A45)-2)</f>
        <v/>
      </c>
      <c r="L40" s="3358"/>
      <c r="M40" s="3358"/>
      <c r="N40" s="3359"/>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7" t="str">
        <f t="shared" si="0"/>
        <v/>
      </c>
      <c r="L41" s="3358"/>
      <c r="M41" s="3358"/>
      <c r="N41" s="3359"/>
      <c r="O41" s="1388" t="str">
        <f>C46</f>
        <v>——</v>
      </c>
      <c r="P41" s="2013"/>
      <c r="V41" s="2013"/>
    </row>
    <row r="42" spans="1:26" ht="29.25">
      <c r="A42" s="3383" t="s">
        <v>2062</v>
      </c>
      <c r="B42" s="3384"/>
      <c r="C42" s="264">
        <f ca="1">C32</f>
        <v>40269</v>
      </c>
      <c r="D42" s="317">
        <f ca="1">C33</f>
        <v>6400</v>
      </c>
      <c r="E42" s="317">
        <f ca="1">C34</f>
        <v>8216</v>
      </c>
      <c r="F42" s="318">
        <f ca="1">C35</f>
        <v>548</v>
      </c>
      <c r="G42" s="311"/>
      <c r="H42" s="311"/>
      <c r="I42" s="319"/>
      <c r="J42" s="2015"/>
      <c r="K42" s="1266" t="s">
        <v>361</v>
      </c>
      <c r="L42" s="2032" t="s">
        <v>362</v>
      </c>
      <c r="M42" s="1267" t="s">
        <v>363</v>
      </c>
      <c r="N42" s="2033" t="s">
        <v>364</v>
      </c>
      <c r="O42" s="2034" t="s">
        <v>365</v>
      </c>
      <c r="P42" s="2013"/>
      <c r="V42" s="2013"/>
    </row>
    <row r="43" spans="1:26" ht="30">
      <c r="A43" s="3393" t="s">
        <v>2723</v>
      </c>
      <c r="B43" s="3394"/>
      <c r="C43" s="264">
        <f>IF(H33="正常操作",G33+G34+G35,G34+G35)</f>
        <v>0</v>
      </c>
      <c r="D43" s="317" t="s">
        <v>43</v>
      </c>
      <c r="E43" s="317" t="s">
        <v>44</v>
      </c>
      <c r="F43" s="318" t="s">
        <v>44</v>
      </c>
      <c r="G43" s="2821" t="s">
        <v>950</v>
      </c>
      <c r="H43" s="311"/>
      <c r="I43" s="319"/>
      <c r="J43" s="2015"/>
      <c r="K43" s="1268" t="str">
        <f>C4</f>
        <v>比较法-住宅、综合</v>
      </c>
      <c r="L43" s="1269">
        <f ca="1">IF(L42="估价结果/万元",C19,C20)</f>
        <v>39420</v>
      </c>
      <c r="M43" s="1270">
        <f>C18</f>
        <v>0.5</v>
      </c>
      <c r="N43" s="1271">
        <f ca="1">IF(N42="测算结果/万元",G19,G20)</f>
        <v>40269</v>
      </c>
      <c r="O43" s="1272">
        <f ca="1">IF(O42="最终结果/万元",C32,C33)</f>
        <v>40269</v>
      </c>
      <c r="P43" s="2013"/>
      <c r="V43" s="2013"/>
    </row>
    <row r="44" spans="1:26" ht="30.75" thickBot="1">
      <c r="A44" s="3383" t="str">
        <f>IF(OR(项目基本情况!E8="抵押价格",项目基本情况!E8="已注销及未注销"),"3.抵押价格","——")</f>
        <v>——</v>
      </c>
      <c r="B44" s="3384"/>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剩余法-待开发</v>
      </c>
      <c r="L44" s="1274">
        <f ca="1">IF(L42="估价结果/万元",D19,D20)</f>
        <v>41117</v>
      </c>
      <c r="M44" s="1275">
        <f>D18</f>
        <v>0.5</v>
      </c>
      <c r="N44" s="1276"/>
      <c r="O44" s="1277"/>
      <c r="P44" s="2013"/>
      <c r="V44" s="2013"/>
    </row>
    <row r="45" spans="1:26" ht="15">
      <c r="A45" s="3388" t="str">
        <f>IF(项目基本情况!E8="已注销及未注销","4.抵押担保权已注销时的抵押价格",IF(项目基本情况!E8="已注销","3.抵押担保权已注销时的抵押价格","——"))</f>
        <v>——</v>
      </c>
      <c r="B45" s="338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85" t="str">
        <f>IF(项目基本情况!E9="抵押净值",IF(A45="——","4.抵押净值","5.抵押净值"),"——")</f>
        <v>——</v>
      </c>
      <c r="B46" s="338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9" t="s">
        <v>374</v>
      </c>
      <c r="B63" s="3350"/>
      <c r="C63" s="3351"/>
      <c r="D63" s="341">
        <f ca="1">ROUND(C42*F63,0)</f>
        <v>24161</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90" t="s">
        <v>378</v>
      </c>
      <c r="B64" s="3391"/>
      <c r="C64" s="3391"/>
      <c r="D64" s="3391"/>
      <c r="E64" s="3391"/>
      <c r="F64" s="3391"/>
      <c r="G64" s="3392"/>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87" t="s">
        <v>386</v>
      </c>
      <c r="B66" s="3356"/>
      <c r="C66" s="3356"/>
      <c r="D66" s="261">
        <f ca="1">IF(H66="情况1",0,IF(H66="情况2",D70,IF(H66="情况3",D71,IF(H66="情况4",D72))))</f>
        <v>1289</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17" t="s">
        <v>385</v>
      </c>
      <c r="M66" s="3318"/>
      <c r="N66" s="2422"/>
      <c r="O66" s="2423"/>
      <c r="P66" s="2424"/>
      <c r="Q66" s="2013"/>
      <c r="R66" s="2013"/>
      <c r="S66" s="2013"/>
      <c r="T66" s="2013"/>
      <c r="U66" s="2013"/>
      <c r="V66" s="2013"/>
    </row>
    <row r="67" spans="1:22" ht="25.5" customHeight="1">
      <c r="A67" s="352" t="s">
        <v>390</v>
      </c>
      <c r="B67" s="3368" t="s">
        <v>391</v>
      </c>
      <c r="C67" s="3368"/>
      <c r="D67" s="353">
        <v>0</v>
      </c>
      <c r="E67" s="41" t="s">
        <v>392</v>
      </c>
      <c r="F67" s="62" t="s">
        <v>21</v>
      </c>
      <c r="G67" s="3352"/>
      <c r="H67" s="311"/>
      <c r="I67" s="1287"/>
      <c r="J67" s="2020"/>
      <c r="K67" s="1961">
        <v>2</v>
      </c>
      <c r="L67" s="3322" t="s">
        <v>389</v>
      </c>
      <c r="M67" s="3322"/>
      <c r="N67" s="1320">
        <f>'数据-取费表'!B2</f>
        <v>43994</v>
      </c>
      <c r="O67" s="1320"/>
      <c r="P67" s="1320"/>
      <c r="Q67" s="2013"/>
      <c r="R67" s="2013"/>
      <c r="S67" s="2013"/>
      <c r="T67" s="2013"/>
      <c r="U67" s="2013"/>
      <c r="V67" s="2013"/>
    </row>
    <row r="68" spans="1:22" ht="25.5" customHeight="1">
      <c r="A68" s="354"/>
      <c r="B68" s="3368" t="s">
        <v>394</v>
      </c>
      <c r="C68" s="3368"/>
      <c r="D68" s="355"/>
      <c r="E68" s="77"/>
      <c r="F68" s="356"/>
      <c r="G68" s="3353"/>
      <c r="H68" s="311"/>
      <c r="I68" s="1287"/>
      <c r="J68" s="2020"/>
      <c r="K68" s="1961">
        <v>3</v>
      </c>
      <c r="L68" s="3322" t="s">
        <v>393</v>
      </c>
      <c r="M68" s="3322"/>
      <c r="N68" s="1288">
        <f ca="1">C42</f>
        <v>40269</v>
      </c>
      <c r="O68" s="1288"/>
      <c r="P68" s="1288"/>
      <c r="Q68" s="2013"/>
      <c r="R68" s="2013"/>
      <c r="S68" s="2013"/>
      <c r="T68" s="2013"/>
      <c r="U68" s="2013"/>
      <c r="V68" s="2013"/>
    </row>
    <row r="69" spans="1:22" ht="12" customHeight="1">
      <c r="A69" s="357"/>
      <c r="B69" s="3368" t="s">
        <v>395</v>
      </c>
      <c r="C69" s="3368"/>
      <c r="D69" s="358"/>
      <c r="E69" s="73"/>
      <c r="F69" s="356"/>
      <c r="G69" s="3354"/>
      <c r="H69" s="311"/>
      <c r="I69" s="1287"/>
      <c r="J69" s="2020"/>
      <c r="K69" s="1289">
        <v>4</v>
      </c>
      <c r="L69" s="3323" t="s">
        <v>2876</v>
      </c>
      <c r="M69" s="3324"/>
      <c r="N69" s="1290" t="str">
        <f>C44</f>
        <v>——</v>
      </c>
      <c r="O69" s="1290"/>
      <c r="P69" s="1290"/>
      <c r="Q69" s="2013"/>
      <c r="R69" s="2013"/>
      <c r="S69" s="2013"/>
      <c r="T69" s="2013"/>
      <c r="U69" s="2013"/>
      <c r="V69" s="2013"/>
    </row>
    <row r="70" spans="1:22" ht="24" customHeight="1">
      <c r="A70" s="359" t="s">
        <v>396</v>
      </c>
      <c r="B70" s="3368" t="s">
        <v>397</v>
      </c>
      <c r="C70" s="3368"/>
      <c r="D70" s="358">
        <f ca="1">ROUND(D63*'数据-取费表'!B41/(1+'数据-取费表'!C42),0)</f>
        <v>1289</v>
      </c>
      <c r="E70" s="17" t="s">
        <v>398</v>
      </c>
      <c r="F70" s="360">
        <f>'数据-取费表'!B41</f>
        <v>5.6000000000000001E-2</v>
      </c>
      <c r="G70" s="361"/>
      <c r="H70" s="311"/>
      <c r="I70" s="1287"/>
      <c r="J70" s="2020"/>
      <c r="K70" s="3007"/>
      <c r="L70" s="3008"/>
      <c r="M70" s="3008"/>
      <c r="N70" s="3009" t="s">
        <v>2881</v>
      </c>
      <c r="O70" s="3008"/>
      <c r="P70" s="3010"/>
      <c r="Q70" s="2013"/>
      <c r="R70" s="2013"/>
      <c r="S70" s="2013"/>
      <c r="T70" s="2013"/>
      <c r="U70" s="2013"/>
      <c r="V70" s="2013"/>
    </row>
    <row r="71" spans="1:22" ht="12" customHeight="1">
      <c r="A71" s="359" t="s">
        <v>404</v>
      </c>
      <c r="B71" s="3367" t="s">
        <v>405</v>
      </c>
      <c r="C71" s="3381"/>
      <c r="D71" s="358">
        <f ca="1">ROUND(D63*'数据-取费表'!B41/(1+'数据-取费表'!C42),0)</f>
        <v>1289</v>
      </c>
      <c r="E71" s="17" t="s">
        <v>398</v>
      </c>
      <c r="F71" s="360">
        <f>'数据-取费表'!B41</f>
        <v>5.6000000000000001E-2</v>
      </c>
      <c r="G71" s="361"/>
      <c r="H71" s="311"/>
      <c r="I71" s="1287"/>
      <c r="J71" s="2020"/>
      <c r="K71" s="3006" t="s">
        <v>399</v>
      </c>
      <c r="L71" s="3325" t="s">
        <v>400</v>
      </c>
      <c r="M71" s="3325"/>
      <c r="N71" s="3006" t="s">
        <v>401</v>
      </c>
      <c r="O71" s="3006" t="s">
        <v>402</v>
      </c>
      <c r="P71" s="3006" t="s">
        <v>403</v>
      </c>
      <c r="Q71" s="2013"/>
      <c r="R71" s="2013"/>
      <c r="S71" s="2013"/>
      <c r="T71" s="2013"/>
      <c r="U71" s="2013"/>
      <c r="V71" s="2013"/>
    </row>
    <row r="72" spans="1:22" ht="12" customHeight="1">
      <c r="A72" s="359" t="s">
        <v>407</v>
      </c>
      <c r="B72" s="3367" t="s">
        <v>408</v>
      </c>
      <c r="C72" s="3381"/>
      <c r="D72" s="358">
        <f ca="1">C86</f>
        <v>1177</v>
      </c>
      <c r="E72" s="73" t="s">
        <v>409</v>
      </c>
      <c r="F72" s="360">
        <f>'数据-取费表'!B41</f>
        <v>5.6000000000000001E-2</v>
      </c>
      <c r="G72" s="361"/>
      <c r="H72" s="1293"/>
      <c r="I72" s="1287"/>
      <c r="J72" s="2020"/>
      <c r="K72" s="1961">
        <v>1</v>
      </c>
      <c r="L72" s="3321" t="s">
        <v>406</v>
      </c>
      <c r="M72" s="3321"/>
      <c r="N72" s="1291">
        <f ca="1">D66</f>
        <v>1289</v>
      </c>
      <c r="O72" s="1844" t="str">
        <f>E66</f>
        <v>销售额×税（费）率</v>
      </c>
      <c r="P72" s="1292">
        <f>F66</f>
        <v>5.6000000000000001E-2</v>
      </c>
      <c r="Q72" s="2013"/>
      <c r="R72" s="2013"/>
      <c r="S72" s="2013"/>
      <c r="T72" s="2013"/>
      <c r="U72" s="2013"/>
      <c r="V72" s="2013"/>
    </row>
    <row r="73" spans="1:22" ht="24" customHeight="1">
      <c r="A73" s="3355" t="s">
        <v>411</v>
      </c>
      <c r="B73" s="3356"/>
      <c r="C73" s="3356"/>
      <c r="D73" s="362">
        <f>IF(H73="个人住宅",0,ROUND(D63*I73,0))</f>
        <v>0</v>
      </c>
      <c r="E73" s="17" t="s">
        <v>412</v>
      </c>
      <c r="F73" s="360" t="str">
        <f>IF(H73="正常",I73,"免征")</f>
        <v>免征</v>
      </c>
      <c r="G73" s="361"/>
      <c r="H73" s="191" t="s">
        <v>2449</v>
      </c>
      <c r="I73" s="360">
        <f>'数据-取费表'!B49</f>
        <v>5.0000000000000001E-4</v>
      </c>
      <c r="J73" s="2020"/>
      <c r="K73" s="1961">
        <v>2</v>
      </c>
      <c r="L73" s="3321" t="s">
        <v>410</v>
      </c>
      <c r="M73" s="3321"/>
      <c r="N73" s="1291">
        <f t="shared" ref="N73:P74" si="1">D73</f>
        <v>0</v>
      </c>
      <c r="O73" s="1844" t="str">
        <f t="shared" si="1"/>
        <v>销售额×税（费）率</v>
      </c>
      <c r="P73" s="1292" t="str">
        <f t="shared" si="1"/>
        <v>免征</v>
      </c>
      <c r="Q73" s="2013"/>
      <c r="R73" s="2013"/>
      <c r="S73" s="2013"/>
      <c r="T73" s="2013"/>
      <c r="U73" s="2013"/>
      <c r="V73" s="2013"/>
    </row>
    <row r="74" spans="1:22" ht="24.75">
      <c r="A74" s="3355" t="s">
        <v>415</v>
      </c>
      <c r="B74" s="3356"/>
      <c r="C74" s="3356"/>
      <c r="D74" s="362">
        <f ca="1">IF(H74="个人住宅",D75,D76)</f>
        <v>13077</v>
      </c>
      <c r="E74" s="17" t="s">
        <v>416</v>
      </c>
      <c r="F74" s="360" t="str">
        <f>IF(H74="正常",F76,"免征")</f>
        <v>——</v>
      </c>
      <c r="G74" s="982" t="s">
        <v>417</v>
      </c>
      <c r="H74" s="363" t="s">
        <v>413</v>
      </c>
      <c r="I74" s="42"/>
      <c r="J74" s="2020"/>
      <c r="K74" s="1961">
        <v>3</v>
      </c>
      <c r="L74" s="3321" t="s">
        <v>414</v>
      </c>
      <c r="M74" s="3321"/>
      <c r="N74" s="1291">
        <f t="shared" ca="1" si="1"/>
        <v>13077</v>
      </c>
      <c r="O74" s="1844" t="str">
        <f t="shared" si="1"/>
        <v>增值额×税（费）率</v>
      </c>
      <c r="P74" s="1294" t="str">
        <f t="shared" si="1"/>
        <v>——</v>
      </c>
      <c r="Q74" s="2013"/>
      <c r="R74" s="2013"/>
      <c r="S74" s="2013"/>
      <c r="T74" s="2013"/>
      <c r="U74" s="2013"/>
      <c r="V74" s="2013"/>
    </row>
    <row r="75" spans="1:22" ht="24">
      <c r="A75" s="359" t="s">
        <v>418</v>
      </c>
      <c r="B75" s="3336" t="s">
        <v>419</v>
      </c>
      <c r="C75" s="3337"/>
      <c r="D75" s="364">
        <v>0</v>
      </c>
      <c r="E75" s="41" t="s">
        <v>420</v>
      </c>
      <c r="F75" s="365"/>
      <c r="G75" s="361"/>
      <c r="H75" s="42"/>
      <c r="I75" s="42"/>
      <c r="J75" s="2020"/>
      <c r="K75" s="2999">
        <f>IF(H77="非个人房产","",4)</f>
        <v>4</v>
      </c>
      <c r="L75" s="3321" t="str">
        <f>IF(H77="非个人房产","——","个人所得税")</f>
        <v>个人所得税</v>
      </c>
      <c r="M75" s="3321"/>
      <c r="N75" s="1295">
        <f ca="1">D77</f>
        <v>242</v>
      </c>
      <c r="O75" s="1857" t="str">
        <f>E77</f>
        <v>销售额×税（费）率</v>
      </c>
      <c r="P75" s="1296">
        <f>F77</f>
        <v>0.01</v>
      </c>
      <c r="Q75" s="2013"/>
      <c r="R75" s="2013"/>
      <c r="S75" s="2013"/>
      <c r="T75" s="2013"/>
      <c r="U75" s="2013"/>
      <c r="V75" s="2013"/>
    </row>
    <row r="76" spans="1:22" ht="24.75">
      <c r="A76" s="359" t="s">
        <v>396</v>
      </c>
      <c r="B76" s="3336" t="s">
        <v>422</v>
      </c>
      <c r="C76" s="3378"/>
      <c r="D76" s="362">
        <f ca="1">IF(H76="转让取得",C99,C115)</f>
        <v>13077</v>
      </c>
      <c r="E76" s="17" t="s">
        <v>423</v>
      </c>
      <c r="F76" s="53" t="s">
        <v>21</v>
      </c>
      <c r="G76" s="361"/>
      <c r="H76" s="363" t="s">
        <v>424</v>
      </c>
      <c r="I76" s="42"/>
      <c r="J76" s="2020"/>
      <c r="K76" s="2999" t="str">
        <f>IF(项目基本情况!K6="上海银行",IF(K75="",4,K75+1),"")</f>
        <v/>
      </c>
      <c r="L76" s="3332" t="str">
        <f>IF(项目基本情况!K6="上海银行","其他处置费用","")</f>
        <v/>
      </c>
      <c r="M76" s="3333"/>
      <c r="N76" s="1291" t="str">
        <f>IF(项目基本情况!K6="上海银行",N89,"")</f>
        <v/>
      </c>
      <c r="O76" s="3334" t="str">
        <f>IF(项目基本情况!K6="上海银行","包含处置中涉及的律师、诉讼、拍卖、评估等费用","")</f>
        <v/>
      </c>
      <c r="P76" s="3335"/>
      <c r="Q76" s="2013"/>
      <c r="R76" s="2013"/>
      <c r="S76" s="2013"/>
      <c r="T76" s="2013"/>
      <c r="U76" s="2013"/>
      <c r="V76" s="2013"/>
    </row>
    <row r="77" spans="1:22" ht="26.25" thickBot="1">
      <c r="A77" s="3347" t="s">
        <v>426</v>
      </c>
      <c r="B77" s="3348"/>
      <c r="C77" s="3348"/>
      <c r="D77" s="366">
        <f ca="1">IF(H77="非个人房产","——",IF(H77="个人住宅",0,ROUND(D63*I77,0)))</f>
        <v>242</v>
      </c>
      <c r="E77" s="367" t="str">
        <f>IF(H77="非个人房产","——","销售额×税（费）率")</f>
        <v>销售额×税（费）率</v>
      </c>
      <c r="F77" s="368">
        <f>IF(H77="非个人房产","——",IF(H77="个人住宅","免征",I77))</f>
        <v>0.01</v>
      </c>
      <c r="G77" s="983" t="s">
        <v>417</v>
      </c>
      <c r="H77" s="363" t="s">
        <v>2877</v>
      </c>
      <c r="I77" s="369">
        <v>0.01</v>
      </c>
      <c r="J77" s="2020"/>
      <c r="K77" s="3343">
        <f>IF(AND(K75="",K76=""),4,IF(项目基本情况!K6="上海银行",K76+1,K75+1))</f>
        <v>5</v>
      </c>
      <c r="L77" s="3321" t="s">
        <v>2878</v>
      </c>
      <c r="M77" s="3005" t="s">
        <v>421</v>
      </c>
      <c r="N77" s="1297"/>
      <c r="O77" s="1298">
        <f ca="1">SUMIF(N72:N76,"&lt;9e307")</f>
        <v>14608</v>
      </c>
      <c r="P77" s="1299"/>
      <c r="Q77" s="3003" t="e">
        <f ca="1">O77/N69</f>
        <v>#VALUE!</v>
      </c>
      <c r="R77" s="2013"/>
      <c r="S77" s="2013"/>
      <c r="T77" s="2013"/>
      <c r="U77" s="2013"/>
      <c r="V77" s="2013"/>
    </row>
    <row r="78" spans="1:22" ht="12" customHeight="1">
      <c r="A78" s="1300"/>
      <c r="B78" s="311"/>
      <c r="C78" s="311"/>
      <c r="D78" s="311"/>
      <c r="E78" s="42"/>
      <c r="F78" s="42"/>
      <c r="G78" s="42"/>
      <c r="H78" s="1002"/>
      <c r="I78" s="311"/>
      <c r="J78" s="2020"/>
      <c r="K78" s="3343"/>
      <c r="L78" s="3321"/>
      <c r="M78" s="3005" t="s">
        <v>425</v>
      </c>
      <c r="N78" s="1297"/>
      <c r="O78" s="1298" t="str">
        <f ca="1">NUMBERSTRING(INT(O77*10000),2)&amp;"元整"</f>
        <v>壹亿肆仟陆佰零捌万元整</v>
      </c>
      <c r="P78" s="1299"/>
      <c r="Q78" s="2013"/>
      <c r="R78" s="2013"/>
      <c r="S78" s="2013"/>
      <c r="T78" s="2013"/>
      <c r="U78" s="2013"/>
      <c r="V78" s="2013"/>
    </row>
    <row r="79" spans="1:22" ht="13.5" thickBot="1">
      <c r="A79" s="3395" t="s">
        <v>427</v>
      </c>
      <c r="B79" s="3395"/>
      <c r="C79" s="3395"/>
      <c r="D79" s="3395"/>
      <c r="E79" s="3395"/>
      <c r="F79" s="42"/>
      <c r="G79" s="42"/>
      <c r="H79" s="1002"/>
      <c r="I79" s="311"/>
      <c r="J79" s="2020"/>
      <c r="K79" s="3319">
        <f>K77+1</f>
        <v>6</v>
      </c>
      <c r="L79" s="3321" t="s">
        <v>2879</v>
      </c>
      <c r="M79" s="3005" t="s">
        <v>421</v>
      </c>
      <c r="N79" s="1297"/>
      <c r="O79" s="1298" t="e">
        <f ca="1">N69-O77</f>
        <v>#VALUE!</v>
      </c>
      <c r="P79" s="1299"/>
      <c r="Q79" s="2013"/>
      <c r="R79" s="2013"/>
      <c r="S79" s="2013"/>
      <c r="T79" s="2013"/>
      <c r="U79" s="2013"/>
      <c r="V79" s="2013"/>
    </row>
    <row r="80" spans="1:22" ht="12.75">
      <c r="A80" s="3329" t="s">
        <v>428</v>
      </c>
      <c r="B80" s="3330"/>
      <c r="C80" s="993"/>
      <c r="D80" s="993" t="s">
        <v>429</v>
      </c>
      <c r="E80" s="370" t="s">
        <v>430</v>
      </c>
      <c r="F80" s="42"/>
      <c r="G80" s="42"/>
      <c r="H80" s="1002"/>
      <c r="I80" s="311"/>
      <c r="J80" s="2013"/>
      <c r="K80" s="3320"/>
      <c r="L80" s="3321"/>
      <c r="M80" s="3005" t="s">
        <v>425</v>
      </c>
      <c r="N80" s="1297"/>
      <c r="O80" s="1298" t="e">
        <f ca="1">NUMBERSTRING(INT(O79*10000),2)&amp;"元整"</f>
        <v>#VALUE!</v>
      </c>
      <c r="P80" s="1299"/>
      <c r="Q80" s="2013"/>
      <c r="R80" s="2013"/>
      <c r="S80" s="2013"/>
      <c r="T80" s="2013"/>
      <c r="U80" s="2013"/>
      <c r="V80" s="2013"/>
    </row>
    <row r="81" spans="1:26" ht="13.5" thickBot="1">
      <c r="A81" s="381" t="s">
        <v>1821</v>
      </c>
      <c r="B81" s="371" t="s">
        <v>431</v>
      </c>
      <c r="C81" s="372">
        <f ca="1">ROUND((C82+C83)/(1+'数据-取费表'!C42),0)</f>
        <v>23010</v>
      </c>
      <c r="D81" s="373"/>
      <c r="E81" s="374"/>
      <c r="F81" s="42"/>
      <c r="G81" s="42"/>
      <c r="H81" s="1002"/>
      <c r="I81" s="311"/>
      <c r="J81" s="2013"/>
      <c r="K81" s="2999">
        <f>K79+1</f>
        <v>7</v>
      </c>
      <c r="L81" s="3341" t="s">
        <v>2880</v>
      </c>
      <c r="M81" s="3342"/>
      <c r="N81" s="1301"/>
      <c r="O81" s="1302" t="e">
        <f ca="1">ROUND(O79*10000/'数据-汇总表'!E3,0)</f>
        <v>#VALUE!</v>
      </c>
      <c r="P81" s="1303"/>
      <c r="Q81" s="2013"/>
      <c r="R81" s="2013"/>
      <c r="S81" s="2013"/>
      <c r="T81" s="2013"/>
      <c r="U81" s="2013"/>
      <c r="V81" s="2013"/>
    </row>
    <row r="82" spans="1:26" ht="13.5" thickTop="1">
      <c r="A82" s="375" t="s">
        <v>1822</v>
      </c>
      <c r="B82" s="376" t="s">
        <v>432</v>
      </c>
      <c r="C82" s="377">
        <f ca="1">D63</f>
        <v>24161</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331" t="s">
        <v>2867</v>
      </c>
      <c r="L83" s="3011" t="s">
        <v>2868</v>
      </c>
      <c r="M83" s="3001" t="e">
        <f>IF(N69&gt;10000,N69*0.5%,IF(AND(N69&gt;1000,N69&lt;=10000),N69*1%,IF(AND(N69&gt;100,N69&lt;=1000),N69*3%,IF(AND(N69&gt;10,N69&lt;=100),N69*5%,N69*8%))))</f>
        <v>#VALUE!</v>
      </c>
      <c r="N83" s="53" t="e">
        <f>ROUND(M83,1)</f>
        <v>#VALUE!</v>
      </c>
      <c r="O83" s="3004"/>
      <c r="P83" s="2013"/>
      <c r="Q83" s="2013"/>
      <c r="R83" s="2013"/>
      <c r="S83" s="2013"/>
      <c r="T83" s="2013"/>
      <c r="U83" s="2013"/>
      <c r="V83" s="2013"/>
    </row>
    <row r="84" spans="1:26" ht="12.75">
      <c r="A84" s="381" t="s">
        <v>1824</v>
      </c>
      <c r="B84" s="382" t="s">
        <v>434</v>
      </c>
      <c r="C84" s="383">
        <v>2000</v>
      </c>
      <c r="D84" s="384" t="s">
        <v>19</v>
      </c>
      <c r="E84" s="3045" t="s">
        <v>2928</v>
      </c>
      <c r="F84" s="42"/>
      <c r="G84" s="42"/>
      <c r="H84" s="1002"/>
      <c r="I84" s="311"/>
      <c r="J84" s="2013"/>
      <c r="K84" s="3331"/>
      <c r="L84" s="3011" t="s">
        <v>2869</v>
      </c>
      <c r="M84" s="300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2870</v>
      </c>
      <c r="P84" s="2013"/>
      <c r="Q84" s="2013"/>
      <c r="R84" s="2013"/>
      <c r="S84" s="2013"/>
      <c r="T84" s="2013"/>
      <c r="U84" s="2013"/>
      <c r="V84" s="2013"/>
    </row>
    <row r="85" spans="1:26" ht="12.75">
      <c r="A85" s="381" t="s">
        <v>1825</v>
      </c>
      <c r="B85" s="382" t="s">
        <v>435</v>
      </c>
      <c r="C85" s="385">
        <f ca="1">C81-C84</f>
        <v>21010</v>
      </c>
      <c r="D85" s="378" t="s">
        <v>19</v>
      </c>
      <c r="E85" s="379"/>
      <c r="F85" s="42"/>
      <c r="G85" s="42"/>
      <c r="H85" s="1002"/>
      <c r="I85" s="311"/>
      <c r="J85" s="2013"/>
      <c r="K85" s="3331"/>
      <c r="L85" s="3011" t="s">
        <v>2871</v>
      </c>
      <c r="M85" s="3001" t="e">
        <f>IF(N69&gt;1000,N69*0.1%,IF(AND(N69&gt;500,N69&lt;=1000),N69*0.5%,IF(AND(N69&gt;50,N69&lt;=500),N69*1%,IF(AND(N69&gt;1,N69&lt;=50),N69*1.5%))))</f>
        <v>#VALUE!</v>
      </c>
      <c r="N85" s="53" t="e">
        <f t="shared" si="2"/>
        <v>#VALUE!</v>
      </c>
      <c r="O85" s="2013" t="s">
        <v>2870</v>
      </c>
      <c r="P85" s="2013"/>
      <c r="Q85" s="2013"/>
      <c r="R85" s="2013"/>
      <c r="S85" s="2013"/>
      <c r="T85" s="2013"/>
      <c r="U85" s="2013"/>
      <c r="V85" s="2013"/>
    </row>
    <row r="86" spans="1:26" ht="13.5" thickBot="1">
      <c r="A86" s="386" t="s">
        <v>1826</v>
      </c>
      <c r="B86" s="387" t="s">
        <v>436</v>
      </c>
      <c r="C86" s="388">
        <f ca="1">IF(C85&lt;=0,0,ROUND(C85*D86,0))</f>
        <v>1177</v>
      </c>
      <c r="D86" s="389">
        <f>'数据-取费表'!B41</f>
        <v>5.6000000000000001E-2</v>
      </c>
      <c r="E86" s="390"/>
      <c r="F86" s="42"/>
      <c r="G86" s="42"/>
      <c r="H86" s="1002"/>
      <c r="I86" s="311"/>
      <c r="J86" s="2013"/>
      <c r="K86" s="3331"/>
      <c r="L86" s="3011" t="s">
        <v>2872</v>
      </c>
      <c r="M86" s="3001" t="e">
        <f>N69*0.5%</f>
        <v>#VALUE!</v>
      </c>
      <c r="N86" s="53" t="e">
        <f>IF(M86&gt;0.5,0.5,ROUND(M86,0))</f>
        <v>#VALUE!</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31"/>
      <c r="L87" s="3011" t="s">
        <v>2874</v>
      </c>
      <c r="M87" s="300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4"/>
      <c r="P87" s="311"/>
      <c r="Q87" s="2013"/>
      <c r="R87" s="2013"/>
      <c r="S87" s="2013"/>
      <c r="T87" s="2013"/>
      <c r="U87" s="2013"/>
      <c r="V87" s="2013"/>
      <c r="W87" s="292"/>
      <c r="X87" s="292"/>
      <c r="Y87" s="292"/>
      <c r="Z87" s="292"/>
    </row>
    <row r="88" spans="1:26" s="1309" customFormat="1" ht="15" thickBot="1">
      <c r="A88" s="3370" t="s">
        <v>437</v>
      </c>
      <c r="B88" s="3371"/>
      <c r="C88" s="3371"/>
      <c r="D88" s="3371"/>
      <c r="E88" s="3371"/>
      <c r="F88" s="3371"/>
      <c r="G88" s="3371"/>
      <c r="H88" s="3371"/>
      <c r="I88" s="1310"/>
      <c r="J88" s="2021"/>
      <c r="K88" s="3331"/>
      <c r="L88" s="3011" t="s">
        <v>2875</v>
      </c>
      <c r="M88" s="3001" t="e">
        <f>IF(N69&gt;10000,N69*0.5%,IF(AND(N69&gt;5000,N69&lt;=10000),N69*1%,IF(AND(N69&gt;1000,N69&lt;=5000),N69*2%,IF(AND(N69&gt;200,N69&lt;=1000),N69*3%,N69*5%))))</f>
        <v>#VALUE!</v>
      </c>
      <c r="N88" s="53" t="e">
        <f>ROUND(M88,1)</f>
        <v>#VALUE!</v>
      </c>
      <c r="O88" s="3004"/>
      <c r="P88" s="11"/>
      <c r="Q88" s="2018"/>
      <c r="R88" s="2018"/>
      <c r="S88" s="2018"/>
      <c r="T88" s="2018"/>
      <c r="U88" s="2018"/>
      <c r="V88" s="2018"/>
      <c r="W88" s="2022"/>
      <c r="X88" s="2022"/>
      <c r="Y88" s="2022"/>
      <c r="Z88" s="2022"/>
    </row>
    <row r="89" spans="1:26" s="1309" customFormat="1" ht="14.25">
      <c r="A89" s="3329" t="s">
        <v>428</v>
      </c>
      <c r="B89" s="3330"/>
      <c r="C89" s="993"/>
      <c r="D89" s="993" t="s">
        <v>429</v>
      </c>
      <c r="E89" s="391" t="s">
        <v>438</v>
      </c>
      <c r="F89" s="392"/>
      <c r="G89" s="392"/>
      <c r="H89" s="393"/>
      <c r="I89" s="1311"/>
      <c r="J89" s="2023"/>
      <c r="K89" s="3331"/>
      <c r="L89" s="3011" t="s">
        <v>27</v>
      </c>
      <c r="M89" s="3002"/>
      <c r="N89" s="53" t="e">
        <f>ROUND(SUM(N83:N88),0)</f>
        <v>#VALUE!</v>
      </c>
      <c r="O89" s="3012" t="e">
        <f>N89/N69</f>
        <v>#VALUE!</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23010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2699</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67" t="s">
        <v>447</v>
      </c>
      <c r="F94" s="3368"/>
      <c r="G94" s="3368"/>
      <c r="H94" s="336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138</v>
      </c>
      <c r="D96" s="406">
        <f>'数据-取费表'!B43</f>
        <v>6.000000000000001E-3</v>
      </c>
      <c r="E96" s="3326" t="s">
        <v>2422</v>
      </c>
      <c r="F96" s="3327"/>
      <c r="G96" s="3327"/>
      <c r="H96" s="332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20311</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7.5253797702852907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11242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70" t="s">
        <v>454</v>
      </c>
      <c r="B101" s="3371"/>
      <c r="C101" s="3371"/>
      <c r="D101" s="3371"/>
      <c r="E101" s="3371"/>
      <c r="F101" s="3371"/>
      <c r="G101" s="3371"/>
      <c r="H101" s="337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29" t="s">
        <v>428</v>
      </c>
      <c r="B102" s="3330"/>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23010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767</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2433</v>
      </c>
      <c r="I106" s="11" t="s">
        <v>2987</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79" t="s">
        <v>2989</v>
      </c>
      <c r="H108" s="3380"/>
      <c r="I108" s="3185" t="s">
        <v>2988</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60" t="s">
        <v>462</v>
      </c>
      <c r="F109" s="3327"/>
      <c r="G109" s="3327"/>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60" t="s">
        <v>464</v>
      </c>
      <c r="F110" s="3327"/>
      <c r="G110" s="3327"/>
      <c r="H110" s="3328"/>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138</v>
      </c>
      <c r="D111" s="406">
        <f>'数据-取费表'!B43</f>
        <v>6.000000000000001E-3</v>
      </c>
      <c r="E111" s="3326" t="s">
        <v>2422</v>
      </c>
      <c r="F111" s="3327"/>
      <c r="G111" s="3327"/>
      <c r="H111" s="3328"/>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60" t="s">
        <v>2447</v>
      </c>
      <c r="F112" s="3327"/>
      <c r="G112" s="3327"/>
      <c r="H112" s="3328"/>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22243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29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13077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E49" sqref="E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39420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6265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8043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536</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18" t="s">
        <v>522</v>
      </c>
      <c r="D6" s="3419"/>
      <c r="E6" s="3418" t="s">
        <v>523</v>
      </c>
      <c r="F6" s="3419"/>
      <c r="G6" s="3418" t="s">
        <v>524</v>
      </c>
      <c r="H6" s="3419"/>
      <c r="I6" s="3418" t="s">
        <v>525</v>
      </c>
      <c r="J6" s="3419"/>
      <c r="K6" s="514" t="s">
        <v>526</v>
      </c>
      <c r="L6" s="2118"/>
      <c r="M6" s="2117"/>
      <c r="N6" s="2117"/>
      <c r="O6" s="2119"/>
      <c r="P6" s="3420" t="s">
        <v>527</v>
      </c>
      <c r="Q6" s="3421"/>
      <c r="R6" s="3406" t="s">
        <v>523</v>
      </c>
      <c r="S6" s="3407"/>
      <c r="T6" s="3406" t="s">
        <v>524</v>
      </c>
      <c r="U6" s="3407"/>
      <c r="V6" s="3426" t="s">
        <v>525</v>
      </c>
      <c r="W6" s="3426"/>
      <c r="X6" s="1553"/>
      <c r="Y6" s="3406" t="s">
        <v>527</v>
      </c>
      <c r="Z6" s="3407"/>
      <c r="AA6" s="3401" t="s">
        <v>523</v>
      </c>
      <c r="AB6" s="3402" t="s">
        <v>524</v>
      </c>
      <c r="AC6" s="3401" t="s">
        <v>525</v>
      </c>
    </row>
    <row r="7" spans="1:30" ht="20.25">
      <c r="A7" s="515"/>
      <c r="B7" s="516"/>
      <c r="C7" s="3429" t="s">
        <v>2917</v>
      </c>
      <c r="D7" s="3430"/>
      <c r="E7" s="3429" t="str">
        <f>土地案例!A13</f>
        <v>两江新区悦来组团D分区D39-1、D40-1、D40-2、D37-3、D36-2、D43-3号宗地</v>
      </c>
      <c r="F7" s="3430"/>
      <c r="G7" s="3429" t="str">
        <f>土地案例!A33</f>
        <v>两江新区悦来组团D分区D22-1、D22-3号宗地</v>
      </c>
      <c r="H7" s="3430"/>
      <c r="I7" s="3429" t="str">
        <f>土地案例!A49</f>
        <v>两江新区悦来组团D分区D21-1/03、D21-2/03号宗地</v>
      </c>
      <c r="J7" s="3430"/>
      <c r="K7" s="514"/>
      <c r="L7" s="2118"/>
      <c r="M7" s="2117"/>
      <c r="N7" s="2117"/>
      <c r="O7" s="2119"/>
      <c r="P7" s="3422"/>
      <c r="Q7" s="3423"/>
      <c r="R7" s="3408"/>
      <c r="S7" s="3409"/>
      <c r="T7" s="3408"/>
      <c r="U7" s="3409"/>
      <c r="V7" s="3426"/>
      <c r="W7" s="3426"/>
      <c r="X7" s="1553"/>
      <c r="Y7" s="3408"/>
      <c r="Z7" s="3409"/>
      <c r="AA7" s="3402"/>
      <c r="AB7" s="3402"/>
      <c r="AC7" s="3402"/>
    </row>
    <row r="8" spans="1:30" ht="21" thickBot="1">
      <c r="A8" s="515"/>
      <c r="B8" s="516"/>
      <c r="C8" s="3431" t="s">
        <v>2921</v>
      </c>
      <c r="D8" s="3432"/>
      <c r="E8" s="3431" t="s">
        <v>2921</v>
      </c>
      <c r="F8" s="3432"/>
      <c r="G8" s="3427" t="s">
        <v>2921</v>
      </c>
      <c r="H8" s="3428"/>
      <c r="I8" s="3427" t="s">
        <v>2921</v>
      </c>
      <c r="J8" s="3428"/>
      <c r="K8" s="514" t="s">
        <v>528</v>
      </c>
      <c r="L8" s="2118"/>
      <c r="M8" s="2117"/>
      <c r="N8" s="2117"/>
      <c r="O8" s="2119"/>
      <c r="P8" s="3424"/>
      <c r="Q8" s="3425"/>
      <c r="R8" s="3408"/>
      <c r="S8" s="3409"/>
      <c r="T8" s="3410"/>
      <c r="U8" s="3411"/>
      <c r="V8" s="3426"/>
      <c r="W8" s="3426"/>
      <c r="X8" s="1553"/>
      <c r="Y8" s="3410"/>
      <c r="Z8" s="3411"/>
      <c r="AA8" s="3403"/>
      <c r="AB8" s="3403"/>
      <c r="AC8" s="3403"/>
    </row>
    <row r="9" spans="1:30" s="1215" customFormat="1" ht="21" thickBot="1">
      <c r="A9" s="2867"/>
      <c r="B9" s="2874" t="s">
        <v>529</v>
      </c>
      <c r="C9" s="2866">
        <f>'数据-取费表'!B2</f>
        <v>43994</v>
      </c>
      <c r="D9" s="520">
        <v>100</v>
      </c>
      <c r="E9" s="521" t="str">
        <f>土地案例!K13</f>
        <v>2020-01-21</v>
      </c>
      <c r="F9" s="522">
        <f>SUMIF(72:72,YEAR(E9)&amp;"-"&amp;INT((MONTH(E9)+2)/3),73:73)</f>
        <v>99</v>
      </c>
      <c r="G9" s="523" t="str">
        <f>土地案例!K33</f>
        <v>2019-05-30</v>
      </c>
      <c r="H9" s="520">
        <f>SUMIF(72:72,YEAR(G9)&amp;"-"&amp;INT((MONTH(G9)+2)/3),73:73)</f>
        <v>96</v>
      </c>
      <c r="I9" s="523" t="str">
        <f>土地案例!K49</f>
        <v>2018-12-28</v>
      </c>
      <c r="J9" s="520">
        <f>SUMIF(72:72,YEAR(I9)&amp;"-"&amp;INT((MONTH(I9)+2)/3),73:73)</f>
        <v>94</v>
      </c>
      <c r="K9" s="524"/>
      <c r="L9" s="2120"/>
      <c r="M9" s="2117"/>
      <c r="N9" s="2117"/>
      <c r="O9" s="2121"/>
      <c r="P9" s="3404" t="s">
        <v>530</v>
      </c>
      <c r="Q9" s="3413"/>
      <c r="R9" s="1554" t="s">
        <v>8</v>
      </c>
      <c r="S9" s="1555">
        <f t="shared" ref="S9:S17" si="0">F9</f>
        <v>99</v>
      </c>
      <c r="T9" s="1554" t="s">
        <v>8</v>
      </c>
      <c r="U9" s="1555">
        <f t="shared" ref="U9:U17" si="1">H9</f>
        <v>96</v>
      </c>
      <c r="V9" s="1554" t="s">
        <v>8</v>
      </c>
      <c r="W9" s="1555">
        <f t="shared" ref="W9:W17" si="2">J9</f>
        <v>94</v>
      </c>
      <c r="X9" s="1556"/>
      <c r="Y9" s="3404" t="s">
        <v>530</v>
      </c>
      <c r="Z9" s="3405"/>
      <c r="AA9" s="1557">
        <f>D9/F9</f>
        <v>1.0101010101010102</v>
      </c>
      <c r="AB9" s="1557">
        <f>D9/H9</f>
        <v>1.0416666666666667</v>
      </c>
      <c r="AC9" s="1557">
        <f>D9/J9</f>
        <v>1.0638297872340425</v>
      </c>
    </row>
    <row r="10" spans="1:30" s="1215" customFormat="1" ht="21" thickBot="1">
      <c r="A10" s="2868"/>
      <c r="B10" s="2875" t="s">
        <v>531</v>
      </c>
      <c r="C10" s="856" t="s">
        <v>532</v>
      </c>
      <c r="D10" s="520">
        <v>100</v>
      </c>
      <c r="E10" s="525" t="s">
        <v>3341</v>
      </c>
      <c r="F10" s="522">
        <f>SUMIF(75:75,E10,76:76)-SUMIF(75:75,C10,76:76)+100</f>
        <v>100</v>
      </c>
      <c r="G10" s="525" t="s">
        <v>3341</v>
      </c>
      <c r="H10" s="520">
        <f>SUMIF(75:75,G10,76:76)-SUMIF(75:75,C10,76:76)+100</f>
        <v>100</v>
      </c>
      <c r="I10" s="525" t="s">
        <v>3341</v>
      </c>
      <c r="J10" s="520">
        <f>SUMIF(75:75,I10,76:76)-SUMIF(75:75,C10,76:76)+100</f>
        <v>100</v>
      </c>
      <c r="K10" s="524"/>
      <c r="L10" s="2120"/>
      <c r="M10" s="2117"/>
      <c r="N10" s="2117"/>
      <c r="O10" s="2121"/>
      <c r="P10" s="3404" t="s">
        <v>533</v>
      </c>
      <c r="Q10" s="3405"/>
      <c r="R10" s="1554" t="s">
        <v>8</v>
      </c>
      <c r="S10" s="1555">
        <f t="shared" si="0"/>
        <v>100</v>
      </c>
      <c r="T10" s="1554" t="s">
        <v>8</v>
      </c>
      <c r="U10" s="1555">
        <f t="shared" si="1"/>
        <v>100</v>
      </c>
      <c r="V10" s="1554" t="s">
        <v>8</v>
      </c>
      <c r="W10" s="1555">
        <f t="shared" si="2"/>
        <v>100</v>
      </c>
      <c r="X10" s="1556"/>
      <c r="Y10" s="3404" t="s">
        <v>533</v>
      </c>
      <c r="Z10" s="3405"/>
      <c r="AA10" s="1557">
        <f t="shared" ref="AA10:AA47" si="3">D10/F10</f>
        <v>1</v>
      </c>
      <c r="AB10" s="1557">
        <f t="shared" ref="AB10:AB47" si="4">D10/H10</f>
        <v>1</v>
      </c>
      <c r="AC10" s="1557">
        <f t="shared" ref="AC10:AC47" si="5">D10/J10</f>
        <v>1</v>
      </c>
    </row>
    <row r="11" spans="1:30" s="1215" customFormat="1" ht="20.25">
      <c r="A11" s="2869"/>
      <c r="B11" s="2876" t="s">
        <v>2749</v>
      </c>
      <c r="C11" s="2863" t="s">
        <v>3345</v>
      </c>
      <c r="D11" s="254">
        <v>100</v>
      </c>
      <c r="E11" s="526" t="s">
        <v>3348</v>
      </c>
      <c r="F11" s="254">
        <f>SUMIF(77:77,E11,78:78)-SUMIF(77:77,C11,78:78)+100</f>
        <v>90</v>
      </c>
      <c r="G11" s="526" t="s">
        <v>921</v>
      </c>
      <c r="H11" s="254">
        <f>SUMIF(77:77,G11,78:78)-SUMIF(77:77,C11,78:78)+100</f>
        <v>95</v>
      </c>
      <c r="I11" s="526" t="s">
        <v>921</v>
      </c>
      <c r="J11" s="254">
        <f>SUMIF(77:77,I11,78:78)-SUMIF(77:77,C11,78:78)+100</f>
        <v>95</v>
      </c>
      <c r="K11" s="524"/>
      <c r="L11" s="2120"/>
      <c r="M11" s="2117"/>
      <c r="N11" s="2117"/>
      <c r="O11" s="2122"/>
      <c r="P11" s="3412" t="s">
        <v>535</v>
      </c>
      <c r="Q11" s="1146" t="str">
        <f t="shared" ref="Q11:Q17" si="6">B11</f>
        <v>用途</v>
      </c>
      <c r="R11" s="1554" t="s">
        <v>8</v>
      </c>
      <c r="S11" s="1555">
        <f t="shared" si="0"/>
        <v>90</v>
      </c>
      <c r="T11" s="1554" t="s">
        <v>8</v>
      </c>
      <c r="U11" s="1555">
        <f t="shared" si="1"/>
        <v>95</v>
      </c>
      <c r="V11" s="1554" t="s">
        <v>8</v>
      </c>
      <c r="W11" s="1555">
        <f t="shared" si="2"/>
        <v>95</v>
      </c>
      <c r="X11" s="1556"/>
      <c r="Y11" s="3366" t="s">
        <v>536</v>
      </c>
      <c r="Z11" s="1145" t="str">
        <f t="shared" ref="Z11:Z17" si="7">Q11</f>
        <v>用途</v>
      </c>
      <c r="AA11" s="1557">
        <f t="shared" si="3"/>
        <v>1.1111111111111112</v>
      </c>
      <c r="AB11" s="1557">
        <f t="shared" si="4"/>
        <v>1.0526315789473684</v>
      </c>
      <c r="AC11" s="1557">
        <f t="shared" si="5"/>
        <v>1.0526315789473684</v>
      </c>
    </row>
    <row r="12" spans="1:30" s="1333" customFormat="1" ht="27">
      <c r="A12" s="2870"/>
      <c r="B12" s="2875" t="s">
        <v>2750</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412"/>
      <c r="Q12" s="1146" t="str">
        <f t="shared" si="6"/>
        <v>土地使用年限（年）</v>
      </c>
      <c r="R12" s="1554" t="s">
        <v>8</v>
      </c>
      <c r="S12" s="1555">
        <f t="shared" si="0"/>
        <v>102</v>
      </c>
      <c r="T12" s="1554" t="s">
        <v>8</v>
      </c>
      <c r="U12" s="1555">
        <f t="shared" si="1"/>
        <v>102</v>
      </c>
      <c r="V12" s="1554" t="s">
        <v>8</v>
      </c>
      <c r="W12" s="1555">
        <f t="shared" si="2"/>
        <v>102</v>
      </c>
      <c r="X12" s="1556"/>
      <c r="Y12" s="3366"/>
      <c r="Z12" s="1145" t="str">
        <f t="shared" si="7"/>
        <v>土地使用年限（年）</v>
      </c>
      <c r="AA12" s="1557">
        <f t="shared" si="3"/>
        <v>0.98039215686274506</v>
      </c>
      <c r="AB12" s="1557">
        <f t="shared" si="4"/>
        <v>0.98039215686274506</v>
      </c>
      <c r="AC12" s="1557">
        <f t="shared" si="5"/>
        <v>0.98039215686274506</v>
      </c>
    </row>
    <row r="13" spans="1:30" ht="20.25">
      <c r="A13" s="2871"/>
      <c r="B13" s="2875" t="s">
        <v>2751</v>
      </c>
      <c r="C13" s="534">
        <f>'数据-汇总表'!I7</f>
        <v>0.89</v>
      </c>
      <c r="D13" s="255">
        <v>100</v>
      </c>
      <c r="E13" s="533">
        <v>1.89</v>
      </c>
      <c r="F13" s="255">
        <f>LOOKUP(E13,82:82,83:83)-LOOKUP(C13,82:82,83:83)+100</f>
        <v>97</v>
      </c>
      <c r="G13" s="534">
        <v>2.2000000000000002</v>
      </c>
      <c r="H13" s="255">
        <f>LOOKUP(G13,82:82,83:83)-LOOKUP(C13,82:82,83:83)+100</f>
        <v>94</v>
      </c>
      <c r="I13" s="533">
        <v>1.5</v>
      </c>
      <c r="J13" s="255">
        <f>LOOKUP(I13,82:82,83:83)-LOOKUP(C13,82:82,83:83)+100</f>
        <v>97</v>
      </c>
      <c r="K13" s="535">
        <v>3</v>
      </c>
      <c r="L13" s="2125"/>
      <c r="M13" s="2117"/>
      <c r="N13" s="2117"/>
      <c r="O13" s="2126"/>
      <c r="P13" s="3412"/>
      <c r="Q13" s="1146" t="str">
        <f t="shared" si="6"/>
        <v>容积率</v>
      </c>
      <c r="R13" s="1554" t="s">
        <v>8</v>
      </c>
      <c r="S13" s="1555">
        <f t="shared" si="0"/>
        <v>97</v>
      </c>
      <c r="T13" s="1554" t="s">
        <v>8</v>
      </c>
      <c r="U13" s="1555">
        <f t="shared" si="1"/>
        <v>94</v>
      </c>
      <c r="V13" s="1554" t="s">
        <v>8</v>
      </c>
      <c r="W13" s="1555">
        <f t="shared" si="2"/>
        <v>97</v>
      </c>
      <c r="X13" s="1556"/>
      <c r="Y13" s="3366"/>
      <c r="Z13" s="1145" t="str">
        <f t="shared" si="7"/>
        <v>容积率</v>
      </c>
      <c r="AA13" s="1557">
        <f t="shared" si="3"/>
        <v>1.0309278350515463</v>
      </c>
      <c r="AB13" s="1557">
        <f t="shared" si="4"/>
        <v>1.0638297872340425</v>
      </c>
      <c r="AC13" s="1557">
        <f t="shared" si="5"/>
        <v>1.0309278350515463</v>
      </c>
    </row>
    <row r="14" spans="1:30" s="1215" customFormat="1" ht="20.25">
      <c r="A14" s="2868"/>
      <c r="B14" s="2877" t="s">
        <v>2752</v>
      </c>
      <c r="C14" s="2864" t="s">
        <v>3353</v>
      </c>
      <c r="D14" s="538">
        <v>100</v>
      </c>
      <c r="E14" s="1370" t="s">
        <v>3350</v>
      </c>
      <c r="F14" s="255">
        <f>SUMIF(84:84,E14,85:85)-SUMIF(84:84,C14,85:85)+100</f>
        <v>100</v>
      </c>
      <c r="G14" s="3226" t="s">
        <v>3350</v>
      </c>
      <c r="H14" s="255">
        <f>SUMIF(84:84,G14,85:85)-SUMIF(84:84,C14,85:85)+100</f>
        <v>100</v>
      </c>
      <c r="I14" s="3227" t="s">
        <v>3352</v>
      </c>
      <c r="J14" s="255">
        <f>SUMIF(84:84,I14,85:85)-SUMIF(84:84,C14,85:85)+100</f>
        <v>95</v>
      </c>
      <c r="K14" s="531"/>
      <c r="L14" s="2120"/>
      <c r="M14" s="2117"/>
      <c r="N14" s="2117"/>
      <c r="O14" s="2122"/>
      <c r="P14" s="3412"/>
      <c r="Q14" s="1146" t="str">
        <f t="shared" si="6"/>
        <v>配建</v>
      </c>
      <c r="R14" s="1554" t="s">
        <v>8</v>
      </c>
      <c r="S14" s="1555">
        <f t="shared" si="0"/>
        <v>100</v>
      </c>
      <c r="T14" s="1554" t="s">
        <v>8</v>
      </c>
      <c r="U14" s="1555">
        <f t="shared" si="1"/>
        <v>100</v>
      </c>
      <c r="V14" s="1554" t="s">
        <v>8</v>
      </c>
      <c r="W14" s="1555">
        <f t="shared" si="2"/>
        <v>95</v>
      </c>
      <c r="X14" s="1556"/>
      <c r="Y14" s="3366"/>
      <c r="Z14" s="1145" t="str">
        <f t="shared" si="7"/>
        <v>配建</v>
      </c>
      <c r="AA14" s="1557">
        <f>D14/F14</f>
        <v>1</v>
      </c>
      <c r="AB14" s="1557">
        <f>D14/H14</f>
        <v>1</v>
      </c>
      <c r="AC14" s="1557">
        <f>D14/J14</f>
        <v>1.0526315789473684</v>
      </c>
    </row>
    <row r="15" spans="1:30" ht="20.25">
      <c r="A15" s="2872"/>
      <c r="B15" s="3217" t="s">
        <v>3343</v>
      </c>
      <c r="C15" s="3221" t="s">
        <v>3350</v>
      </c>
      <c r="D15" s="540">
        <v>100</v>
      </c>
      <c r="E15" s="3222" t="s">
        <v>3352</v>
      </c>
      <c r="F15" s="255">
        <f>SUMIF(86:86,E15,87:87)-SUMIF(86:86,C15,87:87)+100</f>
        <v>95</v>
      </c>
      <c r="G15" s="3228" t="s">
        <v>3350</v>
      </c>
      <c r="H15" s="540">
        <f>SUMIF(86:86,G15,87:87)-SUMIF(86:86,C15,87:87)+100</f>
        <v>100</v>
      </c>
      <c r="I15" s="3228" t="s">
        <v>3350</v>
      </c>
      <c r="J15" s="540">
        <f>SUMIF(86:86,I15,87:87)-SUMIF(86:86,C15,87:87)+100</f>
        <v>100</v>
      </c>
      <c r="K15" s="531"/>
      <c r="L15" s="2127"/>
      <c r="M15" s="2117"/>
      <c r="N15" s="2117"/>
      <c r="O15" s="2126"/>
      <c r="P15" s="3412"/>
      <c r="Q15" s="1146" t="str">
        <f t="shared" si="6"/>
        <v>自持</v>
      </c>
      <c r="R15" s="1554" t="s">
        <v>8</v>
      </c>
      <c r="S15" s="1555">
        <f t="shared" si="0"/>
        <v>95</v>
      </c>
      <c r="T15" s="1554" t="s">
        <v>8</v>
      </c>
      <c r="U15" s="1555">
        <f t="shared" si="1"/>
        <v>100</v>
      </c>
      <c r="V15" s="1554" t="s">
        <v>8</v>
      </c>
      <c r="W15" s="1555">
        <f t="shared" si="2"/>
        <v>100</v>
      </c>
      <c r="X15" s="1556"/>
      <c r="Y15" s="3366"/>
      <c r="Z15" s="1145" t="str">
        <f t="shared" si="7"/>
        <v>自持</v>
      </c>
      <c r="AA15" s="1557">
        <f>D15/F15</f>
        <v>1.0526315789473684</v>
      </c>
      <c r="AB15" s="1557">
        <f>D15/H15</f>
        <v>1</v>
      </c>
      <c r="AC15" s="1557">
        <f>D15/J15</f>
        <v>1</v>
      </c>
    </row>
    <row r="16" spans="1:30" ht="21" thickBot="1">
      <c r="A16" s="2873"/>
      <c r="B16" s="3218" t="s">
        <v>3344</v>
      </c>
      <c r="C16" s="915">
        <v>0</v>
      </c>
      <c r="D16" s="546">
        <v>100</v>
      </c>
      <c r="E16" s="541">
        <v>5</v>
      </c>
      <c r="F16" s="546">
        <f>SUMIF(88:88,E16,89:89)-SUMIF(88:88,C16,89:89)+100</f>
        <v>95</v>
      </c>
      <c r="G16" s="3228">
        <v>0</v>
      </c>
      <c r="H16" s="546">
        <f>SUMIF(88:88,G16,89:89)-SUMIF(88:88,C16,89:89)+100</f>
        <v>100</v>
      </c>
      <c r="I16" s="3228">
        <v>0</v>
      </c>
      <c r="J16" s="546">
        <f>SUMIF(88:88,I16,89:89)-SUMIF(88:88,C16,89:89)+100</f>
        <v>100</v>
      </c>
      <c r="K16" s="531"/>
      <c r="L16" s="2127"/>
      <c r="M16" s="2117"/>
      <c r="N16" s="2117"/>
      <c r="O16" s="2126"/>
      <c r="P16" s="3412"/>
      <c r="Q16" s="1146" t="str">
        <f t="shared" si="6"/>
        <v>自持时间</v>
      </c>
      <c r="R16" s="1554" t="s">
        <v>8</v>
      </c>
      <c r="S16" s="1555">
        <f t="shared" si="0"/>
        <v>95</v>
      </c>
      <c r="T16" s="1554" t="s">
        <v>8</v>
      </c>
      <c r="U16" s="1555">
        <f t="shared" si="1"/>
        <v>100</v>
      </c>
      <c r="V16" s="1554" t="s">
        <v>8</v>
      </c>
      <c r="W16" s="1555">
        <f t="shared" si="2"/>
        <v>100</v>
      </c>
      <c r="X16" s="1556"/>
      <c r="Y16" s="3366"/>
      <c r="Z16" s="1145" t="str">
        <f t="shared" si="7"/>
        <v>自持时间</v>
      </c>
      <c r="AA16" s="1557">
        <f>D16/F16</f>
        <v>1.0526315789473684</v>
      </c>
      <c r="AB16" s="1557">
        <f>D16/H16</f>
        <v>1</v>
      </c>
      <c r="AC16" s="1557">
        <f>D16/J16</f>
        <v>1</v>
      </c>
    </row>
    <row r="17" spans="1:29" ht="20.25">
      <c r="A17" s="2865" t="s">
        <v>2747</v>
      </c>
      <c r="B17" s="578" t="s">
        <v>295</v>
      </c>
      <c r="C17" s="548" t="str">
        <f>估价对象房地状况!C15</f>
        <v>较好</v>
      </c>
      <c r="D17" s="551">
        <v>100</v>
      </c>
      <c r="E17" s="552"/>
      <c r="F17" s="549">
        <f>SUMIF(90:90,E18,91:91)-SUMIF(90:90,C18,91:91)+100</f>
        <v>97</v>
      </c>
      <c r="G17" s="550"/>
      <c r="H17" s="549">
        <f>SUMIF(90:90,G18,91:91)-SUMIF(90:90,C18,91:91)+100</f>
        <v>97</v>
      </c>
      <c r="I17" s="552"/>
      <c r="J17" s="549">
        <f>SUMIF(90:90,I18,91:91)-SUMIF(90:90,C18,91:91)+100</f>
        <v>97</v>
      </c>
      <c r="K17" s="535">
        <v>3</v>
      </c>
      <c r="L17" s="2127"/>
      <c r="M17" s="2117"/>
      <c r="N17" s="2117"/>
      <c r="O17" s="2126"/>
      <c r="P17" s="3414" t="s">
        <v>540</v>
      </c>
      <c r="Q17" s="1558" t="str">
        <f t="shared" si="6"/>
        <v>居住社区成熟度</v>
      </c>
      <c r="R17" s="1559" t="s">
        <v>8</v>
      </c>
      <c r="S17" s="1560">
        <f t="shared" si="0"/>
        <v>97</v>
      </c>
      <c r="T17" s="1559" t="s">
        <v>8</v>
      </c>
      <c r="U17" s="1560">
        <f t="shared" si="1"/>
        <v>97</v>
      </c>
      <c r="V17" s="1559" t="s">
        <v>8</v>
      </c>
      <c r="W17" s="1560">
        <f t="shared" si="2"/>
        <v>97</v>
      </c>
      <c r="X17" s="1553"/>
      <c r="Y17" s="3414" t="s">
        <v>540</v>
      </c>
      <c r="Z17" s="1561" t="str">
        <f t="shared" si="7"/>
        <v>居住社区成熟度</v>
      </c>
      <c r="AA17" s="1562">
        <f t="shared" si="3"/>
        <v>1.0309278350515463</v>
      </c>
      <c r="AB17" s="1562">
        <f t="shared" si="4"/>
        <v>1.0309278350515463</v>
      </c>
      <c r="AC17" s="1562">
        <f t="shared" si="5"/>
        <v>1.0309278350515463</v>
      </c>
    </row>
    <row r="18" spans="1:29" ht="20.25">
      <c r="A18" s="532"/>
      <c r="B18" s="553"/>
      <c r="C18" s="554" t="s">
        <v>3354</v>
      </c>
      <c r="D18" s="557"/>
      <c r="E18" s="558" t="s">
        <v>3356</v>
      </c>
      <c r="F18" s="555"/>
      <c r="G18" s="556" t="s">
        <v>3356</v>
      </c>
      <c r="H18" s="559"/>
      <c r="I18" s="558" t="s">
        <v>3356</v>
      </c>
      <c r="J18" s="555"/>
      <c r="K18" s="531"/>
      <c r="L18" s="2127"/>
      <c r="M18" s="2117"/>
      <c r="N18" s="2117"/>
      <c r="O18" s="2126"/>
      <c r="P18" s="3415"/>
      <c r="Q18" s="1558"/>
      <c r="R18" s="1559"/>
      <c r="S18" s="1560"/>
      <c r="T18" s="1559"/>
      <c r="U18" s="1560"/>
      <c r="V18" s="1559"/>
      <c r="W18" s="1560"/>
      <c r="X18" s="1553"/>
      <c r="Y18" s="3415"/>
      <c r="Z18" s="1561"/>
      <c r="AA18" s="1562">
        <v>1</v>
      </c>
      <c r="AB18" s="1562">
        <v>1</v>
      </c>
      <c r="AC18" s="1562">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15"/>
      <c r="Q19" s="1558" t="str">
        <f>B19</f>
        <v>商业繁华度</v>
      </c>
      <c r="R19" s="1559" t="s">
        <v>8</v>
      </c>
      <c r="S19" s="1560">
        <f>F19</f>
        <v>100</v>
      </c>
      <c r="T19" s="1559" t="s">
        <v>8</v>
      </c>
      <c r="U19" s="1560">
        <f>H19</f>
        <v>100</v>
      </c>
      <c r="V19" s="1559" t="s">
        <v>8</v>
      </c>
      <c r="W19" s="1560">
        <f>J19</f>
        <v>100</v>
      </c>
      <c r="X19" s="1553"/>
      <c r="Y19" s="3415"/>
      <c r="Z19" s="1561" t="str">
        <f>Q19</f>
        <v>商业繁华度</v>
      </c>
      <c r="AA19" s="1562">
        <f t="shared" si="3"/>
        <v>1</v>
      </c>
      <c r="AB19" s="1562">
        <f t="shared" si="4"/>
        <v>1</v>
      </c>
      <c r="AC19" s="1562">
        <f t="shared" si="5"/>
        <v>1</v>
      </c>
    </row>
    <row r="20" spans="1:29" ht="20.25">
      <c r="A20" s="532"/>
      <c r="B20" s="566"/>
      <c r="C20" s="567" t="s">
        <v>3356</v>
      </c>
      <c r="D20" s="563"/>
      <c r="E20" s="569" t="s">
        <v>3356</v>
      </c>
      <c r="F20" s="559"/>
      <c r="G20" s="568" t="s">
        <v>3356</v>
      </c>
      <c r="H20" s="555"/>
      <c r="I20" s="569" t="s">
        <v>3356</v>
      </c>
      <c r="J20" s="555"/>
      <c r="K20" s="531"/>
      <c r="L20" s="2127"/>
      <c r="M20" s="2117"/>
      <c r="N20" s="2117"/>
      <c r="O20" s="2126"/>
      <c r="P20" s="3415"/>
      <c r="Q20" s="1558"/>
      <c r="R20" s="1559"/>
      <c r="S20" s="1560"/>
      <c r="T20" s="1559"/>
      <c r="U20" s="1560"/>
      <c r="V20" s="1559"/>
      <c r="W20" s="1560"/>
      <c r="X20" s="1553"/>
      <c r="Y20" s="3415"/>
      <c r="Z20" s="1561"/>
      <c r="AA20" s="1562">
        <v>1</v>
      </c>
      <c r="AB20" s="1562">
        <v>1</v>
      </c>
      <c r="AC20" s="1562">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5"/>
      <c r="Q21" s="1558" t="str">
        <f>B21</f>
        <v>办公集聚程度</v>
      </c>
      <c r="R21" s="1559" t="s">
        <v>8</v>
      </c>
      <c r="S21" s="1560">
        <f>F21</f>
        <v>100</v>
      </c>
      <c r="T21" s="1559" t="s">
        <v>8</v>
      </c>
      <c r="U21" s="1560">
        <f>H21</f>
        <v>100</v>
      </c>
      <c r="V21" s="1559" t="s">
        <v>8</v>
      </c>
      <c r="W21" s="1560">
        <f>J21</f>
        <v>100</v>
      </c>
      <c r="X21" s="1553"/>
      <c r="Y21" s="3415"/>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15"/>
      <c r="Q22" s="1558"/>
      <c r="R22" s="1559"/>
      <c r="S22" s="1560"/>
      <c r="T22" s="1559"/>
      <c r="U22" s="1560"/>
      <c r="V22" s="1559"/>
      <c r="W22" s="1560"/>
      <c r="X22" s="1553"/>
      <c r="Y22" s="3415"/>
      <c r="Z22" s="1561"/>
      <c r="AA22" s="1562">
        <v>1</v>
      </c>
      <c r="AB22" s="1562">
        <v>1</v>
      </c>
      <c r="AC22" s="1562">
        <v>1</v>
      </c>
    </row>
    <row r="23" spans="1:29" ht="20.2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15"/>
      <c r="Q23" s="1558" t="str">
        <f>B23</f>
        <v>交通便捷度</v>
      </c>
      <c r="R23" s="1559" t="s">
        <v>8</v>
      </c>
      <c r="S23" s="1560">
        <f>F23</f>
        <v>100</v>
      </c>
      <c r="T23" s="1559" t="s">
        <v>8</v>
      </c>
      <c r="U23" s="1560">
        <f>H23</f>
        <v>100</v>
      </c>
      <c r="V23" s="1559" t="s">
        <v>8</v>
      </c>
      <c r="W23" s="1560">
        <f>J23</f>
        <v>100</v>
      </c>
      <c r="X23" s="1553"/>
      <c r="Y23" s="3415"/>
      <c r="Z23" s="1561" t="str">
        <f>Q23</f>
        <v>交通便捷度</v>
      </c>
      <c r="AA23" s="1562">
        <f t="shared" si="3"/>
        <v>1</v>
      </c>
      <c r="AB23" s="1562">
        <f t="shared" si="4"/>
        <v>1</v>
      </c>
      <c r="AC23" s="1562">
        <f t="shared" si="5"/>
        <v>1</v>
      </c>
    </row>
    <row r="24" spans="1:29" ht="20.25">
      <c r="A24" s="532"/>
      <c r="B24" s="578"/>
      <c r="C24" s="554" t="s">
        <v>3354</v>
      </c>
      <c r="D24" s="557"/>
      <c r="E24" s="558" t="s">
        <v>3354</v>
      </c>
      <c r="F24" s="555"/>
      <c r="G24" s="556" t="s">
        <v>3354</v>
      </c>
      <c r="H24" s="555"/>
      <c r="I24" s="558" t="s">
        <v>3354</v>
      </c>
      <c r="J24" s="555"/>
      <c r="K24" s="531"/>
      <c r="L24" s="2127"/>
      <c r="M24" s="2117"/>
      <c r="N24" s="2117"/>
      <c r="O24" s="2126"/>
      <c r="P24" s="3415"/>
      <c r="Q24" s="1558"/>
      <c r="R24" s="1559"/>
      <c r="S24" s="1560"/>
      <c r="T24" s="1559"/>
      <c r="U24" s="1560"/>
      <c r="V24" s="1559"/>
      <c r="W24" s="1560"/>
      <c r="X24" s="1553"/>
      <c r="Y24" s="3415"/>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15"/>
      <c r="Q25" s="1558" t="str">
        <f t="shared" ref="Q25:Q39" si="8">B25</f>
        <v>区域土地利用方向</v>
      </c>
      <c r="R25" s="1559" t="s">
        <v>8</v>
      </c>
      <c r="S25" s="1560">
        <f>F25</f>
        <v>100</v>
      </c>
      <c r="T25" s="1559" t="s">
        <v>8</v>
      </c>
      <c r="U25" s="1560">
        <f>H25</f>
        <v>100</v>
      </c>
      <c r="V25" s="1559" t="s">
        <v>8</v>
      </c>
      <c r="W25" s="1560">
        <f>J25</f>
        <v>100</v>
      </c>
      <c r="X25" s="1553"/>
      <c r="Y25" s="3415"/>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415"/>
      <c r="Q26" s="1558"/>
      <c r="R26" s="1559"/>
      <c r="S26" s="1560"/>
      <c r="T26" s="1559"/>
      <c r="U26" s="1560"/>
      <c r="V26" s="1559"/>
      <c r="W26" s="1560"/>
      <c r="X26" s="1553"/>
      <c r="Y26" s="3415"/>
      <c r="Z26" s="1561"/>
      <c r="AA26" s="1562"/>
      <c r="AB26" s="1562"/>
      <c r="AC26" s="1562"/>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15"/>
      <c r="Q27" s="1558" t="str">
        <f t="shared" si="8"/>
        <v>自然及人文环境状况</v>
      </c>
      <c r="R27" s="1559" t="s">
        <v>8</v>
      </c>
      <c r="S27" s="1560">
        <f>F27</f>
        <v>100</v>
      </c>
      <c r="T27" s="1559" t="s">
        <v>8</v>
      </c>
      <c r="U27" s="1560">
        <f>H27</f>
        <v>100</v>
      </c>
      <c r="V27" s="1559" t="s">
        <v>8</v>
      </c>
      <c r="W27" s="1560">
        <f>J27</f>
        <v>100</v>
      </c>
      <c r="X27" s="1553"/>
      <c r="Y27" s="3415"/>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15"/>
      <c r="Q28" s="1558"/>
      <c r="R28" s="1559"/>
      <c r="S28" s="1560"/>
      <c r="T28" s="1559"/>
      <c r="U28" s="1560"/>
      <c r="V28" s="1559"/>
      <c r="W28" s="1560"/>
      <c r="X28" s="1553"/>
      <c r="Y28" s="3415"/>
      <c r="Z28" s="1561"/>
      <c r="AA28" s="1562">
        <v>1</v>
      </c>
      <c r="AB28" s="1562">
        <v>1</v>
      </c>
      <c r="AC28" s="1562">
        <v>1</v>
      </c>
    </row>
    <row r="29" spans="1:29" s="1215" customFormat="1" ht="20.25">
      <c r="A29" s="577"/>
      <c r="B29" s="2555" t="s">
        <v>2542</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15"/>
      <c r="Q29" s="1146" t="str">
        <f t="shared" si="8"/>
        <v>公共配套设施</v>
      </c>
      <c r="R29" s="1554" t="s">
        <v>8</v>
      </c>
      <c r="S29" s="1555">
        <f>F29</f>
        <v>100</v>
      </c>
      <c r="T29" s="1554" t="s">
        <v>8</v>
      </c>
      <c r="U29" s="1555">
        <f>H29</f>
        <v>100</v>
      </c>
      <c r="V29" s="1554" t="s">
        <v>8</v>
      </c>
      <c r="W29" s="1555">
        <f>J29</f>
        <v>100</v>
      </c>
      <c r="X29" s="1556"/>
      <c r="Y29" s="3415"/>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415"/>
      <c r="Q30" s="1146"/>
      <c r="R30" s="1554"/>
      <c r="S30" s="1555"/>
      <c r="T30" s="1554"/>
      <c r="U30" s="1555"/>
      <c r="V30" s="1554"/>
      <c r="W30" s="1555"/>
      <c r="X30" s="1556"/>
      <c r="Y30" s="3415"/>
      <c r="Z30" s="1145"/>
      <c r="AA30" s="1562">
        <v>1</v>
      </c>
      <c r="AB30" s="1562">
        <v>1</v>
      </c>
      <c r="AC30" s="1562">
        <v>1</v>
      </c>
    </row>
    <row r="31" spans="1:29" s="1215" customFormat="1" ht="20.25">
      <c r="A31" s="577"/>
      <c r="B31" s="2555" t="s">
        <v>2543</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15"/>
      <c r="Q31" s="2542" t="str">
        <f t="shared" ref="Q31" si="9">B31</f>
        <v>基础设施水平</v>
      </c>
      <c r="R31" s="1554" t="s">
        <v>8</v>
      </c>
      <c r="S31" s="1555">
        <f>F31</f>
        <v>100</v>
      </c>
      <c r="T31" s="1554" t="s">
        <v>8</v>
      </c>
      <c r="U31" s="1555">
        <f>H31</f>
        <v>100</v>
      </c>
      <c r="V31" s="1554" t="s">
        <v>8</v>
      </c>
      <c r="W31" s="1555">
        <f>J31</f>
        <v>100</v>
      </c>
      <c r="X31" s="1556"/>
      <c r="Y31" s="3415"/>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415"/>
      <c r="Q32" s="2542"/>
      <c r="R32" s="1554"/>
      <c r="S32" s="1555"/>
      <c r="T32" s="1554"/>
      <c r="U32" s="1555"/>
      <c r="V32" s="1554"/>
      <c r="W32" s="1555"/>
      <c r="X32" s="1556"/>
      <c r="Y32" s="3415"/>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5"/>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5"/>
      <c r="Q34" s="1558" t="str">
        <f t="shared" si="8"/>
        <v>毗邻道路的类型与等级</v>
      </c>
      <c r="R34" s="1559" t="s">
        <v>8</v>
      </c>
      <c r="S34" s="1560">
        <f t="shared" si="10"/>
        <v>100</v>
      </c>
      <c r="T34" s="1559" t="s">
        <v>8</v>
      </c>
      <c r="U34" s="1560">
        <f t="shared" si="11"/>
        <v>100</v>
      </c>
      <c r="V34" s="1559" t="s">
        <v>8</v>
      </c>
      <c r="W34" s="1560">
        <f t="shared" si="12"/>
        <v>100</v>
      </c>
      <c r="X34" s="1553"/>
      <c r="Y34" s="3415"/>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15"/>
      <c r="Q35" s="1558"/>
      <c r="R35" s="1559"/>
      <c r="S35" s="1560"/>
      <c r="T35" s="1559"/>
      <c r="U35" s="1560"/>
      <c r="V35" s="1559"/>
      <c r="W35" s="1560"/>
      <c r="X35" s="1553"/>
      <c r="Y35" s="3415"/>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5"/>
      <c r="Q36" s="1558" t="str">
        <f t="shared" si="8"/>
        <v>土地级别</v>
      </c>
      <c r="R36" s="1559" t="s">
        <v>8</v>
      </c>
      <c r="S36" s="1560">
        <f t="shared" si="10"/>
        <v>100</v>
      </c>
      <c r="T36" s="1559" t="s">
        <v>8</v>
      </c>
      <c r="U36" s="1560">
        <f t="shared" si="11"/>
        <v>100</v>
      </c>
      <c r="V36" s="1559" t="s">
        <v>8</v>
      </c>
      <c r="W36" s="1560">
        <f t="shared" si="12"/>
        <v>100</v>
      </c>
      <c r="X36" s="1553"/>
      <c r="Y36" s="3415"/>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5"/>
      <c r="Q37" s="1558">
        <f t="shared" si="8"/>
        <v>111</v>
      </c>
      <c r="R37" s="1559" t="s">
        <v>8</v>
      </c>
      <c r="S37" s="1560">
        <f t="shared" si="10"/>
        <v>100</v>
      </c>
      <c r="T37" s="1559" t="s">
        <v>8</v>
      </c>
      <c r="U37" s="1560">
        <f t="shared" si="11"/>
        <v>100</v>
      </c>
      <c r="V37" s="1559" t="s">
        <v>8</v>
      </c>
      <c r="W37" s="1560">
        <f t="shared" si="12"/>
        <v>100</v>
      </c>
      <c r="X37" s="1553"/>
      <c r="Y37" s="3415"/>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6" t="s">
        <v>550</v>
      </c>
      <c r="Q38" s="1558">
        <f t="shared" si="8"/>
        <v>111</v>
      </c>
      <c r="R38" s="1559" t="s">
        <v>8</v>
      </c>
      <c r="S38" s="1560">
        <f t="shared" si="10"/>
        <v>100</v>
      </c>
      <c r="T38" s="1559" t="s">
        <v>8</v>
      </c>
      <c r="U38" s="1560">
        <f t="shared" si="11"/>
        <v>100</v>
      </c>
      <c r="V38" s="1559" t="s">
        <v>8</v>
      </c>
      <c r="W38" s="1560">
        <f t="shared" si="12"/>
        <v>100</v>
      </c>
      <c r="X38" s="1553"/>
      <c r="Y38" s="3417"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7"/>
      <c r="Q39" s="1558">
        <f t="shared" si="8"/>
        <v>111</v>
      </c>
      <c r="R39" s="1563" t="s">
        <v>8</v>
      </c>
      <c r="S39" s="1564">
        <f t="shared" si="10"/>
        <v>100</v>
      </c>
      <c r="T39" s="1563" t="s">
        <v>8</v>
      </c>
      <c r="U39" s="1564">
        <f t="shared" si="11"/>
        <v>100</v>
      </c>
      <c r="V39" s="1563" t="s">
        <v>8</v>
      </c>
      <c r="W39" s="1564">
        <f t="shared" si="12"/>
        <v>100</v>
      </c>
      <c r="X39" s="1565"/>
      <c r="Y39" s="3417"/>
      <c r="Z39" s="1566">
        <f t="shared" si="13"/>
        <v>111</v>
      </c>
      <c r="AA39" s="1562">
        <f t="shared" si="3"/>
        <v>1</v>
      </c>
      <c r="AB39" s="1562">
        <f t="shared" si="4"/>
        <v>1</v>
      </c>
      <c r="AC39" s="1562">
        <f t="shared" si="5"/>
        <v>1</v>
      </c>
    </row>
    <row r="40" spans="1:29" ht="20.25">
      <c r="A40" s="2862" t="s">
        <v>2748</v>
      </c>
      <c r="B40" s="595" t="s">
        <v>552</v>
      </c>
      <c r="C40" s="596">
        <f>'数据-基础表'!A3</f>
        <v>49011</v>
      </c>
      <c r="D40" s="597">
        <v>100</v>
      </c>
      <c r="E40" s="596">
        <f>土地案例!D13</f>
        <v>131121.9</v>
      </c>
      <c r="F40" s="597">
        <f>LOOKUP(E40,119:119,120:120)-LOOKUP(C40,119:119,120:120)+100</f>
        <v>106</v>
      </c>
      <c r="G40" s="596">
        <f>土地案例!D33</f>
        <v>63940</v>
      </c>
      <c r="H40" s="597">
        <f>LOOKUP(G40,119:119,120:120)-LOOKUP(C40,119:119,120:120)+100</f>
        <v>102</v>
      </c>
      <c r="I40" s="598">
        <f>土地案例!D49</f>
        <v>83276.399999999994</v>
      </c>
      <c r="J40" s="597">
        <f>LOOKUP(I40,119:119,120:120)-LOOKUP(C40,119:119,120:120)+100</f>
        <v>104</v>
      </c>
      <c r="K40" s="581"/>
      <c r="L40" s="2127"/>
      <c r="M40" s="2117"/>
      <c r="N40" s="2117"/>
      <c r="O40" s="2126"/>
      <c r="P40" s="3417"/>
      <c r="Q40" s="1558" t="str">
        <f>B40</f>
        <v>宗地面积</v>
      </c>
      <c r="R40" s="1559" t="s">
        <v>8</v>
      </c>
      <c r="S40" s="1560">
        <f t="shared" si="10"/>
        <v>106</v>
      </c>
      <c r="T40" s="1559" t="s">
        <v>8</v>
      </c>
      <c r="U40" s="1560">
        <f t="shared" si="11"/>
        <v>102</v>
      </c>
      <c r="V40" s="1559" t="s">
        <v>8</v>
      </c>
      <c r="W40" s="1560">
        <f t="shared" si="12"/>
        <v>104</v>
      </c>
      <c r="X40" s="1553"/>
      <c r="Y40" s="3417"/>
      <c r="Z40" s="1561" t="str">
        <f t="shared" si="13"/>
        <v>宗地面积</v>
      </c>
      <c r="AA40" s="1562">
        <f t="shared" si="3"/>
        <v>0.94339622641509435</v>
      </c>
      <c r="AB40" s="1562">
        <f t="shared" si="4"/>
        <v>0.98039215686274506</v>
      </c>
      <c r="AC40" s="1562">
        <f t="shared" si="5"/>
        <v>0.96153846153846156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17"/>
      <c r="Q41" s="1558" t="str">
        <f t="shared" ref="Q41:Q47" si="14">B41</f>
        <v>宗地形状</v>
      </c>
      <c r="R41" s="1559" t="s">
        <v>8</v>
      </c>
      <c r="S41" s="1560">
        <f t="shared" si="10"/>
        <v>100</v>
      </c>
      <c r="T41" s="1559" t="s">
        <v>8</v>
      </c>
      <c r="U41" s="1560">
        <f t="shared" si="11"/>
        <v>100</v>
      </c>
      <c r="V41" s="1559" t="s">
        <v>8</v>
      </c>
      <c r="W41" s="1560">
        <f t="shared" si="12"/>
        <v>100</v>
      </c>
      <c r="X41" s="1553"/>
      <c r="Y41" s="3417"/>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7"/>
      <c r="Q42" s="1558" t="str">
        <f t="shared" si="14"/>
        <v>临街宽度及深度</v>
      </c>
      <c r="R42" s="1559" t="s">
        <v>8</v>
      </c>
      <c r="S42" s="1560">
        <f t="shared" si="10"/>
        <v>100</v>
      </c>
      <c r="T42" s="1559" t="s">
        <v>8</v>
      </c>
      <c r="U42" s="1560">
        <f t="shared" si="11"/>
        <v>100</v>
      </c>
      <c r="V42" s="1559" t="s">
        <v>8</v>
      </c>
      <c r="W42" s="1560">
        <f t="shared" si="12"/>
        <v>100</v>
      </c>
      <c r="X42" s="1553"/>
      <c r="Y42" s="3417"/>
      <c r="Z42" s="1561" t="str">
        <f t="shared" si="13"/>
        <v>临街宽度及深度</v>
      </c>
      <c r="AA42" s="1562">
        <f t="shared" si="3"/>
        <v>1</v>
      </c>
      <c r="AB42" s="1562">
        <f t="shared" si="4"/>
        <v>1</v>
      </c>
      <c r="AC42" s="1562">
        <f t="shared" si="5"/>
        <v>1</v>
      </c>
    </row>
    <row r="43" spans="1:29" s="1215" customFormat="1" ht="20.25">
      <c r="A43" s="600"/>
      <c r="B43" s="1880" t="s">
        <v>2418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17"/>
      <c r="Q43" s="1558" t="str">
        <f t="shared" si="14"/>
        <v>宗地开发程度</v>
      </c>
      <c r="R43" s="1554" t="s">
        <v>8</v>
      </c>
      <c r="S43" s="1555">
        <f t="shared" si="10"/>
        <v>100</v>
      </c>
      <c r="T43" s="1554" t="s">
        <v>8</v>
      </c>
      <c r="U43" s="1555">
        <f t="shared" si="11"/>
        <v>100</v>
      </c>
      <c r="V43" s="1554" t="s">
        <v>8</v>
      </c>
      <c r="W43" s="1555">
        <f t="shared" si="12"/>
        <v>100</v>
      </c>
      <c r="X43" s="1556"/>
      <c r="Y43" s="3417"/>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17" t="s">
        <v>550</v>
      </c>
      <c r="Q44" s="1558" t="str">
        <f t="shared" si="14"/>
        <v>工程地质条件</v>
      </c>
      <c r="R44" s="1559" t="s">
        <v>8</v>
      </c>
      <c r="S44" s="1560">
        <f t="shared" si="10"/>
        <v>100</v>
      </c>
      <c r="T44" s="1559" t="s">
        <v>8</v>
      </c>
      <c r="U44" s="1560">
        <f t="shared" si="11"/>
        <v>100</v>
      </c>
      <c r="V44" s="1559" t="s">
        <v>8</v>
      </c>
      <c r="W44" s="1560">
        <f t="shared" si="12"/>
        <v>100</v>
      </c>
      <c r="X44" s="1553"/>
      <c r="Y44" s="3417"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7"/>
      <c r="Q45" s="1558">
        <f t="shared" si="14"/>
        <v>111</v>
      </c>
      <c r="R45" s="1559" t="s">
        <v>8</v>
      </c>
      <c r="S45" s="1560">
        <f t="shared" si="10"/>
        <v>100</v>
      </c>
      <c r="T45" s="1559" t="s">
        <v>8</v>
      </c>
      <c r="U45" s="1560">
        <f t="shared" si="11"/>
        <v>100</v>
      </c>
      <c r="V45" s="1559" t="s">
        <v>8</v>
      </c>
      <c r="W45" s="1560">
        <f t="shared" si="12"/>
        <v>100</v>
      </c>
      <c r="X45" s="1553"/>
      <c r="Y45" s="3417"/>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7"/>
      <c r="Q46" s="1558">
        <f t="shared" si="14"/>
        <v>111</v>
      </c>
      <c r="R46" s="1559" t="s">
        <v>8</v>
      </c>
      <c r="S46" s="1560">
        <f t="shared" si="10"/>
        <v>100</v>
      </c>
      <c r="T46" s="1559" t="s">
        <v>8</v>
      </c>
      <c r="U46" s="1560">
        <f t="shared" si="11"/>
        <v>100</v>
      </c>
      <c r="V46" s="1559" t="s">
        <v>8</v>
      </c>
      <c r="W46" s="1560">
        <f t="shared" si="12"/>
        <v>100</v>
      </c>
      <c r="X46" s="1553"/>
      <c r="Y46" s="3417"/>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7"/>
      <c r="Q47" s="1558">
        <f t="shared" si="14"/>
        <v>111</v>
      </c>
      <c r="R47" s="1563" t="s">
        <v>8</v>
      </c>
      <c r="S47" s="1564">
        <f t="shared" si="10"/>
        <v>100</v>
      </c>
      <c r="T47" s="1563" t="s">
        <v>8</v>
      </c>
      <c r="U47" s="1564">
        <f t="shared" si="11"/>
        <v>100</v>
      </c>
      <c r="V47" s="1563" t="s">
        <v>8</v>
      </c>
      <c r="W47" s="1564">
        <f t="shared" si="12"/>
        <v>100</v>
      </c>
      <c r="X47" s="1565"/>
      <c r="Y47" s="3417"/>
      <c r="Z47" s="1566">
        <f t="shared" si="13"/>
        <v>111</v>
      </c>
      <c r="AA47" s="1562">
        <f t="shared" si="3"/>
        <v>1</v>
      </c>
      <c r="AB47" s="1562">
        <f t="shared" si="4"/>
        <v>1</v>
      </c>
      <c r="AC47" s="1562">
        <f t="shared" si="5"/>
        <v>1</v>
      </c>
    </row>
    <row r="48" spans="1:29" ht="20.25">
      <c r="A48" s="607" t="s">
        <v>556</v>
      </c>
      <c r="B48" s="608" t="s">
        <v>3036</v>
      </c>
      <c r="C48" s="609" t="s">
        <v>1</v>
      </c>
      <c r="D48" s="610"/>
      <c r="E48" s="611">
        <f>土地案例!R13</f>
        <v>6600</v>
      </c>
      <c r="F48" s="612"/>
      <c r="G48" s="613">
        <f>土地案例!R33</f>
        <v>9778</v>
      </c>
      <c r="H48" s="614"/>
      <c r="I48" s="611">
        <f>土地案例!R49</f>
        <v>6520</v>
      </c>
      <c r="J48" s="614"/>
      <c r="K48" s="1335"/>
      <c r="L48" s="2129"/>
      <c r="M48" s="2117"/>
      <c r="N48" s="2117"/>
      <c r="O48" s="2130"/>
      <c r="P48" s="3412" t="str">
        <f>A48</f>
        <v>成交单价</v>
      </c>
      <c r="Q48" s="3412"/>
      <c r="R48" s="3426">
        <f>E48</f>
        <v>6600</v>
      </c>
      <c r="S48" s="3426"/>
      <c r="T48" s="3426">
        <f>G48</f>
        <v>9778</v>
      </c>
      <c r="U48" s="3426"/>
      <c r="V48" s="3426">
        <f>I48</f>
        <v>6520</v>
      </c>
      <c r="W48" s="3426"/>
      <c r="X48" s="1545"/>
      <c r="Y48" s="1567"/>
      <c r="Z48" s="1545"/>
      <c r="AA48" s="1545"/>
      <c r="AB48" s="1545"/>
      <c r="AC48" s="1545"/>
    </row>
    <row r="49" spans="1:29" ht="21" thickBot="1">
      <c r="A49" s="615" t="s">
        <v>2686</v>
      </c>
      <c r="B49" s="616"/>
      <c r="C49" s="617">
        <f>R50</f>
        <v>9023</v>
      </c>
      <c r="D49" s="618"/>
      <c r="E49" s="617">
        <f>R49</f>
        <v>8068</v>
      </c>
      <c r="F49" s="619"/>
      <c r="G49" s="620">
        <f>T49</f>
        <v>11302</v>
      </c>
      <c r="H49" s="618"/>
      <c r="I49" s="617">
        <f>V49</f>
        <v>7700</v>
      </c>
      <c r="J49" s="618"/>
      <c r="K49" s="1336"/>
      <c r="L49" s="2129"/>
      <c r="M49" s="2117"/>
      <c r="N49" s="2117"/>
      <c r="O49" s="2130"/>
      <c r="P49" s="3412" t="str">
        <f>A49</f>
        <v>比较价格（元/平方米）</v>
      </c>
      <c r="Q49" s="3412"/>
      <c r="R49" s="3436">
        <f>ROUND(PRODUCT(R48,AA9:AA47),0)</f>
        <v>8068</v>
      </c>
      <c r="S49" s="3436"/>
      <c r="T49" s="3436">
        <f>ROUND(PRODUCT(T48,AB9:AB47),0)</f>
        <v>11302</v>
      </c>
      <c r="U49" s="3436"/>
      <c r="V49" s="3436">
        <f>ROUND(PRODUCT(V48,AC9:AC47),0)</f>
        <v>7700</v>
      </c>
      <c r="W49" s="3436"/>
      <c r="X49" s="1545"/>
      <c r="Y49" s="1545"/>
      <c r="Z49" s="1545"/>
      <c r="AA49" s="1545"/>
      <c r="AB49" s="1545"/>
      <c r="AC49" s="1545"/>
    </row>
    <row r="50" spans="1:29" ht="21" thickBot="1">
      <c r="A50" s="621" t="s">
        <v>2923</v>
      </c>
      <c r="B50" s="622"/>
      <c r="C50" s="623">
        <f>R50</f>
        <v>9023</v>
      </c>
      <c r="D50" s="623"/>
      <c r="E50" s="623"/>
      <c r="F50" s="623"/>
      <c r="G50" s="623"/>
      <c r="H50" s="623"/>
      <c r="I50" s="623"/>
      <c r="J50" s="623"/>
      <c r="K50" s="1337"/>
      <c r="L50" s="2129"/>
      <c r="M50" s="2117"/>
      <c r="N50" s="2117"/>
      <c r="O50" s="2130"/>
      <c r="P50" s="3433" t="str">
        <f>A50</f>
        <v>估价对象XX用房的比较价格（楼面单价，元/平方米）</v>
      </c>
      <c r="Q50" s="3434"/>
      <c r="R50" s="3435">
        <f>ROUND(AVERAGE(R49:V49),0)</f>
        <v>9023</v>
      </c>
      <c r="S50" s="3435"/>
      <c r="T50" s="3435"/>
      <c r="U50" s="3435"/>
      <c r="V50" s="3435"/>
      <c r="W50" s="343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0.22242424242424241</v>
      </c>
      <c r="F53" s="627" t="str">
        <f>IF(OR(E53&gt;=0.3,E53&lt;=-0.3),"超过30%","")</f>
        <v/>
      </c>
      <c r="G53" s="626">
        <f>IF(G48&lt;G49,G49/G48-1,G48/G49-1)</f>
        <v>0.15586009408877066</v>
      </c>
      <c r="H53" s="627" t="str">
        <f>IF(OR(G53&gt;=0.3,G53&lt;=-0.3),"超过30%","")</f>
        <v/>
      </c>
      <c r="I53" s="626">
        <f>IF(I48&lt;I49,I49/I48-1,I48/I49-1)</f>
        <v>0.18098159509202461</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0.40084283589489345</v>
      </c>
      <c r="F54" s="627" t="str">
        <f>IF(OR(E54&gt;=0.2,E54&lt;=-0.2),"超过20%","")</f>
        <v>超过20%</v>
      </c>
      <c r="G54" s="626">
        <f>IF(G49&lt;I49,I49/G49-1,G49/I49-1)</f>
        <v>0.46779220779220787</v>
      </c>
      <c r="H54" s="627" t="str">
        <f>IF(OR(G54&gt;=0.2,G54&lt;=-0.2),"超过20%","")</f>
        <v>超过20%</v>
      </c>
      <c r="I54" s="626">
        <f>IF(I49&lt;E49,E49/I49-1,I49/E49-1)</f>
        <v>4.7792207792207719E-2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0.48151515151515145</v>
      </c>
      <c r="F55" s="627" t="str">
        <f>IF(OR(E55&gt;=0.3,E55&lt;=-0.3),"超过30%","")</f>
        <v>超过30%</v>
      </c>
      <c r="G55" s="626">
        <f>IF(G48&lt;I48,I48/G48-1,G48/I48-1)</f>
        <v>0.49969325153374222</v>
      </c>
      <c r="H55" s="627" t="str">
        <f>IF(OR(G55&gt;=0.3,G55&lt;=-0.3),"超过30%","")</f>
        <v>超过30%</v>
      </c>
      <c r="I55" s="626">
        <f>IF(I48&lt;E48,E48/I48-1,I48/E48-1)</f>
        <v>1.2269938650306678E-2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2287</v>
      </c>
      <c r="E57" s="631" t="s">
        <v>562</v>
      </c>
      <c r="F57" s="632" t="s">
        <v>563</v>
      </c>
      <c r="G57" s="3396" t="s">
        <v>2275</v>
      </c>
      <c r="H57" s="3397"/>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9023</v>
      </c>
      <c r="C58" s="635">
        <v>1</v>
      </c>
      <c r="D58" s="2213">
        <v>1</v>
      </c>
      <c r="E58" s="635">
        <f>'数据-汇总表'!E8+'数据-汇总表'!E9</f>
        <v>43687.839999999997</v>
      </c>
      <c r="F58" s="636">
        <f t="shared" ref="F58:F67" si="15">ROUND(B58*E58/10000,0)</f>
        <v>39420</v>
      </c>
      <c r="G58" s="3398"/>
      <c r="H58" s="3399"/>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00" t="s">
        <v>2276</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00"/>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00"/>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00"/>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2322</v>
      </c>
      <c r="B63" s="638">
        <f t="shared" si="17"/>
        <v>0</v>
      </c>
      <c r="C63" s="378">
        <f t="shared" si="16"/>
        <v>0</v>
      </c>
      <c r="D63" s="2214">
        <v>0.25</v>
      </c>
      <c r="E63" s="641">
        <f>'数据-汇总表'!E11</f>
        <v>0</v>
      </c>
      <c r="F63" s="636">
        <f t="shared" si="15"/>
        <v>0</v>
      </c>
      <c r="G63" s="1930" t="s">
        <v>2277</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19236.86</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2276</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2277</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2288</v>
      </c>
      <c r="E68" s="643">
        <f>IF(B48="楼面地价",SUM(E58:E67),'数据-汇总表'!D3)</f>
        <v>62924.7</v>
      </c>
      <c r="F68" s="644">
        <f>IF(B48="楼面地价",SUM(F58:F67),ROUND(C50*E68/10000,0))</f>
        <v>39420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2020-6-1</v>
      </c>
      <c r="D70" s="2754">
        <f>EDATE(C70,-3)</f>
        <v>43891</v>
      </c>
      <c r="E70" s="2754">
        <f t="shared" ref="E70:N70" si="18">EDATE(D70,-3)</f>
        <v>43800</v>
      </c>
      <c r="F70" s="2754">
        <f t="shared" si="18"/>
        <v>43709</v>
      </c>
      <c r="G70" s="2754">
        <f t="shared" si="18"/>
        <v>43617</v>
      </c>
      <c r="H70" s="2754">
        <f t="shared" si="18"/>
        <v>43525</v>
      </c>
      <c r="I70" s="2754">
        <f t="shared" si="18"/>
        <v>43435</v>
      </c>
      <c r="J70" s="2754">
        <f t="shared" si="18"/>
        <v>43344</v>
      </c>
      <c r="K70" s="2754">
        <f t="shared" si="18"/>
        <v>43252</v>
      </c>
      <c r="L70" s="2754">
        <f t="shared" si="18"/>
        <v>43160</v>
      </c>
      <c r="M70" s="2754">
        <f t="shared" si="18"/>
        <v>43070</v>
      </c>
      <c r="N70" s="2754">
        <f t="shared" si="18"/>
        <v>42979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2526</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北京市平均增长率1.85%</v>
      </c>
      <c r="C73" s="894">
        <v>100</v>
      </c>
      <c r="D73" s="3220">
        <f>C73-$C$74</f>
        <v>99</v>
      </c>
      <c r="E73" s="3220">
        <f t="shared" ref="E73:N73" si="20">D73-$C$74</f>
        <v>98</v>
      </c>
      <c r="F73" s="3220">
        <f t="shared" si="20"/>
        <v>97</v>
      </c>
      <c r="G73" s="3220">
        <f t="shared" si="20"/>
        <v>96</v>
      </c>
      <c r="H73" s="3220">
        <f t="shared" si="20"/>
        <v>95</v>
      </c>
      <c r="I73" s="3220">
        <f t="shared" si="20"/>
        <v>94</v>
      </c>
      <c r="J73" s="3220">
        <f t="shared" si="20"/>
        <v>93</v>
      </c>
      <c r="K73" s="3220">
        <f t="shared" si="20"/>
        <v>92</v>
      </c>
      <c r="L73" s="3220">
        <f t="shared" si="20"/>
        <v>91</v>
      </c>
      <c r="M73" s="3220">
        <f t="shared" si="20"/>
        <v>90</v>
      </c>
      <c r="N73" s="3220">
        <f t="shared" si="2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v>1</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1" t="s">
        <v>3346</v>
      </c>
      <c r="D77" s="3191" t="s">
        <v>3347</v>
      </c>
      <c r="E77" s="3191" t="s">
        <v>3349</v>
      </c>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95</v>
      </c>
      <c r="E78" s="671">
        <v>90</v>
      </c>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3219" t="s">
        <v>3350</v>
      </c>
      <c r="D84" s="1371" t="s">
        <v>3351</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v>100</v>
      </c>
      <c r="D85" s="671">
        <v>95</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t="str">
        <f>B15</f>
        <v>自持</v>
      </c>
      <c r="C86" s="3219" t="s">
        <v>3350</v>
      </c>
      <c r="D86" s="3219" t="s">
        <v>3352</v>
      </c>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v>100</v>
      </c>
      <c r="D87" s="692">
        <v>95</v>
      </c>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t="str">
        <f>B16</f>
        <v>自持时间</v>
      </c>
      <c r="C88" s="661">
        <v>0</v>
      </c>
      <c r="D88" s="661">
        <v>5</v>
      </c>
      <c r="E88" s="661">
        <v>10</v>
      </c>
      <c r="F88" s="661">
        <v>20</v>
      </c>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v>100</v>
      </c>
      <c r="D89" s="700">
        <v>95</v>
      </c>
      <c r="E89" s="700">
        <v>90</v>
      </c>
      <c r="F89" s="700">
        <v>85</v>
      </c>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2542</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2544</v>
      </c>
      <c r="C104" s="2562" t="s">
        <v>2545</v>
      </c>
      <c r="D104" s="2562" t="s">
        <v>2546</v>
      </c>
      <c r="E104" s="2562" t="s">
        <v>2547</v>
      </c>
      <c r="F104" s="2562" t="s">
        <v>2548</v>
      </c>
      <c r="G104" s="2562" t="s">
        <v>2549</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37" t="str">
        <f t="shared" si="26"/>
        <v>(含)-</v>
      </c>
      <c r="K118" s="3037" t="str">
        <f t="shared" si="26"/>
        <v>(含)-</v>
      </c>
      <c r="L118" s="3038" t="str">
        <f t="shared" si="26"/>
        <v>(含)-</v>
      </c>
      <c r="M118" s="3039"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2419</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29" t="str">
        <f>项目基本情况!B1</f>
        <v>出让国有建设用地使用权抵押价格预评估</v>
      </c>
      <c r="C37" s="3229"/>
      <c r="D37" s="3229"/>
      <c r="E37" s="3229"/>
      <c r="F37" s="3229"/>
      <c r="G37" s="3229"/>
      <c r="H37" s="3229"/>
      <c r="I37" s="3229"/>
    </row>
    <row r="38" spans="1:9">
      <c r="A38" s="1641"/>
      <c r="B38" s="1641"/>
    </row>
    <row r="39" spans="1:9">
      <c r="A39" s="1639" t="s">
        <v>1899</v>
      </c>
      <c r="B39" s="1639" t="s">
        <v>2041</v>
      </c>
    </row>
    <row r="40" spans="1:9">
      <c r="A40" s="1639"/>
      <c r="B40" s="1639">
        <f>项目基本情况!B5</f>
        <v>0</v>
      </c>
    </row>
    <row r="41" spans="1:9">
      <c r="A41" s="1639"/>
      <c r="B41" s="1639"/>
    </row>
    <row r="42" spans="1:9">
      <c r="A42" s="1639" t="s">
        <v>1899</v>
      </c>
      <c r="B42" s="1639" t="s">
        <v>2042</v>
      </c>
    </row>
    <row r="43" spans="1:9">
      <c r="A43" s="1639"/>
      <c r="B43" s="1639" t="s">
        <v>1901</v>
      </c>
    </row>
    <row r="44" spans="1:9">
      <c r="A44" s="1639"/>
      <c r="B44" s="1639"/>
    </row>
    <row r="45" spans="1:9">
      <c r="A45" s="1639" t="s">
        <v>1899</v>
      </c>
      <c r="B45" s="1639" t="s">
        <v>2040</v>
      </c>
    </row>
    <row r="46" spans="1:9" s="1639" customFormat="1" ht="12.75">
      <c r="B46" s="1639" t="str">
        <f>项目基本情况!K4</f>
        <v>土地估价师、土地估价师</v>
      </c>
    </row>
    <row r="47" spans="1:9">
      <c r="A47" s="1639"/>
      <c r="B47" s="1639"/>
    </row>
    <row r="48" spans="1:9">
      <c r="A48" s="1639" t="s">
        <v>1899</v>
      </c>
      <c r="B48" s="1639" t="s">
        <v>2043</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89"/>
  <sheetViews>
    <sheetView topLeftCell="E1" workbookViewId="0">
      <selection activeCell="K96" sqref="K96"/>
    </sheetView>
  </sheetViews>
  <sheetFormatPr defaultRowHeight="12"/>
  <cols>
    <col min="1" max="1" width="58.375" style="3200" customWidth="1"/>
    <col min="2" max="2" width="6.25" style="3201" customWidth="1"/>
    <col min="3" max="5" width="13.875" style="3201" customWidth="1"/>
    <col min="6" max="6" width="15.25" style="3201" customWidth="1"/>
    <col min="7" max="7" width="10.75" style="3201" customWidth="1"/>
    <col min="8" max="8" width="7.875" style="3201" customWidth="1"/>
    <col min="9" max="9" width="50.875" style="3201" customWidth="1"/>
    <col min="10" max="10" width="12.75" style="3201" customWidth="1"/>
    <col min="11" max="11" width="12.875" style="3201" customWidth="1"/>
    <col min="12" max="13" width="10.625" style="3201" customWidth="1"/>
    <col min="14" max="14" width="14.375" style="3201" customWidth="1"/>
    <col min="15" max="15" width="6.25" style="3201" customWidth="1"/>
    <col min="16" max="16" width="41.5" style="3200" customWidth="1"/>
    <col min="17" max="17" width="7.875" style="3201" customWidth="1"/>
    <col min="18" max="257" width="9" style="3199"/>
    <col min="258" max="258" width="95.125" style="3199" customWidth="1"/>
    <col min="259" max="259" width="6.25" style="3199" customWidth="1"/>
    <col min="260" max="262" width="13.875" style="3199" customWidth="1"/>
    <col min="263" max="263" width="44" style="3199" customWidth="1"/>
    <col min="264" max="264" width="7.875" style="3199" customWidth="1"/>
    <col min="265" max="265" width="50.875" style="3199" customWidth="1"/>
    <col min="266" max="267" width="9" style="3199" customWidth="1"/>
    <col min="268" max="269" width="10.625" style="3199" customWidth="1"/>
    <col min="270" max="270" width="14.375" style="3199" customWidth="1"/>
    <col min="271" max="271" width="6.25" style="3199" customWidth="1"/>
    <col min="272" max="272" width="83.875" style="3199" customWidth="1"/>
    <col min="273" max="273" width="7.875" style="3199" customWidth="1"/>
    <col min="274" max="513" width="9" style="3199"/>
    <col min="514" max="514" width="95.125" style="3199" customWidth="1"/>
    <col min="515" max="515" width="6.25" style="3199" customWidth="1"/>
    <col min="516" max="518" width="13.875" style="3199" customWidth="1"/>
    <col min="519" max="519" width="44" style="3199" customWidth="1"/>
    <col min="520" max="520" width="7.875" style="3199" customWidth="1"/>
    <col min="521" max="521" width="50.875" style="3199" customWidth="1"/>
    <col min="522" max="523" width="9" style="3199" customWidth="1"/>
    <col min="524" max="525" width="10.625" style="3199" customWidth="1"/>
    <col min="526" max="526" width="14.375" style="3199" customWidth="1"/>
    <col min="527" max="527" width="6.25" style="3199" customWidth="1"/>
    <col min="528" max="528" width="83.875" style="3199" customWidth="1"/>
    <col min="529" max="529" width="7.875" style="3199" customWidth="1"/>
    <col min="530" max="769" width="9" style="3199"/>
    <col min="770" max="770" width="95.125" style="3199" customWidth="1"/>
    <col min="771" max="771" width="6.25" style="3199" customWidth="1"/>
    <col min="772" max="774" width="13.875" style="3199" customWidth="1"/>
    <col min="775" max="775" width="44" style="3199" customWidth="1"/>
    <col min="776" max="776" width="7.875" style="3199" customWidth="1"/>
    <col min="777" max="777" width="50.875" style="3199" customWidth="1"/>
    <col min="778" max="779" width="9" style="3199" customWidth="1"/>
    <col min="780" max="781" width="10.625" style="3199" customWidth="1"/>
    <col min="782" max="782" width="14.375" style="3199" customWidth="1"/>
    <col min="783" max="783" width="6.25" style="3199" customWidth="1"/>
    <col min="784" max="784" width="83.875" style="3199" customWidth="1"/>
    <col min="785" max="785" width="7.875" style="3199" customWidth="1"/>
    <col min="786" max="1025" width="9" style="3199"/>
    <col min="1026" max="1026" width="95.125" style="3199" customWidth="1"/>
    <col min="1027" max="1027" width="6.25" style="3199" customWidth="1"/>
    <col min="1028" max="1030" width="13.875" style="3199" customWidth="1"/>
    <col min="1031" max="1031" width="44" style="3199" customWidth="1"/>
    <col min="1032" max="1032" width="7.875" style="3199" customWidth="1"/>
    <col min="1033" max="1033" width="50.875" style="3199" customWidth="1"/>
    <col min="1034" max="1035" width="9" style="3199" customWidth="1"/>
    <col min="1036" max="1037" width="10.625" style="3199" customWidth="1"/>
    <col min="1038" max="1038" width="14.375" style="3199" customWidth="1"/>
    <col min="1039" max="1039" width="6.25" style="3199" customWidth="1"/>
    <col min="1040" max="1040" width="83.875" style="3199" customWidth="1"/>
    <col min="1041" max="1041" width="7.875" style="3199" customWidth="1"/>
    <col min="1042" max="1281" width="9" style="3199"/>
    <col min="1282" max="1282" width="95.125" style="3199" customWidth="1"/>
    <col min="1283" max="1283" width="6.25" style="3199" customWidth="1"/>
    <col min="1284" max="1286" width="13.875" style="3199" customWidth="1"/>
    <col min="1287" max="1287" width="44" style="3199" customWidth="1"/>
    <col min="1288" max="1288" width="7.875" style="3199" customWidth="1"/>
    <col min="1289" max="1289" width="50.875" style="3199" customWidth="1"/>
    <col min="1290" max="1291" width="9" style="3199" customWidth="1"/>
    <col min="1292" max="1293" width="10.625" style="3199" customWidth="1"/>
    <col min="1294" max="1294" width="14.375" style="3199" customWidth="1"/>
    <col min="1295" max="1295" width="6.25" style="3199" customWidth="1"/>
    <col min="1296" max="1296" width="83.875" style="3199" customWidth="1"/>
    <col min="1297" max="1297" width="7.875" style="3199" customWidth="1"/>
    <col min="1298" max="1537" width="9" style="3199"/>
    <col min="1538" max="1538" width="95.125" style="3199" customWidth="1"/>
    <col min="1539" max="1539" width="6.25" style="3199" customWidth="1"/>
    <col min="1540" max="1542" width="13.875" style="3199" customWidth="1"/>
    <col min="1543" max="1543" width="44" style="3199" customWidth="1"/>
    <col min="1544" max="1544" width="7.875" style="3199" customWidth="1"/>
    <col min="1545" max="1545" width="50.875" style="3199" customWidth="1"/>
    <col min="1546" max="1547" width="9" style="3199" customWidth="1"/>
    <col min="1548" max="1549" width="10.625" style="3199" customWidth="1"/>
    <col min="1550" max="1550" width="14.375" style="3199" customWidth="1"/>
    <col min="1551" max="1551" width="6.25" style="3199" customWidth="1"/>
    <col min="1552" max="1552" width="83.875" style="3199" customWidth="1"/>
    <col min="1553" max="1553" width="7.875" style="3199" customWidth="1"/>
    <col min="1554" max="1793" width="9" style="3199"/>
    <col min="1794" max="1794" width="95.125" style="3199" customWidth="1"/>
    <col min="1795" max="1795" width="6.25" style="3199" customWidth="1"/>
    <col min="1796" max="1798" width="13.875" style="3199" customWidth="1"/>
    <col min="1799" max="1799" width="44" style="3199" customWidth="1"/>
    <col min="1800" max="1800" width="7.875" style="3199" customWidth="1"/>
    <col min="1801" max="1801" width="50.875" style="3199" customWidth="1"/>
    <col min="1802" max="1803" width="9" style="3199" customWidth="1"/>
    <col min="1804" max="1805" width="10.625" style="3199" customWidth="1"/>
    <col min="1806" max="1806" width="14.375" style="3199" customWidth="1"/>
    <col min="1807" max="1807" width="6.25" style="3199" customWidth="1"/>
    <col min="1808" max="1808" width="83.875" style="3199" customWidth="1"/>
    <col min="1809" max="1809" width="7.875" style="3199" customWidth="1"/>
    <col min="1810" max="2049" width="9" style="3199"/>
    <col min="2050" max="2050" width="95.125" style="3199" customWidth="1"/>
    <col min="2051" max="2051" width="6.25" style="3199" customWidth="1"/>
    <col min="2052" max="2054" width="13.875" style="3199" customWidth="1"/>
    <col min="2055" max="2055" width="44" style="3199" customWidth="1"/>
    <col min="2056" max="2056" width="7.875" style="3199" customWidth="1"/>
    <col min="2057" max="2057" width="50.875" style="3199" customWidth="1"/>
    <col min="2058" max="2059" width="9" style="3199" customWidth="1"/>
    <col min="2060" max="2061" width="10.625" style="3199" customWidth="1"/>
    <col min="2062" max="2062" width="14.375" style="3199" customWidth="1"/>
    <col min="2063" max="2063" width="6.25" style="3199" customWidth="1"/>
    <col min="2064" max="2064" width="83.875" style="3199" customWidth="1"/>
    <col min="2065" max="2065" width="7.875" style="3199" customWidth="1"/>
    <col min="2066" max="2305" width="9" style="3199"/>
    <col min="2306" max="2306" width="95.125" style="3199" customWidth="1"/>
    <col min="2307" max="2307" width="6.25" style="3199" customWidth="1"/>
    <col min="2308" max="2310" width="13.875" style="3199" customWidth="1"/>
    <col min="2311" max="2311" width="44" style="3199" customWidth="1"/>
    <col min="2312" max="2312" width="7.875" style="3199" customWidth="1"/>
    <col min="2313" max="2313" width="50.875" style="3199" customWidth="1"/>
    <col min="2314" max="2315" width="9" style="3199" customWidth="1"/>
    <col min="2316" max="2317" width="10.625" style="3199" customWidth="1"/>
    <col min="2318" max="2318" width="14.375" style="3199" customWidth="1"/>
    <col min="2319" max="2319" width="6.25" style="3199" customWidth="1"/>
    <col min="2320" max="2320" width="83.875" style="3199" customWidth="1"/>
    <col min="2321" max="2321" width="7.875" style="3199" customWidth="1"/>
    <col min="2322" max="2561" width="9" style="3199"/>
    <col min="2562" max="2562" width="95.125" style="3199" customWidth="1"/>
    <col min="2563" max="2563" width="6.25" style="3199" customWidth="1"/>
    <col min="2564" max="2566" width="13.875" style="3199" customWidth="1"/>
    <col min="2567" max="2567" width="44" style="3199" customWidth="1"/>
    <col min="2568" max="2568" width="7.875" style="3199" customWidth="1"/>
    <col min="2569" max="2569" width="50.875" style="3199" customWidth="1"/>
    <col min="2570" max="2571" width="9" style="3199" customWidth="1"/>
    <col min="2572" max="2573" width="10.625" style="3199" customWidth="1"/>
    <col min="2574" max="2574" width="14.375" style="3199" customWidth="1"/>
    <col min="2575" max="2575" width="6.25" style="3199" customWidth="1"/>
    <col min="2576" max="2576" width="83.875" style="3199" customWidth="1"/>
    <col min="2577" max="2577" width="7.875" style="3199" customWidth="1"/>
    <col min="2578" max="2817" width="9" style="3199"/>
    <col min="2818" max="2818" width="95.125" style="3199" customWidth="1"/>
    <col min="2819" max="2819" width="6.25" style="3199" customWidth="1"/>
    <col min="2820" max="2822" width="13.875" style="3199" customWidth="1"/>
    <col min="2823" max="2823" width="44" style="3199" customWidth="1"/>
    <col min="2824" max="2824" width="7.875" style="3199" customWidth="1"/>
    <col min="2825" max="2825" width="50.875" style="3199" customWidth="1"/>
    <col min="2826" max="2827" width="9" style="3199" customWidth="1"/>
    <col min="2828" max="2829" width="10.625" style="3199" customWidth="1"/>
    <col min="2830" max="2830" width="14.375" style="3199" customWidth="1"/>
    <col min="2831" max="2831" width="6.25" style="3199" customWidth="1"/>
    <col min="2832" max="2832" width="83.875" style="3199" customWidth="1"/>
    <col min="2833" max="2833" width="7.875" style="3199" customWidth="1"/>
    <col min="2834" max="3073" width="9" style="3199"/>
    <col min="3074" max="3074" width="95.125" style="3199" customWidth="1"/>
    <col min="3075" max="3075" width="6.25" style="3199" customWidth="1"/>
    <col min="3076" max="3078" width="13.875" style="3199" customWidth="1"/>
    <col min="3079" max="3079" width="44" style="3199" customWidth="1"/>
    <col min="3080" max="3080" width="7.875" style="3199" customWidth="1"/>
    <col min="3081" max="3081" width="50.875" style="3199" customWidth="1"/>
    <col min="3082" max="3083" width="9" style="3199" customWidth="1"/>
    <col min="3084" max="3085" width="10.625" style="3199" customWidth="1"/>
    <col min="3086" max="3086" width="14.375" style="3199" customWidth="1"/>
    <col min="3087" max="3087" width="6.25" style="3199" customWidth="1"/>
    <col min="3088" max="3088" width="83.875" style="3199" customWidth="1"/>
    <col min="3089" max="3089" width="7.875" style="3199" customWidth="1"/>
    <col min="3090" max="3329" width="9" style="3199"/>
    <col min="3330" max="3330" width="95.125" style="3199" customWidth="1"/>
    <col min="3331" max="3331" width="6.25" style="3199" customWidth="1"/>
    <col min="3332" max="3334" width="13.875" style="3199" customWidth="1"/>
    <col min="3335" max="3335" width="44" style="3199" customWidth="1"/>
    <col min="3336" max="3336" width="7.875" style="3199" customWidth="1"/>
    <col min="3337" max="3337" width="50.875" style="3199" customWidth="1"/>
    <col min="3338" max="3339" width="9" style="3199" customWidth="1"/>
    <col min="3340" max="3341" width="10.625" style="3199" customWidth="1"/>
    <col min="3342" max="3342" width="14.375" style="3199" customWidth="1"/>
    <col min="3343" max="3343" width="6.25" style="3199" customWidth="1"/>
    <col min="3344" max="3344" width="83.875" style="3199" customWidth="1"/>
    <col min="3345" max="3345" width="7.875" style="3199" customWidth="1"/>
    <col min="3346" max="3585" width="9" style="3199"/>
    <col min="3586" max="3586" width="95.125" style="3199" customWidth="1"/>
    <col min="3587" max="3587" width="6.25" style="3199" customWidth="1"/>
    <col min="3588" max="3590" width="13.875" style="3199" customWidth="1"/>
    <col min="3591" max="3591" width="44" style="3199" customWidth="1"/>
    <col min="3592" max="3592" width="7.875" style="3199" customWidth="1"/>
    <col min="3593" max="3593" width="50.875" style="3199" customWidth="1"/>
    <col min="3594" max="3595" width="9" style="3199" customWidth="1"/>
    <col min="3596" max="3597" width="10.625" style="3199" customWidth="1"/>
    <col min="3598" max="3598" width="14.375" style="3199" customWidth="1"/>
    <col min="3599" max="3599" width="6.25" style="3199" customWidth="1"/>
    <col min="3600" max="3600" width="83.875" style="3199" customWidth="1"/>
    <col min="3601" max="3601" width="7.875" style="3199" customWidth="1"/>
    <col min="3602" max="3841" width="9" style="3199"/>
    <col min="3842" max="3842" width="95.125" style="3199" customWidth="1"/>
    <col min="3843" max="3843" width="6.25" style="3199" customWidth="1"/>
    <col min="3844" max="3846" width="13.875" style="3199" customWidth="1"/>
    <col min="3847" max="3847" width="44" style="3199" customWidth="1"/>
    <col min="3848" max="3848" width="7.875" style="3199" customWidth="1"/>
    <col min="3849" max="3849" width="50.875" style="3199" customWidth="1"/>
    <col min="3850" max="3851" width="9" style="3199" customWidth="1"/>
    <col min="3852" max="3853" width="10.625" style="3199" customWidth="1"/>
    <col min="3854" max="3854" width="14.375" style="3199" customWidth="1"/>
    <col min="3855" max="3855" width="6.25" style="3199" customWidth="1"/>
    <col min="3856" max="3856" width="83.875" style="3199" customWidth="1"/>
    <col min="3857" max="3857" width="7.875" style="3199" customWidth="1"/>
    <col min="3858" max="4097" width="9" style="3199"/>
    <col min="4098" max="4098" width="95.125" style="3199" customWidth="1"/>
    <col min="4099" max="4099" width="6.25" style="3199" customWidth="1"/>
    <col min="4100" max="4102" width="13.875" style="3199" customWidth="1"/>
    <col min="4103" max="4103" width="44" style="3199" customWidth="1"/>
    <col min="4104" max="4104" width="7.875" style="3199" customWidth="1"/>
    <col min="4105" max="4105" width="50.875" style="3199" customWidth="1"/>
    <col min="4106" max="4107" width="9" style="3199" customWidth="1"/>
    <col min="4108" max="4109" width="10.625" style="3199" customWidth="1"/>
    <col min="4110" max="4110" width="14.375" style="3199" customWidth="1"/>
    <col min="4111" max="4111" width="6.25" style="3199" customWidth="1"/>
    <col min="4112" max="4112" width="83.875" style="3199" customWidth="1"/>
    <col min="4113" max="4113" width="7.875" style="3199" customWidth="1"/>
    <col min="4114" max="4353" width="9" style="3199"/>
    <col min="4354" max="4354" width="95.125" style="3199" customWidth="1"/>
    <col min="4355" max="4355" width="6.25" style="3199" customWidth="1"/>
    <col min="4356" max="4358" width="13.875" style="3199" customWidth="1"/>
    <col min="4359" max="4359" width="44" style="3199" customWidth="1"/>
    <col min="4360" max="4360" width="7.875" style="3199" customWidth="1"/>
    <col min="4361" max="4361" width="50.875" style="3199" customWidth="1"/>
    <col min="4362" max="4363" width="9" style="3199" customWidth="1"/>
    <col min="4364" max="4365" width="10.625" style="3199" customWidth="1"/>
    <col min="4366" max="4366" width="14.375" style="3199" customWidth="1"/>
    <col min="4367" max="4367" width="6.25" style="3199" customWidth="1"/>
    <col min="4368" max="4368" width="83.875" style="3199" customWidth="1"/>
    <col min="4369" max="4369" width="7.875" style="3199" customWidth="1"/>
    <col min="4370" max="4609" width="9" style="3199"/>
    <col min="4610" max="4610" width="95.125" style="3199" customWidth="1"/>
    <col min="4611" max="4611" width="6.25" style="3199" customWidth="1"/>
    <col min="4612" max="4614" width="13.875" style="3199" customWidth="1"/>
    <col min="4615" max="4615" width="44" style="3199" customWidth="1"/>
    <col min="4616" max="4616" width="7.875" style="3199" customWidth="1"/>
    <col min="4617" max="4617" width="50.875" style="3199" customWidth="1"/>
    <col min="4618" max="4619" width="9" style="3199" customWidth="1"/>
    <col min="4620" max="4621" width="10.625" style="3199" customWidth="1"/>
    <col min="4622" max="4622" width="14.375" style="3199" customWidth="1"/>
    <col min="4623" max="4623" width="6.25" style="3199" customWidth="1"/>
    <col min="4624" max="4624" width="83.875" style="3199" customWidth="1"/>
    <col min="4625" max="4625" width="7.875" style="3199" customWidth="1"/>
    <col min="4626" max="4865" width="9" style="3199"/>
    <col min="4866" max="4866" width="95.125" style="3199" customWidth="1"/>
    <col min="4867" max="4867" width="6.25" style="3199" customWidth="1"/>
    <col min="4868" max="4870" width="13.875" style="3199" customWidth="1"/>
    <col min="4871" max="4871" width="44" style="3199" customWidth="1"/>
    <col min="4872" max="4872" width="7.875" style="3199" customWidth="1"/>
    <col min="4873" max="4873" width="50.875" style="3199" customWidth="1"/>
    <col min="4874" max="4875" width="9" style="3199" customWidth="1"/>
    <col min="4876" max="4877" width="10.625" style="3199" customWidth="1"/>
    <col min="4878" max="4878" width="14.375" style="3199" customWidth="1"/>
    <col min="4879" max="4879" width="6.25" style="3199" customWidth="1"/>
    <col min="4880" max="4880" width="83.875" style="3199" customWidth="1"/>
    <col min="4881" max="4881" width="7.875" style="3199" customWidth="1"/>
    <col min="4882" max="5121" width="9" style="3199"/>
    <col min="5122" max="5122" width="95.125" style="3199" customWidth="1"/>
    <col min="5123" max="5123" width="6.25" style="3199" customWidth="1"/>
    <col min="5124" max="5126" width="13.875" style="3199" customWidth="1"/>
    <col min="5127" max="5127" width="44" style="3199" customWidth="1"/>
    <col min="5128" max="5128" width="7.875" style="3199" customWidth="1"/>
    <col min="5129" max="5129" width="50.875" style="3199" customWidth="1"/>
    <col min="5130" max="5131" width="9" style="3199" customWidth="1"/>
    <col min="5132" max="5133" width="10.625" style="3199" customWidth="1"/>
    <col min="5134" max="5134" width="14.375" style="3199" customWidth="1"/>
    <col min="5135" max="5135" width="6.25" style="3199" customWidth="1"/>
    <col min="5136" max="5136" width="83.875" style="3199" customWidth="1"/>
    <col min="5137" max="5137" width="7.875" style="3199" customWidth="1"/>
    <col min="5138" max="5377" width="9" style="3199"/>
    <col min="5378" max="5378" width="95.125" style="3199" customWidth="1"/>
    <col min="5379" max="5379" width="6.25" style="3199" customWidth="1"/>
    <col min="5380" max="5382" width="13.875" style="3199" customWidth="1"/>
    <col min="5383" max="5383" width="44" style="3199" customWidth="1"/>
    <col min="5384" max="5384" width="7.875" style="3199" customWidth="1"/>
    <col min="5385" max="5385" width="50.875" style="3199" customWidth="1"/>
    <col min="5386" max="5387" width="9" style="3199" customWidth="1"/>
    <col min="5388" max="5389" width="10.625" style="3199" customWidth="1"/>
    <col min="5390" max="5390" width="14.375" style="3199" customWidth="1"/>
    <col min="5391" max="5391" width="6.25" style="3199" customWidth="1"/>
    <col min="5392" max="5392" width="83.875" style="3199" customWidth="1"/>
    <col min="5393" max="5393" width="7.875" style="3199" customWidth="1"/>
    <col min="5394" max="5633" width="9" style="3199"/>
    <col min="5634" max="5634" width="95.125" style="3199" customWidth="1"/>
    <col min="5635" max="5635" width="6.25" style="3199" customWidth="1"/>
    <col min="5636" max="5638" width="13.875" style="3199" customWidth="1"/>
    <col min="5639" max="5639" width="44" style="3199" customWidth="1"/>
    <col min="5640" max="5640" width="7.875" style="3199" customWidth="1"/>
    <col min="5641" max="5641" width="50.875" style="3199" customWidth="1"/>
    <col min="5642" max="5643" width="9" style="3199" customWidth="1"/>
    <col min="5644" max="5645" width="10.625" style="3199" customWidth="1"/>
    <col min="5646" max="5646" width="14.375" style="3199" customWidth="1"/>
    <col min="5647" max="5647" width="6.25" style="3199" customWidth="1"/>
    <col min="5648" max="5648" width="83.875" style="3199" customWidth="1"/>
    <col min="5649" max="5649" width="7.875" style="3199" customWidth="1"/>
    <col min="5650" max="5889" width="9" style="3199"/>
    <col min="5890" max="5890" width="95.125" style="3199" customWidth="1"/>
    <col min="5891" max="5891" width="6.25" style="3199" customWidth="1"/>
    <col min="5892" max="5894" width="13.875" style="3199" customWidth="1"/>
    <col min="5895" max="5895" width="44" style="3199" customWidth="1"/>
    <col min="5896" max="5896" width="7.875" style="3199" customWidth="1"/>
    <col min="5897" max="5897" width="50.875" style="3199" customWidth="1"/>
    <col min="5898" max="5899" width="9" style="3199" customWidth="1"/>
    <col min="5900" max="5901" width="10.625" style="3199" customWidth="1"/>
    <col min="5902" max="5902" width="14.375" style="3199" customWidth="1"/>
    <col min="5903" max="5903" width="6.25" style="3199" customWidth="1"/>
    <col min="5904" max="5904" width="83.875" style="3199" customWidth="1"/>
    <col min="5905" max="5905" width="7.875" style="3199" customWidth="1"/>
    <col min="5906" max="6145" width="9" style="3199"/>
    <col min="6146" max="6146" width="95.125" style="3199" customWidth="1"/>
    <col min="6147" max="6147" width="6.25" style="3199" customWidth="1"/>
    <col min="6148" max="6150" width="13.875" style="3199" customWidth="1"/>
    <col min="6151" max="6151" width="44" style="3199" customWidth="1"/>
    <col min="6152" max="6152" width="7.875" style="3199" customWidth="1"/>
    <col min="6153" max="6153" width="50.875" style="3199" customWidth="1"/>
    <col min="6154" max="6155" width="9" style="3199" customWidth="1"/>
    <col min="6156" max="6157" width="10.625" style="3199" customWidth="1"/>
    <col min="6158" max="6158" width="14.375" style="3199" customWidth="1"/>
    <col min="6159" max="6159" width="6.25" style="3199" customWidth="1"/>
    <col min="6160" max="6160" width="83.875" style="3199" customWidth="1"/>
    <col min="6161" max="6161" width="7.875" style="3199" customWidth="1"/>
    <col min="6162" max="6401" width="9" style="3199"/>
    <col min="6402" max="6402" width="95.125" style="3199" customWidth="1"/>
    <col min="6403" max="6403" width="6.25" style="3199" customWidth="1"/>
    <col min="6404" max="6406" width="13.875" style="3199" customWidth="1"/>
    <col min="6407" max="6407" width="44" style="3199" customWidth="1"/>
    <col min="6408" max="6408" width="7.875" style="3199" customWidth="1"/>
    <col min="6409" max="6409" width="50.875" style="3199" customWidth="1"/>
    <col min="6410" max="6411" width="9" style="3199" customWidth="1"/>
    <col min="6412" max="6413" width="10.625" style="3199" customWidth="1"/>
    <col min="6414" max="6414" width="14.375" style="3199" customWidth="1"/>
    <col min="6415" max="6415" width="6.25" style="3199" customWidth="1"/>
    <col min="6416" max="6416" width="83.875" style="3199" customWidth="1"/>
    <col min="6417" max="6417" width="7.875" style="3199" customWidth="1"/>
    <col min="6418" max="6657" width="9" style="3199"/>
    <col min="6658" max="6658" width="95.125" style="3199" customWidth="1"/>
    <col min="6659" max="6659" width="6.25" style="3199" customWidth="1"/>
    <col min="6660" max="6662" width="13.875" style="3199" customWidth="1"/>
    <col min="6663" max="6663" width="44" style="3199" customWidth="1"/>
    <col min="6664" max="6664" width="7.875" style="3199" customWidth="1"/>
    <col min="6665" max="6665" width="50.875" style="3199" customWidth="1"/>
    <col min="6666" max="6667" width="9" style="3199" customWidth="1"/>
    <col min="6668" max="6669" width="10.625" style="3199" customWidth="1"/>
    <col min="6670" max="6670" width="14.375" style="3199" customWidth="1"/>
    <col min="6671" max="6671" width="6.25" style="3199" customWidth="1"/>
    <col min="6672" max="6672" width="83.875" style="3199" customWidth="1"/>
    <col min="6673" max="6673" width="7.875" style="3199" customWidth="1"/>
    <col min="6674" max="6913" width="9" style="3199"/>
    <col min="6914" max="6914" width="95.125" style="3199" customWidth="1"/>
    <col min="6915" max="6915" width="6.25" style="3199" customWidth="1"/>
    <col min="6916" max="6918" width="13.875" style="3199" customWidth="1"/>
    <col min="6919" max="6919" width="44" style="3199" customWidth="1"/>
    <col min="6920" max="6920" width="7.875" style="3199" customWidth="1"/>
    <col min="6921" max="6921" width="50.875" style="3199" customWidth="1"/>
    <col min="6922" max="6923" width="9" style="3199" customWidth="1"/>
    <col min="6924" max="6925" width="10.625" style="3199" customWidth="1"/>
    <col min="6926" max="6926" width="14.375" style="3199" customWidth="1"/>
    <col min="6927" max="6927" width="6.25" style="3199" customWidth="1"/>
    <col min="6928" max="6928" width="83.875" style="3199" customWidth="1"/>
    <col min="6929" max="6929" width="7.875" style="3199" customWidth="1"/>
    <col min="6930" max="7169" width="9" style="3199"/>
    <col min="7170" max="7170" width="95.125" style="3199" customWidth="1"/>
    <col min="7171" max="7171" width="6.25" style="3199" customWidth="1"/>
    <col min="7172" max="7174" width="13.875" style="3199" customWidth="1"/>
    <col min="7175" max="7175" width="44" style="3199" customWidth="1"/>
    <col min="7176" max="7176" width="7.875" style="3199" customWidth="1"/>
    <col min="7177" max="7177" width="50.875" style="3199" customWidth="1"/>
    <col min="7178" max="7179" width="9" style="3199" customWidth="1"/>
    <col min="7180" max="7181" width="10.625" style="3199" customWidth="1"/>
    <col min="7182" max="7182" width="14.375" style="3199" customWidth="1"/>
    <col min="7183" max="7183" width="6.25" style="3199" customWidth="1"/>
    <col min="7184" max="7184" width="83.875" style="3199" customWidth="1"/>
    <col min="7185" max="7185" width="7.875" style="3199" customWidth="1"/>
    <col min="7186" max="7425" width="9" style="3199"/>
    <col min="7426" max="7426" width="95.125" style="3199" customWidth="1"/>
    <col min="7427" max="7427" width="6.25" style="3199" customWidth="1"/>
    <col min="7428" max="7430" width="13.875" style="3199" customWidth="1"/>
    <col min="7431" max="7431" width="44" style="3199" customWidth="1"/>
    <col min="7432" max="7432" width="7.875" style="3199" customWidth="1"/>
    <col min="7433" max="7433" width="50.875" style="3199" customWidth="1"/>
    <col min="7434" max="7435" width="9" style="3199" customWidth="1"/>
    <col min="7436" max="7437" width="10.625" style="3199" customWidth="1"/>
    <col min="7438" max="7438" width="14.375" style="3199" customWidth="1"/>
    <col min="7439" max="7439" width="6.25" style="3199" customWidth="1"/>
    <col min="7440" max="7440" width="83.875" style="3199" customWidth="1"/>
    <col min="7441" max="7441" width="7.875" style="3199" customWidth="1"/>
    <col min="7442" max="7681" width="9" style="3199"/>
    <col min="7682" max="7682" width="95.125" style="3199" customWidth="1"/>
    <col min="7683" max="7683" width="6.25" style="3199" customWidth="1"/>
    <col min="7684" max="7686" width="13.875" style="3199" customWidth="1"/>
    <col min="7687" max="7687" width="44" style="3199" customWidth="1"/>
    <col min="7688" max="7688" width="7.875" style="3199" customWidth="1"/>
    <col min="7689" max="7689" width="50.875" style="3199" customWidth="1"/>
    <col min="7690" max="7691" width="9" style="3199" customWidth="1"/>
    <col min="7692" max="7693" width="10.625" style="3199" customWidth="1"/>
    <col min="7694" max="7694" width="14.375" style="3199" customWidth="1"/>
    <col min="7695" max="7695" width="6.25" style="3199" customWidth="1"/>
    <col min="7696" max="7696" width="83.875" style="3199" customWidth="1"/>
    <col min="7697" max="7697" width="7.875" style="3199" customWidth="1"/>
    <col min="7698" max="7937" width="9" style="3199"/>
    <col min="7938" max="7938" width="95.125" style="3199" customWidth="1"/>
    <col min="7939" max="7939" width="6.25" style="3199" customWidth="1"/>
    <col min="7940" max="7942" width="13.875" style="3199" customWidth="1"/>
    <col min="7943" max="7943" width="44" style="3199" customWidth="1"/>
    <col min="7944" max="7944" width="7.875" style="3199" customWidth="1"/>
    <col min="7945" max="7945" width="50.875" style="3199" customWidth="1"/>
    <col min="7946" max="7947" width="9" style="3199" customWidth="1"/>
    <col min="7948" max="7949" width="10.625" style="3199" customWidth="1"/>
    <col min="7950" max="7950" width="14.375" style="3199" customWidth="1"/>
    <col min="7951" max="7951" width="6.25" style="3199" customWidth="1"/>
    <col min="7952" max="7952" width="83.875" style="3199" customWidth="1"/>
    <col min="7953" max="7953" width="7.875" style="3199" customWidth="1"/>
    <col min="7954" max="8193" width="9" style="3199"/>
    <col min="8194" max="8194" width="95.125" style="3199" customWidth="1"/>
    <col min="8195" max="8195" width="6.25" style="3199" customWidth="1"/>
    <col min="8196" max="8198" width="13.875" style="3199" customWidth="1"/>
    <col min="8199" max="8199" width="44" style="3199" customWidth="1"/>
    <col min="8200" max="8200" width="7.875" style="3199" customWidth="1"/>
    <col min="8201" max="8201" width="50.875" style="3199" customWidth="1"/>
    <col min="8202" max="8203" width="9" style="3199" customWidth="1"/>
    <col min="8204" max="8205" width="10.625" style="3199" customWidth="1"/>
    <col min="8206" max="8206" width="14.375" style="3199" customWidth="1"/>
    <col min="8207" max="8207" width="6.25" style="3199" customWidth="1"/>
    <col min="8208" max="8208" width="83.875" style="3199" customWidth="1"/>
    <col min="8209" max="8209" width="7.875" style="3199" customWidth="1"/>
    <col min="8210" max="8449" width="9" style="3199"/>
    <col min="8450" max="8450" width="95.125" style="3199" customWidth="1"/>
    <col min="8451" max="8451" width="6.25" style="3199" customWidth="1"/>
    <col min="8452" max="8454" width="13.875" style="3199" customWidth="1"/>
    <col min="8455" max="8455" width="44" style="3199" customWidth="1"/>
    <col min="8456" max="8456" width="7.875" style="3199" customWidth="1"/>
    <col min="8457" max="8457" width="50.875" style="3199" customWidth="1"/>
    <col min="8458" max="8459" width="9" style="3199" customWidth="1"/>
    <col min="8460" max="8461" width="10.625" style="3199" customWidth="1"/>
    <col min="8462" max="8462" width="14.375" style="3199" customWidth="1"/>
    <col min="8463" max="8463" width="6.25" style="3199" customWidth="1"/>
    <col min="8464" max="8464" width="83.875" style="3199" customWidth="1"/>
    <col min="8465" max="8465" width="7.875" style="3199" customWidth="1"/>
    <col min="8466" max="8705" width="9" style="3199"/>
    <col min="8706" max="8706" width="95.125" style="3199" customWidth="1"/>
    <col min="8707" max="8707" width="6.25" style="3199" customWidth="1"/>
    <col min="8708" max="8710" width="13.875" style="3199" customWidth="1"/>
    <col min="8711" max="8711" width="44" style="3199" customWidth="1"/>
    <col min="8712" max="8712" width="7.875" style="3199" customWidth="1"/>
    <col min="8713" max="8713" width="50.875" style="3199" customWidth="1"/>
    <col min="8714" max="8715" width="9" style="3199" customWidth="1"/>
    <col min="8716" max="8717" width="10.625" style="3199" customWidth="1"/>
    <col min="8718" max="8718" width="14.375" style="3199" customWidth="1"/>
    <col min="8719" max="8719" width="6.25" style="3199" customWidth="1"/>
    <col min="8720" max="8720" width="83.875" style="3199" customWidth="1"/>
    <col min="8721" max="8721" width="7.875" style="3199" customWidth="1"/>
    <col min="8722" max="8961" width="9" style="3199"/>
    <col min="8962" max="8962" width="95.125" style="3199" customWidth="1"/>
    <col min="8963" max="8963" width="6.25" style="3199" customWidth="1"/>
    <col min="8964" max="8966" width="13.875" style="3199" customWidth="1"/>
    <col min="8967" max="8967" width="44" style="3199" customWidth="1"/>
    <col min="8968" max="8968" width="7.875" style="3199" customWidth="1"/>
    <col min="8969" max="8969" width="50.875" style="3199" customWidth="1"/>
    <col min="8970" max="8971" width="9" style="3199" customWidth="1"/>
    <col min="8972" max="8973" width="10.625" style="3199" customWidth="1"/>
    <col min="8974" max="8974" width="14.375" style="3199" customWidth="1"/>
    <col min="8975" max="8975" width="6.25" style="3199" customWidth="1"/>
    <col min="8976" max="8976" width="83.875" style="3199" customWidth="1"/>
    <col min="8977" max="8977" width="7.875" style="3199" customWidth="1"/>
    <col min="8978" max="9217" width="9" style="3199"/>
    <col min="9218" max="9218" width="95.125" style="3199" customWidth="1"/>
    <col min="9219" max="9219" width="6.25" style="3199" customWidth="1"/>
    <col min="9220" max="9222" width="13.875" style="3199" customWidth="1"/>
    <col min="9223" max="9223" width="44" style="3199" customWidth="1"/>
    <col min="9224" max="9224" width="7.875" style="3199" customWidth="1"/>
    <col min="9225" max="9225" width="50.875" style="3199" customWidth="1"/>
    <col min="9226" max="9227" width="9" style="3199" customWidth="1"/>
    <col min="9228" max="9229" width="10.625" style="3199" customWidth="1"/>
    <col min="9230" max="9230" width="14.375" style="3199" customWidth="1"/>
    <col min="9231" max="9231" width="6.25" style="3199" customWidth="1"/>
    <col min="9232" max="9232" width="83.875" style="3199" customWidth="1"/>
    <col min="9233" max="9233" width="7.875" style="3199" customWidth="1"/>
    <col min="9234" max="9473" width="9" style="3199"/>
    <col min="9474" max="9474" width="95.125" style="3199" customWidth="1"/>
    <col min="9475" max="9475" width="6.25" style="3199" customWidth="1"/>
    <col min="9476" max="9478" width="13.875" style="3199" customWidth="1"/>
    <col min="9479" max="9479" width="44" style="3199" customWidth="1"/>
    <col min="9480" max="9480" width="7.875" style="3199" customWidth="1"/>
    <col min="9481" max="9481" width="50.875" style="3199" customWidth="1"/>
    <col min="9482" max="9483" width="9" style="3199" customWidth="1"/>
    <col min="9484" max="9485" width="10.625" style="3199" customWidth="1"/>
    <col min="9486" max="9486" width="14.375" style="3199" customWidth="1"/>
    <col min="9487" max="9487" width="6.25" style="3199" customWidth="1"/>
    <col min="9488" max="9488" width="83.875" style="3199" customWidth="1"/>
    <col min="9489" max="9489" width="7.875" style="3199" customWidth="1"/>
    <col min="9490" max="9729" width="9" style="3199"/>
    <col min="9730" max="9730" width="95.125" style="3199" customWidth="1"/>
    <col min="9731" max="9731" width="6.25" style="3199" customWidth="1"/>
    <col min="9732" max="9734" width="13.875" style="3199" customWidth="1"/>
    <col min="9735" max="9735" width="44" style="3199" customWidth="1"/>
    <col min="9736" max="9736" width="7.875" style="3199" customWidth="1"/>
    <col min="9737" max="9737" width="50.875" style="3199" customWidth="1"/>
    <col min="9738" max="9739" width="9" style="3199" customWidth="1"/>
    <col min="9740" max="9741" width="10.625" style="3199" customWidth="1"/>
    <col min="9742" max="9742" width="14.375" style="3199" customWidth="1"/>
    <col min="9743" max="9743" width="6.25" style="3199" customWidth="1"/>
    <col min="9744" max="9744" width="83.875" style="3199" customWidth="1"/>
    <col min="9745" max="9745" width="7.875" style="3199" customWidth="1"/>
    <col min="9746" max="9985" width="9" style="3199"/>
    <col min="9986" max="9986" width="95.125" style="3199" customWidth="1"/>
    <col min="9987" max="9987" width="6.25" style="3199" customWidth="1"/>
    <col min="9988" max="9990" width="13.875" style="3199" customWidth="1"/>
    <col min="9991" max="9991" width="44" style="3199" customWidth="1"/>
    <col min="9992" max="9992" width="7.875" style="3199" customWidth="1"/>
    <col min="9993" max="9993" width="50.875" style="3199" customWidth="1"/>
    <col min="9994" max="9995" width="9" style="3199" customWidth="1"/>
    <col min="9996" max="9997" width="10.625" style="3199" customWidth="1"/>
    <col min="9998" max="9998" width="14.375" style="3199" customWidth="1"/>
    <col min="9999" max="9999" width="6.25" style="3199" customWidth="1"/>
    <col min="10000" max="10000" width="83.875" style="3199" customWidth="1"/>
    <col min="10001" max="10001" width="7.875" style="3199" customWidth="1"/>
    <col min="10002" max="10241" width="9" style="3199"/>
    <col min="10242" max="10242" width="95.125" style="3199" customWidth="1"/>
    <col min="10243" max="10243" width="6.25" style="3199" customWidth="1"/>
    <col min="10244" max="10246" width="13.875" style="3199" customWidth="1"/>
    <col min="10247" max="10247" width="44" style="3199" customWidth="1"/>
    <col min="10248" max="10248" width="7.875" style="3199" customWidth="1"/>
    <col min="10249" max="10249" width="50.875" style="3199" customWidth="1"/>
    <col min="10250" max="10251" width="9" style="3199" customWidth="1"/>
    <col min="10252" max="10253" width="10.625" style="3199" customWidth="1"/>
    <col min="10254" max="10254" width="14.375" style="3199" customWidth="1"/>
    <col min="10255" max="10255" width="6.25" style="3199" customWidth="1"/>
    <col min="10256" max="10256" width="83.875" style="3199" customWidth="1"/>
    <col min="10257" max="10257" width="7.875" style="3199" customWidth="1"/>
    <col min="10258" max="10497" width="9" style="3199"/>
    <col min="10498" max="10498" width="95.125" style="3199" customWidth="1"/>
    <col min="10499" max="10499" width="6.25" style="3199" customWidth="1"/>
    <col min="10500" max="10502" width="13.875" style="3199" customWidth="1"/>
    <col min="10503" max="10503" width="44" style="3199" customWidth="1"/>
    <col min="10504" max="10504" width="7.875" style="3199" customWidth="1"/>
    <col min="10505" max="10505" width="50.875" style="3199" customWidth="1"/>
    <col min="10506" max="10507" width="9" style="3199" customWidth="1"/>
    <col min="10508" max="10509" width="10.625" style="3199" customWidth="1"/>
    <col min="10510" max="10510" width="14.375" style="3199" customWidth="1"/>
    <col min="10511" max="10511" width="6.25" style="3199" customWidth="1"/>
    <col min="10512" max="10512" width="83.875" style="3199" customWidth="1"/>
    <col min="10513" max="10513" width="7.875" style="3199" customWidth="1"/>
    <col min="10514" max="10753" width="9" style="3199"/>
    <col min="10754" max="10754" width="95.125" style="3199" customWidth="1"/>
    <col min="10755" max="10755" width="6.25" style="3199" customWidth="1"/>
    <col min="10756" max="10758" width="13.875" style="3199" customWidth="1"/>
    <col min="10759" max="10759" width="44" style="3199" customWidth="1"/>
    <col min="10760" max="10760" width="7.875" style="3199" customWidth="1"/>
    <col min="10761" max="10761" width="50.875" style="3199" customWidth="1"/>
    <col min="10762" max="10763" width="9" style="3199" customWidth="1"/>
    <col min="10764" max="10765" width="10.625" style="3199" customWidth="1"/>
    <col min="10766" max="10766" width="14.375" style="3199" customWidth="1"/>
    <col min="10767" max="10767" width="6.25" style="3199" customWidth="1"/>
    <col min="10768" max="10768" width="83.875" style="3199" customWidth="1"/>
    <col min="10769" max="10769" width="7.875" style="3199" customWidth="1"/>
    <col min="10770" max="11009" width="9" style="3199"/>
    <col min="11010" max="11010" width="95.125" style="3199" customWidth="1"/>
    <col min="11011" max="11011" width="6.25" style="3199" customWidth="1"/>
    <col min="11012" max="11014" width="13.875" style="3199" customWidth="1"/>
    <col min="11015" max="11015" width="44" style="3199" customWidth="1"/>
    <col min="11016" max="11016" width="7.875" style="3199" customWidth="1"/>
    <col min="11017" max="11017" width="50.875" style="3199" customWidth="1"/>
    <col min="11018" max="11019" width="9" style="3199" customWidth="1"/>
    <col min="11020" max="11021" width="10.625" style="3199" customWidth="1"/>
    <col min="11022" max="11022" width="14.375" style="3199" customWidth="1"/>
    <col min="11023" max="11023" width="6.25" style="3199" customWidth="1"/>
    <col min="11024" max="11024" width="83.875" style="3199" customWidth="1"/>
    <col min="11025" max="11025" width="7.875" style="3199" customWidth="1"/>
    <col min="11026" max="11265" width="9" style="3199"/>
    <col min="11266" max="11266" width="95.125" style="3199" customWidth="1"/>
    <col min="11267" max="11267" width="6.25" style="3199" customWidth="1"/>
    <col min="11268" max="11270" width="13.875" style="3199" customWidth="1"/>
    <col min="11271" max="11271" width="44" style="3199" customWidth="1"/>
    <col min="11272" max="11272" width="7.875" style="3199" customWidth="1"/>
    <col min="11273" max="11273" width="50.875" style="3199" customWidth="1"/>
    <col min="11274" max="11275" width="9" style="3199" customWidth="1"/>
    <col min="11276" max="11277" width="10.625" style="3199" customWidth="1"/>
    <col min="11278" max="11278" width="14.375" style="3199" customWidth="1"/>
    <col min="11279" max="11279" width="6.25" style="3199" customWidth="1"/>
    <col min="11280" max="11280" width="83.875" style="3199" customWidth="1"/>
    <col min="11281" max="11281" width="7.875" style="3199" customWidth="1"/>
    <col min="11282" max="11521" width="9" style="3199"/>
    <col min="11522" max="11522" width="95.125" style="3199" customWidth="1"/>
    <col min="11523" max="11523" width="6.25" style="3199" customWidth="1"/>
    <col min="11524" max="11526" width="13.875" style="3199" customWidth="1"/>
    <col min="11527" max="11527" width="44" style="3199" customWidth="1"/>
    <col min="11528" max="11528" width="7.875" style="3199" customWidth="1"/>
    <col min="11529" max="11529" width="50.875" style="3199" customWidth="1"/>
    <col min="11530" max="11531" width="9" style="3199" customWidth="1"/>
    <col min="11532" max="11533" width="10.625" style="3199" customWidth="1"/>
    <col min="11534" max="11534" width="14.375" style="3199" customWidth="1"/>
    <col min="11535" max="11535" width="6.25" style="3199" customWidth="1"/>
    <col min="11536" max="11536" width="83.875" style="3199" customWidth="1"/>
    <col min="11537" max="11537" width="7.875" style="3199" customWidth="1"/>
    <col min="11538" max="11777" width="9" style="3199"/>
    <col min="11778" max="11778" width="95.125" style="3199" customWidth="1"/>
    <col min="11779" max="11779" width="6.25" style="3199" customWidth="1"/>
    <col min="11780" max="11782" width="13.875" style="3199" customWidth="1"/>
    <col min="11783" max="11783" width="44" style="3199" customWidth="1"/>
    <col min="11784" max="11784" width="7.875" style="3199" customWidth="1"/>
    <col min="11785" max="11785" width="50.875" style="3199" customWidth="1"/>
    <col min="11786" max="11787" width="9" style="3199" customWidth="1"/>
    <col min="11788" max="11789" width="10.625" style="3199" customWidth="1"/>
    <col min="11790" max="11790" width="14.375" style="3199" customWidth="1"/>
    <col min="11791" max="11791" width="6.25" style="3199" customWidth="1"/>
    <col min="11792" max="11792" width="83.875" style="3199" customWidth="1"/>
    <col min="11793" max="11793" width="7.875" style="3199" customWidth="1"/>
    <col min="11794" max="12033" width="9" style="3199"/>
    <col min="12034" max="12034" width="95.125" style="3199" customWidth="1"/>
    <col min="12035" max="12035" width="6.25" style="3199" customWidth="1"/>
    <col min="12036" max="12038" width="13.875" style="3199" customWidth="1"/>
    <col min="12039" max="12039" width="44" style="3199" customWidth="1"/>
    <col min="12040" max="12040" width="7.875" style="3199" customWidth="1"/>
    <col min="12041" max="12041" width="50.875" style="3199" customWidth="1"/>
    <col min="12042" max="12043" width="9" style="3199" customWidth="1"/>
    <col min="12044" max="12045" width="10.625" style="3199" customWidth="1"/>
    <col min="12046" max="12046" width="14.375" style="3199" customWidth="1"/>
    <col min="12047" max="12047" width="6.25" style="3199" customWidth="1"/>
    <col min="12048" max="12048" width="83.875" style="3199" customWidth="1"/>
    <col min="12049" max="12049" width="7.875" style="3199" customWidth="1"/>
    <col min="12050" max="12289" width="9" style="3199"/>
    <col min="12290" max="12290" width="95.125" style="3199" customWidth="1"/>
    <col min="12291" max="12291" width="6.25" style="3199" customWidth="1"/>
    <col min="12292" max="12294" width="13.875" style="3199" customWidth="1"/>
    <col min="12295" max="12295" width="44" style="3199" customWidth="1"/>
    <col min="12296" max="12296" width="7.875" style="3199" customWidth="1"/>
    <col min="12297" max="12297" width="50.875" style="3199" customWidth="1"/>
    <col min="12298" max="12299" width="9" style="3199" customWidth="1"/>
    <col min="12300" max="12301" width="10.625" style="3199" customWidth="1"/>
    <col min="12302" max="12302" width="14.375" style="3199" customWidth="1"/>
    <col min="12303" max="12303" width="6.25" style="3199" customWidth="1"/>
    <col min="12304" max="12304" width="83.875" style="3199" customWidth="1"/>
    <col min="12305" max="12305" width="7.875" style="3199" customWidth="1"/>
    <col min="12306" max="12545" width="9" style="3199"/>
    <col min="12546" max="12546" width="95.125" style="3199" customWidth="1"/>
    <col min="12547" max="12547" width="6.25" style="3199" customWidth="1"/>
    <col min="12548" max="12550" width="13.875" style="3199" customWidth="1"/>
    <col min="12551" max="12551" width="44" style="3199" customWidth="1"/>
    <col min="12552" max="12552" width="7.875" style="3199" customWidth="1"/>
    <col min="12553" max="12553" width="50.875" style="3199" customWidth="1"/>
    <col min="12554" max="12555" width="9" style="3199" customWidth="1"/>
    <col min="12556" max="12557" width="10.625" style="3199" customWidth="1"/>
    <col min="12558" max="12558" width="14.375" style="3199" customWidth="1"/>
    <col min="12559" max="12559" width="6.25" style="3199" customWidth="1"/>
    <col min="12560" max="12560" width="83.875" style="3199" customWidth="1"/>
    <col min="12561" max="12561" width="7.875" style="3199" customWidth="1"/>
    <col min="12562" max="12801" width="9" style="3199"/>
    <col min="12802" max="12802" width="95.125" style="3199" customWidth="1"/>
    <col min="12803" max="12803" width="6.25" style="3199" customWidth="1"/>
    <col min="12804" max="12806" width="13.875" style="3199" customWidth="1"/>
    <col min="12807" max="12807" width="44" style="3199" customWidth="1"/>
    <col min="12808" max="12808" width="7.875" style="3199" customWidth="1"/>
    <col min="12809" max="12809" width="50.875" style="3199" customWidth="1"/>
    <col min="12810" max="12811" width="9" style="3199" customWidth="1"/>
    <col min="12812" max="12813" width="10.625" style="3199" customWidth="1"/>
    <col min="12814" max="12814" width="14.375" style="3199" customWidth="1"/>
    <col min="12815" max="12815" width="6.25" style="3199" customWidth="1"/>
    <col min="12816" max="12816" width="83.875" style="3199" customWidth="1"/>
    <col min="12817" max="12817" width="7.875" style="3199" customWidth="1"/>
    <col min="12818" max="13057" width="9" style="3199"/>
    <col min="13058" max="13058" width="95.125" style="3199" customWidth="1"/>
    <col min="13059" max="13059" width="6.25" style="3199" customWidth="1"/>
    <col min="13060" max="13062" width="13.875" style="3199" customWidth="1"/>
    <col min="13063" max="13063" width="44" style="3199" customWidth="1"/>
    <col min="13064" max="13064" width="7.875" style="3199" customWidth="1"/>
    <col min="13065" max="13065" width="50.875" style="3199" customWidth="1"/>
    <col min="13066" max="13067" width="9" style="3199" customWidth="1"/>
    <col min="13068" max="13069" width="10.625" style="3199" customWidth="1"/>
    <col min="13070" max="13070" width="14.375" style="3199" customWidth="1"/>
    <col min="13071" max="13071" width="6.25" style="3199" customWidth="1"/>
    <col min="13072" max="13072" width="83.875" style="3199" customWidth="1"/>
    <col min="13073" max="13073" width="7.875" style="3199" customWidth="1"/>
    <col min="13074" max="13313" width="9" style="3199"/>
    <col min="13314" max="13314" width="95.125" style="3199" customWidth="1"/>
    <col min="13315" max="13315" width="6.25" style="3199" customWidth="1"/>
    <col min="13316" max="13318" width="13.875" style="3199" customWidth="1"/>
    <col min="13319" max="13319" width="44" style="3199" customWidth="1"/>
    <col min="13320" max="13320" width="7.875" style="3199" customWidth="1"/>
    <col min="13321" max="13321" width="50.875" style="3199" customWidth="1"/>
    <col min="13322" max="13323" width="9" style="3199" customWidth="1"/>
    <col min="13324" max="13325" width="10.625" style="3199" customWidth="1"/>
    <col min="13326" max="13326" width="14.375" style="3199" customWidth="1"/>
    <col min="13327" max="13327" width="6.25" style="3199" customWidth="1"/>
    <col min="13328" max="13328" width="83.875" style="3199" customWidth="1"/>
    <col min="13329" max="13329" width="7.875" style="3199" customWidth="1"/>
    <col min="13330" max="13569" width="9" style="3199"/>
    <col min="13570" max="13570" width="95.125" style="3199" customWidth="1"/>
    <col min="13571" max="13571" width="6.25" style="3199" customWidth="1"/>
    <col min="13572" max="13574" width="13.875" style="3199" customWidth="1"/>
    <col min="13575" max="13575" width="44" style="3199" customWidth="1"/>
    <col min="13576" max="13576" width="7.875" style="3199" customWidth="1"/>
    <col min="13577" max="13577" width="50.875" style="3199" customWidth="1"/>
    <col min="13578" max="13579" width="9" style="3199" customWidth="1"/>
    <col min="13580" max="13581" width="10.625" style="3199" customWidth="1"/>
    <col min="13582" max="13582" width="14.375" style="3199" customWidth="1"/>
    <col min="13583" max="13583" width="6.25" style="3199" customWidth="1"/>
    <col min="13584" max="13584" width="83.875" style="3199" customWidth="1"/>
    <col min="13585" max="13585" width="7.875" style="3199" customWidth="1"/>
    <col min="13586" max="13825" width="9" style="3199"/>
    <col min="13826" max="13826" width="95.125" style="3199" customWidth="1"/>
    <col min="13827" max="13827" width="6.25" style="3199" customWidth="1"/>
    <col min="13828" max="13830" width="13.875" style="3199" customWidth="1"/>
    <col min="13831" max="13831" width="44" style="3199" customWidth="1"/>
    <col min="13832" max="13832" width="7.875" style="3199" customWidth="1"/>
    <col min="13833" max="13833" width="50.875" style="3199" customWidth="1"/>
    <col min="13834" max="13835" width="9" style="3199" customWidth="1"/>
    <col min="13836" max="13837" width="10.625" style="3199" customWidth="1"/>
    <col min="13838" max="13838" width="14.375" style="3199" customWidth="1"/>
    <col min="13839" max="13839" width="6.25" style="3199" customWidth="1"/>
    <col min="13840" max="13840" width="83.875" style="3199" customWidth="1"/>
    <col min="13841" max="13841" width="7.875" style="3199" customWidth="1"/>
    <col min="13842" max="14081" width="9" style="3199"/>
    <col min="14082" max="14082" width="95.125" style="3199" customWidth="1"/>
    <col min="14083" max="14083" width="6.25" style="3199" customWidth="1"/>
    <col min="14084" max="14086" width="13.875" style="3199" customWidth="1"/>
    <col min="14087" max="14087" width="44" style="3199" customWidth="1"/>
    <col min="14088" max="14088" width="7.875" style="3199" customWidth="1"/>
    <col min="14089" max="14089" width="50.875" style="3199" customWidth="1"/>
    <col min="14090" max="14091" width="9" style="3199" customWidth="1"/>
    <col min="14092" max="14093" width="10.625" style="3199" customWidth="1"/>
    <col min="14094" max="14094" width="14.375" style="3199" customWidth="1"/>
    <col min="14095" max="14095" width="6.25" style="3199" customWidth="1"/>
    <col min="14096" max="14096" width="83.875" style="3199" customWidth="1"/>
    <col min="14097" max="14097" width="7.875" style="3199" customWidth="1"/>
    <col min="14098" max="14337" width="9" style="3199"/>
    <col min="14338" max="14338" width="95.125" style="3199" customWidth="1"/>
    <col min="14339" max="14339" width="6.25" style="3199" customWidth="1"/>
    <col min="14340" max="14342" width="13.875" style="3199" customWidth="1"/>
    <col min="14343" max="14343" width="44" style="3199" customWidth="1"/>
    <col min="14344" max="14344" width="7.875" style="3199" customWidth="1"/>
    <col min="14345" max="14345" width="50.875" style="3199" customWidth="1"/>
    <col min="14346" max="14347" width="9" style="3199" customWidth="1"/>
    <col min="14348" max="14349" width="10.625" style="3199" customWidth="1"/>
    <col min="14350" max="14350" width="14.375" style="3199" customWidth="1"/>
    <col min="14351" max="14351" width="6.25" style="3199" customWidth="1"/>
    <col min="14352" max="14352" width="83.875" style="3199" customWidth="1"/>
    <col min="14353" max="14353" width="7.875" style="3199" customWidth="1"/>
    <col min="14354" max="14593" width="9" style="3199"/>
    <col min="14594" max="14594" width="95.125" style="3199" customWidth="1"/>
    <col min="14595" max="14595" width="6.25" style="3199" customWidth="1"/>
    <col min="14596" max="14598" width="13.875" style="3199" customWidth="1"/>
    <col min="14599" max="14599" width="44" style="3199" customWidth="1"/>
    <col min="14600" max="14600" width="7.875" style="3199" customWidth="1"/>
    <col min="14601" max="14601" width="50.875" style="3199" customWidth="1"/>
    <col min="14602" max="14603" width="9" style="3199" customWidth="1"/>
    <col min="14604" max="14605" width="10.625" style="3199" customWidth="1"/>
    <col min="14606" max="14606" width="14.375" style="3199" customWidth="1"/>
    <col min="14607" max="14607" width="6.25" style="3199" customWidth="1"/>
    <col min="14608" max="14608" width="83.875" style="3199" customWidth="1"/>
    <col min="14609" max="14609" width="7.875" style="3199" customWidth="1"/>
    <col min="14610" max="14849" width="9" style="3199"/>
    <col min="14850" max="14850" width="95.125" style="3199" customWidth="1"/>
    <col min="14851" max="14851" width="6.25" style="3199" customWidth="1"/>
    <col min="14852" max="14854" width="13.875" style="3199" customWidth="1"/>
    <col min="14855" max="14855" width="44" style="3199" customWidth="1"/>
    <col min="14856" max="14856" width="7.875" style="3199" customWidth="1"/>
    <col min="14857" max="14857" width="50.875" style="3199" customWidth="1"/>
    <col min="14858" max="14859" width="9" style="3199" customWidth="1"/>
    <col min="14860" max="14861" width="10.625" style="3199" customWidth="1"/>
    <col min="14862" max="14862" width="14.375" style="3199" customWidth="1"/>
    <col min="14863" max="14863" width="6.25" style="3199" customWidth="1"/>
    <col min="14864" max="14864" width="83.875" style="3199" customWidth="1"/>
    <col min="14865" max="14865" width="7.875" style="3199" customWidth="1"/>
    <col min="14866" max="15105" width="9" style="3199"/>
    <col min="15106" max="15106" width="95.125" style="3199" customWidth="1"/>
    <col min="15107" max="15107" width="6.25" style="3199" customWidth="1"/>
    <col min="15108" max="15110" width="13.875" style="3199" customWidth="1"/>
    <col min="15111" max="15111" width="44" style="3199" customWidth="1"/>
    <col min="15112" max="15112" width="7.875" style="3199" customWidth="1"/>
    <col min="15113" max="15113" width="50.875" style="3199" customWidth="1"/>
    <col min="15114" max="15115" width="9" style="3199" customWidth="1"/>
    <col min="15116" max="15117" width="10.625" style="3199" customWidth="1"/>
    <col min="15118" max="15118" width="14.375" style="3199" customWidth="1"/>
    <col min="15119" max="15119" width="6.25" style="3199" customWidth="1"/>
    <col min="15120" max="15120" width="83.875" style="3199" customWidth="1"/>
    <col min="15121" max="15121" width="7.875" style="3199" customWidth="1"/>
    <col min="15122" max="15361" width="9" style="3199"/>
    <col min="15362" max="15362" width="95.125" style="3199" customWidth="1"/>
    <col min="15363" max="15363" width="6.25" style="3199" customWidth="1"/>
    <col min="15364" max="15366" width="13.875" style="3199" customWidth="1"/>
    <col min="15367" max="15367" width="44" style="3199" customWidth="1"/>
    <col min="15368" max="15368" width="7.875" style="3199" customWidth="1"/>
    <col min="15369" max="15369" width="50.875" style="3199" customWidth="1"/>
    <col min="15370" max="15371" width="9" style="3199" customWidth="1"/>
    <col min="15372" max="15373" width="10.625" style="3199" customWidth="1"/>
    <col min="15374" max="15374" width="14.375" style="3199" customWidth="1"/>
    <col min="15375" max="15375" width="6.25" style="3199" customWidth="1"/>
    <col min="15376" max="15376" width="83.875" style="3199" customWidth="1"/>
    <col min="15377" max="15377" width="7.875" style="3199" customWidth="1"/>
    <col min="15378" max="15617" width="9" style="3199"/>
    <col min="15618" max="15618" width="95.125" style="3199" customWidth="1"/>
    <col min="15619" max="15619" width="6.25" style="3199" customWidth="1"/>
    <col min="15620" max="15622" width="13.875" style="3199" customWidth="1"/>
    <col min="15623" max="15623" width="44" style="3199" customWidth="1"/>
    <col min="15624" max="15624" width="7.875" style="3199" customWidth="1"/>
    <col min="15625" max="15625" width="50.875" style="3199" customWidth="1"/>
    <col min="15626" max="15627" width="9" style="3199" customWidth="1"/>
    <col min="15628" max="15629" width="10.625" style="3199" customWidth="1"/>
    <col min="15630" max="15630" width="14.375" style="3199" customWidth="1"/>
    <col min="15631" max="15631" width="6.25" style="3199" customWidth="1"/>
    <col min="15632" max="15632" width="83.875" style="3199" customWidth="1"/>
    <col min="15633" max="15633" width="7.875" style="3199" customWidth="1"/>
    <col min="15634" max="15873" width="9" style="3199"/>
    <col min="15874" max="15874" width="95.125" style="3199" customWidth="1"/>
    <col min="15875" max="15875" width="6.25" style="3199" customWidth="1"/>
    <col min="15876" max="15878" width="13.875" style="3199" customWidth="1"/>
    <col min="15879" max="15879" width="44" style="3199" customWidth="1"/>
    <col min="15880" max="15880" width="7.875" style="3199" customWidth="1"/>
    <col min="15881" max="15881" width="50.875" style="3199" customWidth="1"/>
    <col min="15882" max="15883" width="9" style="3199" customWidth="1"/>
    <col min="15884" max="15885" width="10.625" style="3199" customWidth="1"/>
    <col min="15886" max="15886" width="14.375" style="3199" customWidth="1"/>
    <col min="15887" max="15887" width="6.25" style="3199" customWidth="1"/>
    <col min="15888" max="15888" width="83.875" style="3199" customWidth="1"/>
    <col min="15889" max="15889" width="7.875" style="3199" customWidth="1"/>
    <col min="15890" max="16129" width="9" style="3199"/>
    <col min="16130" max="16130" width="95.125" style="3199" customWidth="1"/>
    <col min="16131" max="16131" width="6.25" style="3199" customWidth="1"/>
    <col min="16132" max="16134" width="13.875" style="3199" customWidth="1"/>
    <col min="16135" max="16135" width="44" style="3199" customWidth="1"/>
    <col min="16136" max="16136" width="7.875" style="3199" customWidth="1"/>
    <col min="16137" max="16137" width="50.875" style="3199" customWidth="1"/>
    <col min="16138" max="16139" width="9" style="3199" customWidth="1"/>
    <col min="16140" max="16141" width="10.625" style="3199" customWidth="1"/>
    <col min="16142" max="16142" width="14.375" style="3199" customWidth="1"/>
    <col min="16143" max="16143" width="6.25" style="3199" customWidth="1"/>
    <col min="16144" max="16144" width="83.875" style="3199" customWidth="1"/>
    <col min="16145" max="16145" width="7.875" style="3199" customWidth="1"/>
    <col min="16146" max="16384" width="9" style="3199"/>
  </cols>
  <sheetData>
    <row r="1" spans="1:19" s="3197" customFormat="1" ht="24">
      <c r="A1" s="3196" t="s">
        <v>3037</v>
      </c>
      <c r="B1" s="3196" t="s">
        <v>3038</v>
      </c>
      <c r="C1" s="3196" t="s">
        <v>3039</v>
      </c>
      <c r="D1" s="3196" t="s">
        <v>3040</v>
      </c>
      <c r="E1" s="3196" t="s">
        <v>3041</v>
      </c>
      <c r="F1" s="3196" t="s">
        <v>2027</v>
      </c>
      <c r="G1" s="3196" t="s">
        <v>3342</v>
      </c>
      <c r="H1" s="3196" t="s">
        <v>3042</v>
      </c>
      <c r="I1" s="3196" t="s">
        <v>3043</v>
      </c>
      <c r="J1" s="3196" t="s">
        <v>3044</v>
      </c>
      <c r="K1" s="3196" t="s">
        <v>3045</v>
      </c>
      <c r="L1" s="3196" t="s">
        <v>3046</v>
      </c>
      <c r="M1" s="3196" t="s">
        <v>3047</v>
      </c>
      <c r="N1" s="3196" t="s">
        <v>3048</v>
      </c>
      <c r="O1" s="3196" t="s">
        <v>3049</v>
      </c>
      <c r="P1" s="3196" t="s">
        <v>3050</v>
      </c>
      <c r="Q1" s="3196" t="s">
        <v>3051</v>
      </c>
    </row>
    <row r="2" spans="1:19" s="2894" customFormat="1" ht="13.5" hidden="1">
      <c r="A2" s="3193" t="s">
        <v>3052</v>
      </c>
      <c r="B2" s="3194" t="s">
        <v>3053</v>
      </c>
      <c r="C2" s="3194" t="s">
        <v>3054</v>
      </c>
      <c r="D2" s="3194">
        <v>33492</v>
      </c>
      <c r="E2" s="3194">
        <v>53308</v>
      </c>
      <c r="F2" s="3194" t="s">
        <v>3055</v>
      </c>
      <c r="G2" s="3194">
        <f>ROUND(E2/D2,2)</f>
        <v>1.59</v>
      </c>
      <c r="H2" s="3194" t="s">
        <v>3056</v>
      </c>
      <c r="I2" s="3194" t="s">
        <v>3057</v>
      </c>
      <c r="J2" s="3194" t="s">
        <v>3058</v>
      </c>
      <c r="K2" s="3194" t="s">
        <v>3058</v>
      </c>
      <c r="L2" s="3194">
        <v>25977</v>
      </c>
      <c r="M2" s="3194">
        <v>37600</v>
      </c>
      <c r="N2" s="3194">
        <v>7053.35</v>
      </c>
      <c r="O2" s="3194">
        <v>44.74</v>
      </c>
      <c r="P2" s="3194" t="s">
        <v>3059</v>
      </c>
      <c r="Q2" s="3194" t="s">
        <v>3060</v>
      </c>
    </row>
    <row r="3" spans="1:19" s="2894" customFormat="1" ht="27" hidden="1">
      <c r="A3" s="3193" t="s">
        <v>3061</v>
      </c>
      <c r="B3" s="3194" t="s">
        <v>3053</v>
      </c>
      <c r="C3" s="3194" t="s">
        <v>3054</v>
      </c>
      <c r="D3" s="3194">
        <v>177626.5</v>
      </c>
      <c r="E3" s="3194">
        <v>188180.85</v>
      </c>
      <c r="F3" s="3194" t="s">
        <v>3062</v>
      </c>
      <c r="G3" s="3194">
        <f t="shared" ref="G3:G66" si="0">ROUND(E3/D3,2)</f>
        <v>1.06</v>
      </c>
      <c r="H3" s="3194" t="s">
        <v>3063</v>
      </c>
      <c r="I3" s="3194" t="s">
        <v>3064</v>
      </c>
      <c r="J3" s="3194" t="s">
        <v>3065</v>
      </c>
      <c r="K3" s="3194" t="s">
        <v>3065</v>
      </c>
      <c r="L3" s="3194">
        <v>90327</v>
      </c>
      <c r="M3" s="3194">
        <v>90327</v>
      </c>
      <c r="N3" s="3194">
        <v>4800.01</v>
      </c>
      <c r="O3" s="3194">
        <v>0</v>
      </c>
      <c r="P3" s="3194" t="s">
        <v>3066</v>
      </c>
      <c r="Q3" s="3194" t="s">
        <v>3060</v>
      </c>
    </row>
    <row r="4" spans="1:19" s="2894" customFormat="1" ht="27" hidden="1">
      <c r="A4" s="3193" t="s">
        <v>3067</v>
      </c>
      <c r="B4" s="3194" t="s">
        <v>3053</v>
      </c>
      <c r="C4" s="3194" t="s">
        <v>3054</v>
      </c>
      <c r="D4" s="3194">
        <v>205389.6</v>
      </c>
      <c r="E4" s="3194">
        <v>225174.08</v>
      </c>
      <c r="F4" s="3194" t="s">
        <v>3068</v>
      </c>
      <c r="G4" s="3194">
        <f t="shared" si="0"/>
        <v>1.1000000000000001</v>
      </c>
      <c r="H4" s="3194" t="s">
        <v>3056</v>
      </c>
      <c r="I4" s="3194" t="s">
        <v>3069</v>
      </c>
      <c r="J4" s="3194" t="s">
        <v>3065</v>
      </c>
      <c r="K4" s="3194" t="s">
        <v>3065</v>
      </c>
      <c r="L4" s="3194">
        <v>108084</v>
      </c>
      <c r="M4" s="3194">
        <v>109000</v>
      </c>
      <c r="N4" s="3194">
        <v>4840.6899999999996</v>
      </c>
      <c r="O4" s="3194">
        <v>0.85</v>
      </c>
      <c r="P4" s="3194" t="s">
        <v>3070</v>
      </c>
      <c r="Q4" s="3194" t="s">
        <v>3071</v>
      </c>
    </row>
    <row r="5" spans="1:19" s="2894" customFormat="1" ht="13.5" hidden="1">
      <c r="A5" s="3193" t="s">
        <v>3072</v>
      </c>
      <c r="B5" s="3194" t="s">
        <v>3053</v>
      </c>
      <c r="C5" s="3194" t="s">
        <v>3073</v>
      </c>
      <c r="D5" s="3194">
        <v>39360</v>
      </c>
      <c r="E5" s="3194">
        <v>59040</v>
      </c>
      <c r="F5" s="3194" t="s">
        <v>3074</v>
      </c>
      <c r="G5" s="3194">
        <f t="shared" si="0"/>
        <v>1.5</v>
      </c>
      <c r="H5" s="3194" t="s">
        <v>3056</v>
      </c>
      <c r="I5" s="3194" t="s">
        <v>3075</v>
      </c>
      <c r="J5" s="3194" t="s">
        <v>3076</v>
      </c>
      <c r="K5" s="3194" t="s">
        <v>3076</v>
      </c>
      <c r="L5" s="3194">
        <v>29166</v>
      </c>
      <c r="M5" s="3194">
        <v>34800</v>
      </c>
      <c r="N5" s="3194">
        <v>5894.31</v>
      </c>
      <c r="O5" s="3194">
        <v>19.32</v>
      </c>
      <c r="P5" s="3194" t="s">
        <v>3077</v>
      </c>
      <c r="Q5" s="3194" t="s">
        <v>3071</v>
      </c>
    </row>
    <row r="6" spans="1:19" s="2894" customFormat="1" ht="13.5" hidden="1">
      <c r="A6" s="3193" t="s">
        <v>3078</v>
      </c>
      <c r="B6" s="3194" t="s">
        <v>3053</v>
      </c>
      <c r="C6" s="3194" t="s">
        <v>3073</v>
      </c>
      <c r="D6" s="3194">
        <v>93451.8</v>
      </c>
      <c r="E6" s="3194">
        <v>115962.74</v>
      </c>
      <c r="F6" s="3194" t="s">
        <v>3079</v>
      </c>
      <c r="G6" s="3194">
        <f t="shared" si="0"/>
        <v>1.24</v>
      </c>
      <c r="H6" s="3194" t="s">
        <v>3056</v>
      </c>
      <c r="I6" s="3194" t="s">
        <v>3075</v>
      </c>
      <c r="J6" s="3194" t="s">
        <v>3080</v>
      </c>
      <c r="K6" s="3194" t="s">
        <v>3080</v>
      </c>
      <c r="L6" s="3194">
        <v>60301</v>
      </c>
      <c r="M6" s="3194">
        <v>65900</v>
      </c>
      <c r="N6" s="3194">
        <v>5682.85</v>
      </c>
      <c r="O6" s="3194">
        <v>9.2899999999999991</v>
      </c>
      <c r="P6" s="3194" t="s">
        <v>3081</v>
      </c>
      <c r="Q6" s="3194" t="s">
        <v>3082</v>
      </c>
    </row>
    <row r="7" spans="1:19" s="2894" customFormat="1" ht="13.5" hidden="1">
      <c r="A7" s="3193" t="s">
        <v>3083</v>
      </c>
      <c r="B7" s="3194" t="s">
        <v>3053</v>
      </c>
      <c r="C7" s="3194" t="s">
        <v>3073</v>
      </c>
      <c r="D7" s="3194">
        <v>99093.1</v>
      </c>
      <c r="E7" s="3194">
        <v>138135.29999999999</v>
      </c>
      <c r="F7" s="3194" t="s">
        <v>3084</v>
      </c>
      <c r="G7" s="3194">
        <f t="shared" si="0"/>
        <v>1.39</v>
      </c>
      <c r="H7" s="3194" t="s">
        <v>3056</v>
      </c>
      <c r="I7" s="3194" t="s">
        <v>3075</v>
      </c>
      <c r="J7" s="3194" t="s">
        <v>3080</v>
      </c>
      <c r="K7" s="3194" t="s">
        <v>3080</v>
      </c>
      <c r="L7" s="3194">
        <v>71831</v>
      </c>
      <c r="M7" s="3194">
        <v>80500</v>
      </c>
      <c r="N7" s="3194">
        <v>5827.61</v>
      </c>
      <c r="O7" s="3194">
        <v>12.07</v>
      </c>
      <c r="P7" s="3194" t="s">
        <v>3081</v>
      </c>
      <c r="Q7" s="3194" t="s">
        <v>3085</v>
      </c>
    </row>
    <row r="8" spans="1:19" s="2894" customFormat="1" ht="27" hidden="1">
      <c r="A8" s="3193" t="s">
        <v>3086</v>
      </c>
      <c r="B8" s="3194" t="s">
        <v>3053</v>
      </c>
      <c r="C8" s="3194" t="s">
        <v>3054</v>
      </c>
      <c r="D8" s="3194">
        <v>252301.7</v>
      </c>
      <c r="E8" s="3194">
        <v>378452.55</v>
      </c>
      <c r="F8" s="3194" t="s">
        <v>3087</v>
      </c>
      <c r="G8" s="3194">
        <f t="shared" si="0"/>
        <v>1.5</v>
      </c>
      <c r="H8" s="3194" t="s">
        <v>3056</v>
      </c>
      <c r="I8" s="3194" t="s">
        <v>3088</v>
      </c>
      <c r="J8" s="3194" t="s">
        <v>3089</v>
      </c>
      <c r="K8" s="3194" t="s">
        <v>3089</v>
      </c>
      <c r="L8" s="3194">
        <v>127540</v>
      </c>
      <c r="M8" s="3194">
        <v>167500</v>
      </c>
      <c r="N8" s="3194">
        <v>4425.92</v>
      </c>
      <c r="O8" s="3194">
        <v>31.33</v>
      </c>
      <c r="P8" s="3194" t="s">
        <v>3090</v>
      </c>
      <c r="Q8" s="3194" t="s">
        <v>3060</v>
      </c>
    </row>
    <row r="9" spans="1:19" s="2894" customFormat="1" ht="13.5" hidden="1">
      <c r="A9" s="3193" t="s">
        <v>3091</v>
      </c>
      <c r="B9" s="3194" t="s">
        <v>3053</v>
      </c>
      <c r="C9" s="3194" t="s">
        <v>3073</v>
      </c>
      <c r="D9" s="3194">
        <v>39636</v>
      </c>
      <c r="E9" s="3194">
        <v>59454</v>
      </c>
      <c r="F9" s="3194" t="s">
        <v>3087</v>
      </c>
      <c r="G9" s="3194">
        <f t="shared" si="0"/>
        <v>1.5</v>
      </c>
      <c r="H9" s="3194" t="s">
        <v>3056</v>
      </c>
      <c r="I9" s="3194" t="s">
        <v>3075</v>
      </c>
      <c r="J9" s="3194" t="s">
        <v>3092</v>
      </c>
      <c r="K9" s="3194" t="s">
        <v>3092</v>
      </c>
      <c r="L9" s="3194">
        <v>44551</v>
      </c>
      <c r="M9" s="3194">
        <v>59200</v>
      </c>
      <c r="N9" s="3194">
        <v>9957.2800000000007</v>
      </c>
      <c r="O9" s="3194">
        <v>32.880000000000003</v>
      </c>
      <c r="P9" s="3194" t="s">
        <v>3093</v>
      </c>
      <c r="Q9" s="3194" t="s">
        <v>3071</v>
      </c>
    </row>
    <row r="10" spans="1:19" s="2894" customFormat="1" ht="13.5" hidden="1">
      <c r="A10" s="3193" t="s">
        <v>3094</v>
      </c>
      <c r="B10" s="3194" t="s">
        <v>3053</v>
      </c>
      <c r="C10" s="3194" t="s">
        <v>3073</v>
      </c>
      <c r="D10" s="3194">
        <v>81114</v>
      </c>
      <c r="E10" s="3194">
        <v>162228</v>
      </c>
      <c r="F10" s="3194" t="s">
        <v>3095</v>
      </c>
      <c r="G10" s="3194">
        <f t="shared" si="0"/>
        <v>2</v>
      </c>
      <c r="H10" s="3194" t="s">
        <v>3056</v>
      </c>
      <c r="I10" s="3194" t="s">
        <v>3075</v>
      </c>
      <c r="J10" s="3194" t="s">
        <v>3092</v>
      </c>
      <c r="K10" s="3194" t="s">
        <v>3092</v>
      </c>
      <c r="L10" s="3194">
        <v>120049</v>
      </c>
      <c r="M10" s="3194">
        <v>150000</v>
      </c>
      <c r="N10" s="3194">
        <v>9246.25</v>
      </c>
      <c r="O10" s="3194">
        <v>24.95</v>
      </c>
      <c r="P10" s="3194" t="s">
        <v>3096</v>
      </c>
      <c r="Q10" s="3194" t="s">
        <v>3071</v>
      </c>
    </row>
    <row r="11" spans="1:19" s="2894" customFormat="1" ht="13.5" hidden="1">
      <c r="A11" s="3193" t="s">
        <v>3097</v>
      </c>
      <c r="B11" s="3194" t="s">
        <v>3053</v>
      </c>
      <c r="C11" s="3194" t="s">
        <v>3073</v>
      </c>
      <c r="D11" s="3194">
        <v>104284.4</v>
      </c>
      <c r="E11" s="3194">
        <v>132922.57</v>
      </c>
      <c r="F11" s="3194" t="s">
        <v>3098</v>
      </c>
      <c r="G11" s="3194">
        <f t="shared" si="0"/>
        <v>1.27</v>
      </c>
      <c r="H11" s="3194" t="s">
        <v>3056</v>
      </c>
      <c r="I11" s="3194" t="s">
        <v>3075</v>
      </c>
      <c r="J11" s="3194" t="s">
        <v>3099</v>
      </c>
      <c r="K11" s="3194" t="s">
        <v>3099</v>
      </c>
      <c r="L11" s="3194">
        <v>50016</v>
      </c>
      <c r="M11" s="3194">
        <v>60500</v>
      </c>
      <c r="N11" s="3194">
        <v>4551.5200000000004</v>
      </c>
      <c r="O11" s="3194">
        <v>20.96</v>
      </c>
      <c r="P11" s="3194" t="s">
        <v>3100</v>
      </c>
      <c r="Q11" s="3194" t="s">
        <v>3071</v>
      </c>
    </row>
    <row r="12" spans="1:19" s="2894" customFormat="1" ht="13.5" hidden="1">
      <c r="A12" s="3193" t="s">
        <v>3101</v>
      </c>
      <c r="B12" s="3194" t="s">
        <v>3053</v>
      </c>
      <c r="C12" s="3194" t="s">
        <v>3073</v>
      </c>
      <c r="D12" s="3194">
        <v>62425</v>
      </c>
      <c r="E12" s="3194">
        <v>124850</v>
      </c>
      <c r="F12" s="3194" t="s">
        <v>3095</v>
      </c>
      <c r="G12" s="3194">
        <f t="shared" si="0"/>
        <v>2</v>
      </c>
      <c r="H12" s="3194" t="s">
        <v>3063</v>
      </c>
      <c r="I12" s="3194" t="s">
        <v>3075</v>
      </c>
      <c r="J12" s="3194" t="s">
        <v>3102</v>
      </c>
      <c r="K12" s="3194" t="s">
        <v>3102</v>
      </c>
      <c r="L12" s="3194">
        <v>41950</v>
      </c>
      <c r="M12" s="3194">
        <v>41950</v>
      </c>
      <c r="N12" s="3194">
        <v>3360.03</v>
      </c>
      <c r="O12" s="3194">
        <v>0</v>
      </c>
      <c r="P12" s="3194" t="s">
        <v>3103</v>
      </c>
      <c r="Q12" s="3194" t="s">
        <v>3082</v>
      </c>
    </row>
    <row r="13" spans="1:19" s="3205" customFormat="1" ht="13.5">
      <c r="A13" s="3202" t="s">
        <v>3104</v>
      </c>
      <c r="B13" s="3203" t="s">
        <v>3053</v>
      </c>
      <c r="C13" s="3203" t="s">
        <v>3054</v>
      </c>
      <c r="D13" s="3203">
        <v>131121.9</v>
      </c>
      <c r="E13" s="3203">
        <v>205567.49</v>
      </c>
      <c r="F13" s="3203" t="s">
        <v>3105</v>
      </c>
      <c r="G13" s="3204">
        <f t="shared" si="0"/>
        <v>1.57</v>
      </c>
      <c r="H13" s="3203" t="s">
        <v>3056</v>
      </c>
      <c r="I13" s="3203" t="s">
        <v>3106</v>
      </c>
      <c r="J13" s="3203" t="s">
        <v>3107</v>
      </c>
      <c r="K13" s="3203" t="s">
        <v>3107</v>
      </c>
      <c r="L13" s="3203">
        <v>140262</v>
      </c>
      <c r="M13" s="3203">
        <v>145000</v>
      </c>
      <c r="N13" s="3203">
        <v>7053.64</v>
      </c>
      <c r="O13" s="3203">
        <v>3.38</v>
      </c>
      <c r="P13" s="3202" t="s">
        <v>3108</v>
      </c>
      <c r="Q13" s="3203" t="s">
        <v>3082</v>
      </c>
      <c r="R13" s="3205">
        <f>ROUND((M13+M14)/(E13+E14)*10000,0)</f>
        <v>6600</v>
      </c>
      <c r="S13" s="3205">
        <f>(E14+E13)/(D13+D14)</f>
        <v>1.8921688191451809</v>
      </c>
    </row>
    <row r="14" spans="1:19" s="3205" customFormat="1" ht="13.5">
      <c r="A14" s="3202" t="s">
        <v>3109</v>
      </c>
      <c r="B14" s="3203" t="s">
        <v>3053</v>
      </c>
      <c r="C14" s="3203" t="s">
        <v>3054</v>
      </c>
      <c r="D14" s="3203">
        <v>109097.3</v>
      </c>
      <c r="E14" s="3203">
        <v>248967.79</v>
      </c>
      <c r="F14" s="3203" t="s">
        <v>3110</v>
      </c>
      <c r="G14" s="3204">
        <f t="shared" si="0"/>
        <v>2.2799999999999998</v>
      </c>
      <c r="H14" s="3203" t="s">
        <v>3056</v>
      </c>
      <c r="I14" s="3203" t="s">
        <v>3106</v>
      </c>
      <c r="J14" s="3203" t="s">
        <v>3107</v>
      </c>
      <c r="K14" s="3203" t="s">
        <v>3107</v>
      </c>
      <c r="L14" s="3203">
        <v>148761</v>
      </c>
      <c r="M14" s="3203">
        <v>155000</v>
      </c>
      <c r="N14" s="3203">
        <v>6225.69</v>
      </c>
      <c r="O14" s="3203">
        <v>4.1900000000000004</v>
      </c>
      <c r="P14" s="3202" t="s">
        <v>3108</v>
      </c>
      <c r="Q14" s="3203" t="s">
        <v>3082</v>
      </c>
    </row>
    <row r="15" spans="1:19" s="2894" customFormat="1" ht="27" hidden="1">
      <c r="A15" s="3193" t="s">
        <v>3111</v>
      </c>
      <c r="B15" s="3194" t="s">
        <v>3053</v>
      </c>
      <c r="C15" s="3194" t="s">
        <v>3073</v>
      </c>
      <c r="D15" s="3194">
        <v>141958</v>
      </c>
      <c r="E15" s="3194">
        <v>197600</v>
      </c>
      <c r="F15" s="3194">
        <v>1.39</v>
      </c>
      <c r="G15" s="3194">
        <f t="shared" si="0"/>
        <v>1.39</v>
      </c>
      <c r="H15" s="3194" t="s">
        <v>3063</v>
      </c>
      <c r="I15" s="3194" t="s">
        <v>3075</v>
      </c>
      <c r="J15" s="3194" t="s">
        <v>3112</v>
      </c>
      <c r="K15" s="3194" t="s">
        <v>3112</v>
      </c>
      <c r="L15" s="3194">
        <v>168263</v>
      </c>
      <c r="M15" s="3194">
        <v>168263</v>
      </c>
      <c r="N15" s="3194">
        <v>8515.32</v>
      </c>
      <c r="O15" s="3194">
        <v>0</v>
      </c>
      <c r="P15" s="3194" t="s">
        <v>3113</v>
      </c>
      <c r="Q15" s="3194" t="s">
        <v>3060</v>
      </c>
    </row>
    <row r="16" spans="1:19" s="2894" customFormat="1" ht="27" hidden="1">
      <c r="A16" s="3193" t="s">
        <v>3114</v>
      </c>
      <c r="B16" s="3194" t="s">
        <v>3053</v>
      </c>
      <c r="C16" s="3194" t="s">
        <v>3054</v>
      </c>
      <c r="D16" s="3194">
        <v>64511</v>
      </c>
      <c r="E16" s="3194">
        <v>133067</v>
      </c>
      <c r="F16" s="3194" t="s">
        <v>3115</v>
      </c>
      <c r="G16" s="3194">
        <f t="shared" si="0"/>
        <v>2.06</v>
      </c>
      <c r="H16" s="3194" t="s">
        <v>3056</v>
      </c>
      <c r="I16" s="3194" t="s">
        <v>3057</v>
      </c>
      <c r="J16" s="3194" t="s">
        <v>3116</v>
      </c>
      <c r="K16" s="3194" t="s">
        <v>3116</v>
      </c>
      <c r="L16" s="3194">
        <v>107897</v>
      </c>
      <c r="M16" s="3194">
        <v>125000</v>
      </c>
      <c r="N16" s="3194">
        <v>9393.76</v>
      </c>
      <c r="O16" s="3194">
        <v>15.85</v>
      </c>
      <c r="P16" s="3194" t="s">
        <v>3117</v>
      </c>
      <c r="Q16" s="3194" t="s">
        <v>3071</v>
      </c>
    </row>
    <row r="17" spans="1:18" s="2894" customFormat="1" ht="13.5" hidden="1">
      <c r="A17" s="3193" t="s">
        <v>3118</v>
      </c>
      <c r="B17" s="3194" t="s">
        <v>3053</v>
      </c>
      <c r="C17" s="3194" t="s">
        <v>3073</v>
      </c>
      <c r="D17" s="3194">
        <v>81406</v>
      </c>
      <c r="E17" s="3194">
        <v>122109</v>
      </c>
      <c r="F17" s="3194" t="s">
        <v>3074</v>
      </c>
      <c r="G17" s="3194">
        <f t="shared" si="0"/>
        <v>1.5</v>
      </c>
      <c r="H17" s="3194" t="s">
        <v>3063</v>
      </c>
      <c r="I17" s="3194" t="s">
        <v>3075</v>
      </c>
      <c r="J17" s="3194" t="s">
        <v>3116</v>
      </c>
      <c r="K17" s="3194" t="s">
        <v>3116</v>
      </c>
      <c r="L17" s="3194">
        <v>105747</v>
      </c>
      <c r="M17" s="3194">
        <v>105747</v>
      </c>
      <c r="N17" s="3194">
        <v>8660.0400000000009</v>
      </c>
      <c r="O17" s="3194">
        <v>0</v>
      </c>
      <c r="P17" s="3194" t="s">
        <v>3119</v>
      </c>
      <c r="Q17" s="3194" t="s">
        <v>3060</v>
      </c>
    </row>
    <row r="18" spans="1:18" s="2894" customFormat="1" ht="27" hidden="1">
      <c r="A18" s="3193" t="s">
        <v>3120</v>
      </c>
      <c r="B18" s="3194" t="s">
        <v>3053</v>
      </c>
      <c r="C18" s="3194" t="s">
        <v>3054</v>
      </c>
      <c r="D18" s="3194">
        <v>70074</v>
      </c>
      <c r="E18" s="3194">
        <v>150062.5</v>
      </c>
      <c r="F18" s="3194" t="s">
        <v>3121</v>
      </c>
      <c r="G18" s="3194">
        <f t="shared" si="0"/>
        <v>2.14</v>
      </c>
      <c r="H18" s="3194" t="s">
        <v>3063</v>
      </c>
      <c r="I18" s="3194" t="s">
        <v>3057</v>
      </c>
      <c r="J18" s="3194" t="s">
        <v>3122</v>
      </c>
      <c r="K18" s="3194" t="s">
        <v>3122</v>
      </c>
      <c r="L18" s="3194">
        <v>73281</v>
      </c>
      <c r="M18" s="3194">
        <v>73281</v>
      </c>
      <c r="N18" s="3194">
        <v>4883.3599999999997</v>
      </c>
      <c r="O18" s="3194">
        <v>0</v>
      </c>
      <c r="P18" s="3194" t="s">
        <v>3123</v>
      </c>
      <c r="Q18" s="3194" t="s">
        <v>3060</v>
      </c>
    </row>
    <row r="19" spans="1:18" s="2894" customFormat="1" ht="13.5" hidden="1">
      <c r="A19" s="3193" t="s">
        <v>3124</v>
      </c>
      <c r="B19" s="3194" t="s">
        <v>3053</v>
      </c>
      <c r="C19" s="3194" t="s">
        <v>3073</v>
      </c>
      <c r="D19" s="3194">
        <v>63186</v>
      </c>
      <c r="E19" s="3194">
        <v>85761</v>
      </c>
      <c r="F19" s="3194" t="s">
        <v>3125</v>
      </c>
      <c r="G19" s="3194">
        <f t="shared" si="0"/>
        <v>1.36</v>
      </c>
      <c r="H19" s="3194" t="s">
        <v>3056</v>
      </c>
      <c r="I19" s="3194" t="s">
        <v>3075</v>
      </c>
      <c r="J19" s="3194" t="s">
        <v>3126</v>
      </c>
      <c r="K19" s="3194" t="s">
        <v>3126</v>
      </c>
      <c r="L19" s="3194">
        <v>77185</v>
      </c>
      <c r="M19" s="3194">
        <v>85500</v>
      </c>
      <c r="N19" s="3194">
        <v>9969.56</v>
      </c>
      <c r="O19" s="3194">
        <v>10.77</v>
      </c>
      <c r="P19" s="3194" t="s">
        <v>3127</v>
      </c>
      <c r="Q19" s="3194" t="s">
        <v>3060</v>
      </c>
    </row>
    <row r="20" spans="1:18" s="2894" customFormat="1" ht="27" hidden="1">
      <c r="A20" s="3193" t="s">
        <v>3128</v>
      </c>
      <c r="B20" s="3194" t="s">
        <v>3053</v>
      </c>
      <c r="C20" s="3194" t="s">
        <v>3073</v>
      </c>
      <c r="D20" s="3194">
        <v>73941</v>
      </c>
      <c r="E20" s="3194">
        <v>105860</v>
      </c>
      <c r="F20" s="3194" t="s">
        <v>3129</v>
      </c>
      <c r="G20" s="3194">
        <f t="shared" si="0"/>
        <v>1.43</v>
      </c>
      <c r="H20" s="3194" t="s">
        <v>3056</v>
      </c>
      <c r="I20" s="3194" t="s">
        <v>3075</v>
      </c>
      <c r="J20" s="3194" t="s">
        <v>3126</v>
      </c>
      <c r="K20" s="3194" t="s">
        <v>3126</v>
      </c>
      <c r="L20" s="3194">
        <v>95274</v>
      </c>
      <c r="M20" s="3194">
        <v>110500</v>
      </c>
      <c r="N20" s="3194">
        <v>10438.299999999999</v>
      </c>
      <c r="O20" s="3194">
        <v>15.98</v>
      </c>
      <c r="P20" s="3194" t="s">
        <v>3127</v>
      </c>
      <c r="Q20" s="3194" t="s">
        <v>3060</v>
      </c>
    </row>
    <row r="21" spans="1:18" s="2894" customFormat="1" ht="13.5" hidden="1">
      <c r="A21" s="3193" t="s">
        <v>3130</v>
      </c>
      <c r="B21" s="3194" t="s">
        <v>3053</v>
      </c>
      <c r="C21" s="3194" t="s">
        <v>3073</v>
      </c>
      <c r="D21" s="3194">
        <v>20880</v>
      </c>
      <c r="E21" s="3194">
        <v>40253.4</v>
      </c>
      <c r="F21" s="3194" t="s">
        <v>3131</v>
      </c>
      <c r="G21" s="3194">
        <f t="shared" si="0"/>
        <v>1.93</v>
      </c>
      <c r="H21" s="3194" t="s">
        <v>3056</v>
      </c>
      <c r="I21" s="3194" t="s">
        <v>3075</v>
      </c>
      <c r="J21" s="3194" t="s">
        <v>3132</v>
      </c>
      <c r="K21" s="3194" t="s">
        <v>3132</v>
      </c>
      <c r="L21" s="3194">
        <v>39025</v>
      </c>
      <c r="M21" s="3194">
        <v>53000</v>
      </c>
      <c r="N21" s="3194">
        <v>13166.59</v>
      </c>
      <c r="O21" s="3194">
        <v>35.81</v>
      </c>
      <c r="P21" s="3194" t="s">
        <v>3133</v>
      </c>
      <c r="Q21" s="3194" t="s">
        <v>3060</v>
      </c>
    </row>
    <row r="22" spans="1:18" s="2894" customFormat="1" ht="13.5" hidden="1">
      <c r="A22" s="3193" t="s">
        <v>3134</v>
      </c>
      <c r="B22" s="3194" t="s">
        <v>3053</v>
      </c>
      <c r="C22" s="3194" t="s">
        <v>3054</v>
      </c>
      <c r="D22" s="3194">
        <v>87856</v>
      </c>
      <c r="E22" s="3194">
        <v>195837</v>
      </c>
      <c r="F22" s="3194" t="s">
        <v>3135</v>
      </c>
      <c r="G22" s="3194">
        <f t="shared" si="0"/>
        <v>2.23</v>
      </c>
      <c r="H22" s="3194" t="s">
        <v>3063</v>
      </c>
      <c r="I22" s="3194" t="s">
        <v>3088</v>
      </c>
      <c r="J22" s="3194" t="s">
        <v>3136</v>
      </c>
      <c r="K22" s="3194" t="s">
        <v>3136</v>
      </c>
      <c r="L22" s="3194">
        <v>54936</v>
      </c>
      <c r="M22" s="3194">
        <v>54936</v>
      </c>
      <c r="N22" s="3194">
        <v>2805.19</v>
      </c>
      <c r="O22" s="3194">
        <v>0</v>
      </c>
      <c r="P22" s="3194" t="s">
        <v>3137</v>
      </c>
      <c r="Q22" s="3194" t="s">
        <v>3060</v>
      </c>
    </row>
    <row r="23" spans="1:18" s="2894" customFormat="1" ht="13.5" hidden="1">
      <c r="A23" s="3193" t="s">
        <v>3138</v>
      </c>
      <c r="B23" s="3194" t="s">
        <v>3053</v>
      </c>
      <c r="C23" s="3194" t="s">
        <v>3073</v>
      </c>
      <c r="D23" s="3194">
        <v>65531</v>
      </c>
      <c r="E23" s="3194">
        <v>98296.5</v>
      </c>
      <c r="F23" s="3194" t="s">
        <v>3074</v>
      </c>
      <c r="G23" s="3194">
        <f t="shared" si="0"/>
        <v>1.5</v>
      </c>
      <c r="H23" s="3194" t="s">
        <v>3056</v>
      </c>
      <c r="I23" s="3194" t="s">
        <v>3075</v>
      </c>
      <c r="J23" s="3194" t="s">
        <v>3139</v>
      </c>
      <c r="K23" s="3194" t="s">
        <v>3139</v>
      </c>
      <c r="L23" s="3194">
        <v>57012</v>
      </c>
      <c r="M23" s="3194">
        <v>61500</v>
      </c>
      <c r="N23" s="3194">
        <v>6256.57</v>
      </c>
      <c r="O23" s="3194">
        <v>7.87</v>
      </c>
      <c r="P23" s="3194" t="s">
        <v>3140</v>
      </c>
      <c r="Q23" s="3194" t="s">
        <v>3082</v>
      </c>
    </row>
    <row r="24" spans="1:18" s="2894" customFormat="1" ht="27" hidden="1">
      <c r="A24" s="3193" t="s">
        <v>3141</v>
      </c>
      <c r="B24" s="3194" t="s">
        <v>3053</v>
      </c>
      <c r="C24" s="3194" t="s">
        <v>3054</v>
      </c>
      <c r="D24" s="3194">
        <v>150079</v>
      </c>
      <c r="E24" s="3194">
        <v>250279.5</v>
      </c>
      <c r="F24" s="3194" t="s">
        <v>3142</v>
      </c>
      <c r="G24" s="3194">
        <f t="shared" si="0"/>
        <v>1.67</v>
      </c>
      <c r="H24" s="3194" t="s">
        <v>3056</v>
      </c>
      <c r="I24" s="3194" t="s">
        <v>3057</v>
      </c>
      <c r="J24" s="3194" t="s">
        <v>3143</v>
      </c>
      <c r="K24" s="3194" t="s">
        <v>3143</v>
      </c>
      <c r="L24" s="3194">
        <v>69106</v>
      </c>
      <c r="M24" s="3194">
        <v>69500</v>
      </c>
      <c r="N24" s="3194">
        <v>2776.9</v>
      </c>
      <c r="O24" s="3194">
        <v>0.56999999999999995</v>
      </c>
      <c r="P24" s="3194" t="s">
        <v>3137</v>
      </c>
      <c r="Q24" s="3194" t="s">
        <v>3060</v>
      </c>
    </row>
    <row r="25" spans="1:18" s="3213" customFormat="1" ht="13.5">
      <c r="A25" s="3210" t="s">
        <v>3144</v>
      </c>
      <c r="B25" s="3211" t="s">
        <v>3053</v>
      </c>
      <c r="C25" s="3211" t="s">
        <v>3073</v>
      </c>
      <c r="D25" s="3211">
        <v>103485</v>
      </c>
      <c r="E25" s="3211">
        <v>155227.5</v>
      </c>
      <c r="F25" s="3211" t="s">
        <v>3074</v>
      </c>
      <c r="G25" s="3212">
        <f t="shared" si="0"/>
        <v>1.5</v>
      </c>
      <c r="H25" s="3211" t="s">
        <v>3063</v>
      </c>
      <c r="I25" s="3211" t="s">
        <v>3075</v>
      </c>
      <c r="J25" s="3211" t="s">
        <v>3145</v>
      </c>
      <c r="K25" s="3211" t="s">
        <v>3145</v>
      </c>
      <c r="L25" s="3211">
        <v>121078</v>
      </c>
      <c r="M25" s="3211">
        <v>121078</v>
      </c>
      <c r="N25" s="3211">
        <v>7800.03</v>
      </c>
      <c r="O25" s="3211">
        <v>0</v>
      </c>
      <c r="P25" s="3210" t="s">
        <v>3146</v>
      </c>
      <c r="Q25" s="3211" t="s">
        <v>3082</v>
      </c>
      <c r="R25" s="3213">
        <f>ROUND((M25+M26+M27+M28)/(E25+E26+E27+E28)*10000,0)</f>
        <v>7906</v>
      </c>
    </row>
    <row r="26" spans="1:18" s="3213" customFormat="1" ht="13.5">
      <c r="A26" s="3210" t="s">
        <v>3147</v>
      </c>
      <c r="B26" s="3211" t="s">
        <v>3053</v>
      </c>
      <c r="C26" s="3211" t="s">
        <v>3073</v>
      </c>
      <c r="D26" s="3211">
        <v>84524</v>
      </c>
      <c r="E26" s="3211">
        <v>126786</v>
      </c>
      <c r="F26" s="3211" t="s">
        <v>3074</v>
      </c>
      <c r="G26" s="3212">
        <f t="shared" si="0"/>
        <v>1.5</v>
      </c>
      <c r="H26" s="3211" t="s">
        <v>3063</v>
      </c>
      <c r="I26" s="3211" t="s">
        <v>3075</v>
      </c>
      <c r="J26" s="3211" t="s">
        <v>3145</v>
      </c>
      <c r="K26" s="3211" t="s">
        <v>3145</v>
      </c>
      <c r="L26" s="3211">
        <v>98894</v>
      </c>
      <c r="M26" s="3211">
        <v>98894</v>
      </c>
      <c r="N26" s="3211">
        <v>7800.06</v>
      </c>
      <c r="O26" s="3211">
        <v>0</v>
      </c>
      <c r="P26" s="3210" t="s">
        <v>3146</v>
      </c>
      <c r="Q26" s="3211" t="s">
        <v>3082</v>
      </c>
    </row>
    <row r="27" spans="1:18" s="3213" customFormat="1" ht="13.5">
      <c r="A27" s="3210" t="s">
        <v>3148</v>
      </c>
      <c r="B27" s="3211" t="s">
        <v>3053</v>
      </c>
      <c r="C27" s="3211" t="s">
        <v>3073</v>
      </c>
      <c r="D27" s="3211">
        <v>80289.5</v>
      </c>
      <c r="E27" s="3211">
        <v>120434.3</v>
      </c>
      <c r="F27" s="3211" t="s">
        <v>3074</v>
      </c>
      <c r="G27" s="3212">
        <f t="shared" si="0"/>
        <v>1.5</v>
      </c>
      <c r="H27" s="3211" t="s">
        <v>3056</v>
      </c>
      <c r="I27" s="3211" t="s">
        <v>3075</v>
      </c>
      <c r="J27" s="3211" t="s">
        <v>3149</v>
      </c>
      <c r="K27" s="3211" t="s">
        <v>3149</v>
      </c>
      <c r="L27" s="3211">
        <v>96348</v>
      </c>
      <c r="M27" s="3211">
        <v>97500</v>
      </c>
      <c r="N27" s="3211">
        <v>8095.69</v>
      </c>
      <c r="O27" s="3211">
        <v>1.2</v>
      </c>
      <c r="P27" s="3210" t="s">
        <v>3146</v>
      </c>
      <c r="Q27" s="3211" t="s">
        <v>3082</v>
      </c>
    </row>
    <row r="28" spans="1:18" s="3213" customFormat="1" ht="13.5">
      <c r="A28" s="3210" t="s">
        <v>3150</v>
      </c>
      <c r="B28" s="3211" t="s">
        <v>3053</v>
      </c>
      <c r="C28" s="3211" t="s">
        <v>3073</v>
      </c>
      <c r="D28" s="3211">
        <v>60488</v>
      </c>
      <c r="E28" s="3211">
        <v>72585.600000000006</v>
      </c>
      <c r="F28" s="3211" t="s">
        <v>3151</v>
      </c>
      <c r="G28" s="3212">
        <f t="shared" si="0"/>
        <v>1.2</v>
      </c>
      <c r="H28" s="3211" t="s">
        <v>3063</v>
      </c>
      <c r="I28" s="3211" t="s">
        <v>3075</v>
      </c>
      <c r="J28" s="3211" t="s">
        <v>3149</v>
      </c>
      <c r="K28" s="3211" t="s">
        <v>3149</v>
      </c>
      <c r="L28" s="3211">
        <v>58069</v>
      </c>
      <c r="M28" s="3211">
        <v>58069</v>
      </c>
      <c r="N28" s="3211">
        <v>8000.06</v>
      </c>
      <c r="O28" s="3211">
        <v>0</v>
      </c>
      <c r="P28" s="3210" t="s">
        <v>3146</v>
      </c>
      <c r="Q28" s="3211" t="s">
        <v>3082</v>
      </c>
    </row>
    <row r="29" spans="1:18" ht="24">
      <c r="A29" s="3196" t="s">
        <v>3152</v>
      </c>
      <c r="B29" s="3198" t="s">
        <v>3053</v>
      </c>
      <c r="C29" s="3198" t="s">
        <v>3073</v>
      </c>
      <c r="D29" s="3198">
        <v>58708.7</v>
      </c>
      <c r="E29" s="3198">
        <v>86075.11</v>
      </c>
      <c r="F29" s="3198" t="s">
        <v>3129</v>
      </c>
      <c r="G29" s="3194">
        <f t="shared" si="0"/>
        <v>1.47</v>
      </c>
      <c r="H29" s="3198" t="s">
        <v>3056</v>
      </c>
      <c r="I29" s="3198" t="s">
        <v>3075</v>
      </c>
      <c r="J29" s="3198" t="s">
        <v>3153</v>
      </c>
      <c r="K29" s="3198" t="s">
        <v>3153</v>
      </c>
      <c r="L29" s="3198">
        <v>68861</v>
      </c>
      <c r="M29" s="3198">
        <v>70000</v>
      </c>
      <c r="N29" s="3198">
        <v>8132.43</v>
      </c>
      <c r="O29" s="3198">
        <v>1.65</v>
      </c>
      <c r="P29" s="3196" t="s">
        <v>3154</v>
      </c>
      <c r="Q29" s="3198" t="s">
        <v>3082</v>
      </c>
    </row>
    <row r="30" spans="1:18" s="3216" customFormat="1" ht="13.5" hidden="1">
      <c r="A30" s="3214" t="s">
        <v>3155</v>
      </c>
      <c r="B30" s="3215" t="s">
        <v>3053</v>
      </c>
      <c r="C30" s="3215" t="s">
        <v>3073</v>
      </c>
      <c r="D30" s="3215">
        <v>91311</v>
      </c>
      <c r="E30" s="3215">
        <v>118704.3</v>
      </c>
      <c r="F30" s="3215" t="s">
        <v>3125</v>
      </c>
      <c r="G30" s="3215">
        <f t="shared" si="0"/>
        <v>1.3</v>
      </c>
      <c r="H30" s="3215" t="s">
        <v>3056</v>
      </c>
      <c r="I30" s="3215" t="s">
        <v>3075</v>
      </c>
      <c r="J30" s="3215" t="s">
        <v>3156</v>
      </c>
      <c r="K30" s="3215" t="s">
        <v>3156</v>
      </c>
      <c r="L30" s="3215">
        <v>113500</v>
      </c>
      <c r="M30" s="3215">
        <v>128000</v>
      </c>
      <c r="N30" s="3215">
        <v>10783.1</v>
      </c>
      <c r="O30" s="3215">
        <v>12.78</v>
      </c>
      <c r="P30" s="3215" t="s">
        <v>3157</v>
      </c>
      <c r="Q30" s="3215" t="s">
        <v>3060</v>
      </c>
      <c r="R30" s="3216">
        <f>ROUND((M30+M31+M32)/(E30+E31+E32)*10000,0)</f>
        <v>10889</v>
      </c>
    </row>
    <row r="31" spans="1:18" s="3216" customFormat="1" ht="13.5" hidden="1">
      <c r="A31" s="3214" t="s">
        <v>3158</v>
      </c>
      <c r="B31" s="3215" t="s">
        <v>3053</v>
      </c>
      <c r="C31" s="3215" t="s">
        <v>3073</v>
      </c>
      <c r="D31" s="3215">
        <v>82635</v>
      </c>
      <c r="E31" s="3215">
        <v>121845</v>
      </c>
      <c r="F31" s="3215" t="s">
        <v>3129</v>
      </c>
      <c r="G31" s="3215">
        <f t="shared" si="0"/>
        <v>1.47</v>
      </c>
      <c r="H31" s="3215" t="s">
        <v>3056</v>
      </c>
      <c r="I31" s="3215" t="s">
        <v>3075</v>
      </c>
      <c r="J31" s="3215" t="s">
        <v>3159</v>
      </c>
      <c r="K31" s="3215" t="s">
        <v>3159</v>
      </c>
      <c r="L31" s="3215">
        <v>115689</v>
      </c>
      <c r="M31" s="3215">
        <v>133000</v>
      </c>
      <c r="N31" s="3215">
        <v>10915.51</v>
      </c>
      <c r="O31" s="3215">
        <v>14.96</v>
      </c>
      <c r="P31" s="3215" t="s">
        <v>3157</v>
      </c>
      <c r="Q31" s="3215" t="s">
        <v>3060</v>
      </c>
    </row>
    <row r="32" spans="1:18" s="3216" customFormat="1" ht="13.5" hidden="1">
      <c r="A32" s="3214" t="s">
        <v>3160</v>
      </c>
      <c r="B32" s="3215" t="s">
        <v>3053</v>
      </c>
      <c r="C32" s="3215" t="s">
        <v>3073</v>
      </c>
      <c r="D32" s="3215">
        <v>61314</v>
      </c>
      <c r="E32" s="3215">
        <v>90529</v>
      </c>
      <c r="F32" s="3215" t="s">
        <v>3129</v>
      </c>
      <c r="G32" s="3215">
        <f t="shared" si="0"/>
        <v>1.48</v>
      </c>
      <c r="H32" s="3215" t="s">
        <v>3056</v>
      </c>
      <c r="I32" s="3215" t="s">
        <v>3075</v>
      </c>
      <c r="J32" s="3215" t="s">
        <v>3159</v>
      </c>
      <c r="K32" s="3215" t="s">
        <v>3159</v>
      </c>
      <c r="L32" s="3215">
        <v>83740</v>
      </c>
      <c r="M32" s="3215">
        <v>99500</v>
      </c>
      <c r="N32" s="3215">
        <v>10990.95</v>
      </c>
      <c r="O32" s="3215">
        <v>18.82</v>
      </c>
      <c r="P32" s="3215" t="s">
        <v>3157</v>
      </c>
      <c r="Q32" s="3215" t="s">
        <v>3060</v>
      </c>
    </row>
    <row r="33" spans="1:19" s="3209" customFormat="1" ht="13.5">
      <c r="A33" s="3206" t="s">
        <v>3161</v>
      </c>
      <c r="B33" s="3207" t="s">
        <v>3053</v>
      </c>
      <c r="C33" s="3207" t="s">
        <v>3073</v>
      </c>
      <c r="D33" s="3207">
        <v>63940</v>
      </c>
      <c r="E33" s="3207">
        <v>122460.7</v>
      </c>
      <c r="F33" s="3207" t="s">
        <v>3131</v>
      </c>
      <c r="G33" s="3208">
        <f t="shared" si="0"/>
        <v>1.92</v>
      </c>
      <c r="H33" s="3207" t="s">
        <v>3056</v>
      </c>
      <c r="I33" s="3207" t="s">
        <v>3075</v>
      </c>
      <c r="J33" s="3207" t="s">
        <v>3162</v>
      </c>
      <c r="K33" s="3207" t="s">
        <v>3162</v>
      </c>
      <c r="L33" s="3207">
        <v>105838</v>
      </c>
      <c r="M33" s="3207">
        <v>121000</v>
      </c>
      <c r="N33" s="3207">
        <v>9880.7099999999991</v>
      </c>
      <c r="O33" s="3207">
        <v>14.33</v>
      </c>
      <c r="P33" s="3206" t="s">
        <v>3119</v>
      </c>
      <c r="Q33" s="3207" t="s">
        <v>3082</v>
      </c>
      <c r="R33" s="3209">
        <f>ROUND((M33+M34)/(E33+E34)*10000,0)</f>
        <v>9778</v>
      </c>
      <c r="S33" s="3209">
        <f>(E34+E33)/(D33+D34)</f>
        <v>2.1989227353728191</v>
      </c>
    </row>
    <row r="34" spans="1:19" s="3209" customFormat="1" ht="13.5">
      <c r="A34" s="3206" t="s">
        <v>3163</v>
      </c>
      <c r="B34" s="3207" t="s">
        <v>3053</v>
      </c>
      <c r="C34" s="3207" t="s">
        <v>3073</v>
      </c>
      <c r="D34" s="3207">
        <v>60244.9</v>
      </c>
      <c r="E34" s="3207">
        <v>150612.29999999999</v>
      </c>
      <c r="F34" s="3207" t="s">
        <v>3164</v>
      </c>
      <c r="G34" s="3208">
        <f t="shared" si="0"/>
        <v>2.5</v>
      </c>
      <c r="H34" s="3207" t="s">
        <v>3056</v>
      </c>
      <c r="I34" s="3207" t="s">
        <v>3075</v>
      </c>
      <c r="J34" s="3207" t="s">
        <v>3162</v>
      </c>
      <c r="K34" s="3207" t="s">
        <v>3162</v>
      </c>
      <c r="L34" s="3207">
        <v>120490</v>
      </c>
      <c r="M34" s="3207">
        <v>146000</v>
      </c>
      <c r="N34" s="3207">
        <v>9693.76</v>
      </c>
      <c r="O34" s="3207">
        <v>21.17</v>
      </c>
      <c r="P34" s="3206" t="s">
        <v>3119</v>
      </c>
      <c r="Q34" s="3207" t="s">
        <v>3071</v>
      </c>
    </row>
    <row r="35" spans="1:19" ht="13.5">
      <c r="A35" s="3196" t="s">
        <v>3165</v>
      </c>
      <c r="B35" s="3198" t="s">
        <v>3053</v>
      </c>
      <c r="C35" s="3198" t="s">
        <v>3073</v>
      </c>
      <c r="D35" s="3198">
        <v>78043.199999999997</v>
      </c>
      <c r="E35" s="3198">
        <v>117064.8</v>
      </c>
      <c r="F35" s="3198" t="s">
        <v>3074</v>
      </c>
      <c r="G35" s="3194">
        <f t="shared" si="0"/>
        <v>1.5</v>
      </c>
      <c r="H35" s="3198" t="s">
        <v>3056</v>
      </c>
      <c r="I35" s="3198" t="s">
        <v>3075</v>
      </c>
      <c r="J35" s="3198" t="s">
        <v>3166</v>
      </c>
      <c r="K35" s="3198" t="s">
        <v>3166</v>
      </c>
      <c r="L35" s="3198">
        <v>103494</v>
      </c>
      <c r="M35" s="3198">
        <v>113000</v>
      </c>
      <c r="N35" s="3198">
        <v>9652.77</v>
      </c>
      <c r="O35" s="3198">
        <v>9.19</v>
      </c>
      <c r="P35" s="3196" t="s">
        <v>3146</v>
      </c>
      <c r="Q35" s="3198" t="s">
        <v>3085</v>
      </c>
    </row>
    <row r="36" spans="1:19" s="2894" customFormat="1" ht="27" hidden="1">
      <c r="A36" s="3193" t="s">
        <v>3167</v>
      </c>
      <c r="B36" s="3194" t="s">
        <v>3053</v>
      </c>
      <c r="C36" s="3194" t="s">
        <v>3073</v>
      </c>
      <c r="D36" s="3194">
        <v>50390.8</v>
      </c>
      <c r="E36" s="3194">
        <v>70505.100000000006</v>
      </c>
      <c r="F36" s="3194" t="s">
        <v>3125</v>
      </c>
      <c r="G36" s="3194">
        <f t="shared" si="0"/>
        <v>1.4</v>
      </c>
      <c r="H36" s="3194" t="s">
        <v>3063</v>
      </c>
      <c r="I36" s="3194" t="s">
        <v>3075</v>
      </c>
      <c r="J36" s="3194" t="s">
        <v>3166</v>
      </c>
      <c r="K36" s="3194" t="s">
        <v>3166</v>
      </c>
      <c r="L36" s="3194">
        <v>38778</v>
      </c>
      <c r="M36" s="3194">
        <v>38778</v>
      </c>
      <c r="N36" s="3194">
        <v>5500.02</v>
      </c>
      <c r="O36" s="3194">
        <v>0</v>
      </c>
      <c r="P36" s="3194" t="s">
        <v>3168</v>
      </c>
      <c r="Q36" s="3194" t="s">
        <v>3082</v>
      </c>
    </row>
    <row r="37" spans="1:19" s="2894" customFormat="1" ht="27" hidden="1">
      <c r="A37" s="3193" t="s">
        <v>3169</v>
      </c>
      <c r="B37" s="3194" t="s">
        <v>3053</v>
      </c>
      <c r="C37" s="3194" t="s">
        <v>3073</v>
      </c>
      <c r="D37" s="3194">
        <v>94701.6</v>
      </c>
      <c r="E37" s="3194">
        <v>134396.79999999999</v>
      </c>
      <c r="F37" s="3194" t="s">
        <v>3129</v>
      </c>
      <c r="G37" s="3194">
        <f t="shared" si="0"/>
        <v>1.42</v>
      </c>
      <c r="H37" s="3194" t="s">
        <v>3063</v>
      </c>
      <c r="I37" s="3194" t="s">
        <v>3075</v>
      </c>
      <c r="J37" s="3194" t="s">
        <v>3170</v>
      </c>
      <c r="K37" s="3194" t="s">
        <v>3170</v>
      </c>
      <c r="L37" s="3194">
        <v>73919</v>
      </c>
      <c r="M37" s="3194">
        <v>73919</v>
      </c>
      <c r="N37" s="3194">
        <v>5500.06</v>
      </c>
      <c r="O37" s="3194">
        <v>0</v>
      </c>
      <c r="P37" s="3194" t="s">
        <v>3171</v>
      </c>
      <c r="Q37" s="3194" t="s">
        <v>3082</v>
      </c>
    </row>
    <row r="38" spans="1:19" s="2894" customFormat="1" ht="27" hidden="1">
      <c r="A38" s="3193" t="s">
        <v>3172</v>
      </c>
      <c r="B38" s="3194" t="s">
        <v>3053</v>
      </c>
      <c r="C38" s="3194" t="s">
        <v>3073</v>
      </c>
      <c r="D38" s="3194">
        <v>85863.9</v>
      </c>
      <c r="E38" s="3194">
        <v>117863.6</v>
      </c>
      <c r="F38" s="3194" t="s">
        <v>3125</v>
      </c>
      <c r="G38" s="3194">
        <f t="shared" si="0"/>
        <v>1.37</v>
      </c>
      <c r="H38" s="3194" t="s">
        <v>3056</v>
      </c>
      <c r="I38" s="3194" t="s">
        <v>3075</v>
      </c>
      <c r="J38" s="3194" t="s">
        <v>3173</v>
      </c>
      <c r="K38" s="3194" t="s">
        <v>3173</v>
      </c>
      <c r="L38" s="3194">
        <v>64825</v>
      </c>
      <c r="M38" s="3194">
        <v>79500</v>
      </c>
      <c r="N38" s="3194">
        <v>6745.07</v>
      </c>
      <c r="O38" s="3194">
        <v>22.64</v>
      </c>
      <c r="P38" s="3194" t="s">
        <v>3174</v>
      </c>
      <c r="Q38" s="3194" t="s">
        <v>3085</v>
      </c>
    </row>
    <row r="39" spans="1:19" s="2894" customFormat="1" ht="27" hidden="1">
      <c r="A39" s="3193" t="s">
        <v>3175</v>
      </c>
      <c r="B39" s="3194" t="s">
        <v>3053</v>
      </c>
      <c r="C39" s="3194" t="s">
        <v>3073</v>
      </c>
      <c r="D39" s="3194">
        <v>84368.5</v>
      </c>
      <c r="E39" s="3194">
        <v>108280.2</v>
      </c>
      <c r="F39" s="3194" t="s">
        <v>3151</v>
      </c>
      <c r="G39" s="3194">
        <f t="shared" si="0"/>
        <v>1.28</v>
      </c>
      <c r="H39" s="3194" t="s">
        <v>3056</v>
      </c>
      <c r="I39" s="3194" t="s">
        <v>3075</v>
      </c>
      <c r="J39" s="3194" t="s">
        <v>3176</v>
      </c>
      <c r="K39" s="3194" t="s">
        <v>3176</v>
      </c>
      <c r="L39" s="3194">
        <v>59555</v>
      </c>
      <c r="M39" s="3194">
        <v>68500</v>
      </c>
      <c r="N39" s="3194">
        <v>6326.18</v>
      </c>
      <c r="O39" s="3194">
        <v>15.02</v>
      </c>
      <c r="P39" s="3194" t="s">
        <v>3174</v>
      </c>
      <c r="Q39" s="3194" t="s">
        <v>3085</v>
      </c>
    </row>
    <row r="40" spans="1:19" s="2894" customFormat="1" ht="13.5" hidden="1">
      <c r="A40" s="3193" t="s">
        <v>3177</v>
      </c>
      <c r="B40" s="3194" t="s">
        <v>3053</v>
      </c>
      <c r="C40" s="3194" t="s">
        <v>3073</v>
      </c>
      <c r="D40" s="3194">
        <v>60151</v>
      </c>
      <c r="E40" s="3194">
        <v>90227</v>
      </c>
      <c r="F40" s="3194" t="s">
        <v>3074</v>
      </c>
      <c r="G40" s="3194">
        <f t="shared" si="0"/>
        <v>1.5</v>
      </c>
      <c r="H40" s="3194" t="s">
        <v>3056</v>
      </c>
      <c r="I40" s="3194" t="s">
        <v>3075</v>
      </c>
      <c r="J40" s="3194" t="s">
        <v>3178</v>
      </c>
      <c r="K40" s="3194" t="s">
        <v>3178</v>
      </c>
      <c r="L40" s="3194">
        <v>76693</v>
      </c>
      <c r="M40" s="3194">
        <v>106000</v>
      </c>
      <c r="N40" s="3194">
        <v>11748.14</v>
      </c>
      <c r="O40" s="3194">
        <v>38.21</v>
      </c>
      <c r="P40" s="3194" t="s">
        <v>3179</v>
      </c>
      <c r="Q40" s="3194" t="s">
        <v>3060</v>
      </c>
    </row>
    <row r="41" spans="1:19" s="2894" customFormat="1" ht="13.5" hidden="1">
      <c r="A41" s="3193" t="s">
        <v>3180</v>
      </c>
      <c r="B41" s="3194" t="s">
        <v>3053</v>
      </c>
      <c r="C41" s="3194" t="s">
        <v>3073</v>
      </c>
      <c r="D41" s="3194">
        <v>37791</v>
      </c>
      <c r="E41" s="3194">
        <v>56686.5</v>
      </c>
      <c r="F41" s="3194" t="s">
        <v>3074</v>
      </c>
      <c r="G41" s="3194">
        <f t="shared" si="0"/>
        <v>1.5</v>
      </c>
      <c r="H41" s="3194" t="s">
        <v>3056</v>
      </c>
      <c r="I41" s="3194" t="s">
        <v>3075</v>
      </c>
      <c r="J41" s="3194" t="s">
        <v>3181</v>
      </c>
      <c r="K41" s="3194" t="s">
        <v>3181</v>
      </c>
      <c r="L41" s="3194">
        <v>32879</v>
      </c>
      <c r="M41" s="3194">
        <v>63200</v>
      </c>
      <c r="N41" s="3194">
        <v>11149.04</v>
      </c>
      <c r="O41" s="3194">
        <v>92.22</v>
      </c>
      <c r="P41" s="3194" t="s">
        <v>3182</v>
      </c>
      <c r="Q41" s="3194" t="s">
        <v>3060</v>
      </c>
    </row>
    <row r="42" spans="1:19" s="2894" customFormat="1" ht="13.5" hidden="1">
      <c r="A42" s="3193" t="s">
        <v>3183</v>
      </c>
      <c r="B42" s="3194" t="s">
        <v>3053</v>
      </c>
      <c r="C42" s="3194" t="s">
        <v>3073</v>
      </c>
      <c r="D42" s="3194">
        <v>57402</v>
      </c>
      <c r="E42" s="3194">
        <v>86103</v>
      </c>
      <c r="F42" s="3194" t="s">
        <v>3074</v>
      </c>
      <c r="G42" s="3194">
        <f t="shared" si="0"/>
        <v>1.5</v>
      </c>
      <c r="H42" s="3194" t="s">
        <v>3056</v>
      </c>
      <c r="I42" s="3194" t="s">
        <v>3075</v>
      </c>
      <c r="J42" s="3194" t="s">
        <v>3184</v>
      </c>
      <c r="K42" s="3194" t="s">
        <v>3184</v>
      </c>
      <c r="L42" s="3194">
        <v>42191</v>
      </c>
      <c r="M42" s="3194">
        <v>55400</v>
      </c>
      <c r="N42" s="3194">
        <v>6434.14</v>
      </c>
      <c r="O42" s="3194">
        <v>31.31</v>
      </c>
      <c r="P42" s="3194" t="s">
        <v>3185</v>
      </c>
      <c r="Q42" s="3194" t="s">
        <v>3071</v>
      </c>
    </row>
    <row r="43" spans="1:19" s="2894" customFormat="1" ht="13.5" hidden="1">
      <c r="A43" s="3193" t="s">
        <v>3186</v>
      </c>
      <c r="B43" s="3194" t="s">
        <v>3053</v>
      </c>
      <c r="C43" s="3194" t="s">
        <v>3073</v>
      </c>
      <c r="D43" s="3194">
        <v>69563.399999999994</v>
      </c>
      <c r="E43" s="3194">
        <v>104345.1</v>
      </c>
      <c r="F43" s="3194" t="s">
        <v>3074</v>
      </c>
      <c r="G43" s="3194">
        <f t="shared" si="0"/>
        <v>1.5</v>
      </c>
      <c r="H43" s="3194" t="s">
        <v>3056</v>
      </c>
      <c r="I43" s="3194" t="s">
        <v>3075</v>
      </c>
      <c r="J43" s="3194" t="s">
        <v>3184</v>
      </c>
      <c r="K43" s="3194" t="s">
        <v>3184</v>
      </c>
      <c r="L43" s="3194">
        <v>51269</v>
      </c>
      <c r="M43" s="3194">
        <v>56500</v>
      </c>
      <c r="N43" s="3194">
        <v>5414.72</v>
      </c>
      <c r="O43" s="3194">
        <v>10.199999999999999</v>
      </c>
      <c r="P43" s="3194" t="s">
        <v>3187</v>
      </c>
      <c r="Q43" s="3194" t="s">
        <v>3071</v>
      </c>
    </row>
    <row r="44" spans="1:19" s="2894" customFormat="1" ht="13.5" hidden="1">
      <c r="A44" s="3193" t="s">
        <v>3188</v>
      </c>
      <c r="B44" s="3194" t="s">
        <v>3053</v>
      </c>
      <c r="C44" s="3194" t="s">
        <v>3073</v>
      </c>
      <c r="D44" s="3194">
        <v>91228</v>
      </c>
      <c r="E44" s="3194">
        <v>136842</v>
      </c>
      <c r="F44" s="3194" t="s">
        <v>3074</v>
      </c>
      <c r="G44" s="3194">
        <f t="shared" si="0"/>
        <v>1.5</v>
      </c>
      <c r="H44" s="3194" t="s">
        <v>3056</v>
      </c>
      <c r="I44" s="3194" t="s">
        <v>3075</v>
      </c>
      <c r="J44" s="3194" t="s">
        <v>3189</v>
      </c>
      <c r="K44" s="3194" t="s">
        <v>3189</v>
      </c>
      <c r="L44" s="3194">
        <v>97250</v>
      </c>
      <c r="M44" s="3194">
        <v>145000</v>
      </c>
      <c r="N44" s="3194">
        <v>10596.15</v>
      </c>
      <c r="O44" s="3194">
        <v>49.1</v>
      </c>
      <c r="P44" s="3194" t="s">
        <v>3190</v>
      </c>
      <c r="Q44" s="3194" t="s">
        <v>3060</v>
      </c>
    </row>
    <row r="45" spans="1:19" s="2894" customFormat="1" ht="13.5" hidden="1">
      <c r="A45" s="3193" t="s">
        <v>3191</v>
      </c>
      <c r="B45" s="3194" t="s">
        <v>3053</v>
      </c>
      <c r="C45" s="3194" t="s">
        <v>3073</v>
      </c>
      <c r="D45" s="3194">
        <v>68156</v>
      </c>
      <c r="E45" s="3194">
        <v>102234</v>
      </c>
      <c r="F45" s="3194" t="s">
        <v>3074</v>
      </c>
      <c r="G45" s="3194">
        <f t="shared" si="0"/>
        <v>1.5</v>
      </c>
      <c r="H45" s="3194" t="s">
        <v>3056</v>
      </c>
      <c r="I45" s="3194" t="s">
        <v>3075</v>
      </c>
      <c r="J45" s="3194" t="s">
        <v>3189</v>
      </c>
      <c r="K45" s="3194" t="s">
        <v>3189</v>
      </c>
      <c r="L45" s="3194">
        <v>74120</v>
      </c>
      <c r="M45" s="3194">
        <v>109000</v>
      </c>
      <c r="N45" s="3194">
        <v>10661.81</v>
      </c>
      <c r="O45" s="3194">
        <v>47.06</v>
      </c>
      <c r="P45" s="3194" t="s">
        <v>3192</v>
      </c>
      <c r="Q45" s="3194" t="s">
        <v>3060</v>
      </c>
    </row>
    <row r="46" spans="1:19" s="2894" customFormat="1" ht="13.5" hidden="1">
      <c r="A46" s="3193" t="s">
        <v>3193</v>
      </c>
      <c r="B46" s="3194" t="s">
        <v>3053</v>
      </c>
      <c r="C46" s="3194" t="s">
        <v>3073</v>
      </c>
      <c r="D46" s="3194">
        <v>104424</v>
      </c>
      <c r="E46" s="3194">
        <v>184334</v>
      </c>
      <c r="F46" s="3194" t="s">
        <v>3194</v>
      </c>
      <c r="G46" s="3194">
        <f t="shared" si="0"/>
        <v>1.77</v>
      </c>
      <c r="H46" s="3194" t="s">
        <v>3056</v>
      </c>
      <c r="I46" s="3194" t="s">
        <v>3075</v>
      </c>
      <c r="J46" s="3194" t="s">
        <v>3195</v>
      </c>
      <c r="K46" s="3194" t="s">
        <v>3195</v>
      </c>
      <c r="L46" s="3194">
        <v>130517</v>
      </c>
      <c r="M46" s="3194">
        <v>175000</v>
      </c>
      <c r="N46" s="3194">
        <v>9493.6299999999992</v>
      </c>
      <c r="O46" s="3194">
        <v>34.08</v>
      </c>
      <c r="P46" s="3194" t="s">
        <v>3196</v>
      </c>
      <c r="Q46" s="3194" t="s">
        <v>3060</v>
      </c>
    </row>
    <row r="47" spans="1:19" s="2894" customFormat="1" ht="13.5" hidden="1">
      <c r="A47" s="3193" t="s">
        <v>3197</v>
      </c>
      <c r="B47" s="3194" t="s">
        <v>3053</v>
      </c>
      <c r="C47" s="3194" t="s">
        <v>3073</v>
      </c>
      <c r="D47" s="3194">
        <v>96079</v>
      </c>
      <c r="E47" s="3194">
        <v>144118</v>
      </c>
      <c r="F47" s="3194" t="s">
        <v>3198</v>
      </c>
      <c r="G47" s="3194">
        <f t="shared" si="0"/>
        <v>1.5</v>
      </c>
      <c r="H47" s="3194" t="s">
        <v>3056</v>
      </c>
      <c r="I47" s="3194" t="s">
        <v>3075</v>
      </c>
      <c r="J47" s="3194" t="s">
        <v>3199</v>
      </c>
      <c r="K47" s="3194" t="s">
        <v>3199</v>
      </c>
      <c r="L47" s="3194">
        <v>120195</v>
      </c>
      <c r="M47" s="3194">
        <v>132000</v>
      </c>
      <c r="N47" s="3194">
        <v>9159.15</v>
      </c>
      <c r="O47" s="3194">
        <v>9.82</v>
      </c>
      <c r="P47" s="3194" t="s">
        <v>3200</v>
      </c>
      <c r="Q47" s="3194" t="s">
        <v>3071</v>
      </c>
    </row>
    <row r="48" spans="1:19" s="2894" customFormat="1" ht="13.5" hidden="1">
      <c r="A48" s="3193" t="s">
        <v>3201</v>
      </c>
      <c r="B48" s="3194" t="s">
        <v>3053</v>
      </c>
      <c r="C48" s="3194" t="s">
        <v>3073</v>
      </c>
      <c r="D48" s="3194">
        <v>40899</v>
      </c>
      <c r="E48" s="3194">
        <v>61348</v>
      </c>
      <c r="F48" s="3194" t="s">
        <v>3198</v>
      </c>
      <c r="G48" s="3194">
        <f t="shared" si="0"/>
        <v>1.5</v>
      </c>
      <c r="H48" s="3194" t="s">
        <v>3056</v>
      </c>
      <c r="I48" s="3194" t="s">
        <v>3075</v>
      </c>
      <c r="J48" s="3194" t="s">
        <v>3199</v>
      </c>
      <c r="K48" s="3194" t="s">
        <v>3199</v>
      </c>
      <c r="L48" s="3194">
        <v>51165</v>
      </c>
      <c r="M48" s="3194">
        <v>51500</v>
      </c>
      <c r="N48" s="3194">
        <v>8394.7199999999993</v>
      </c>
      <c r="O48" s="3194">
        <v>0.65</v>
      </c>
      <c r="P48" s="3194" t="s">
        <v>3202</v>
      </c>
      <c r="Q48" s="3194" t="s">
        <v>3071</v>
      </c>
    </row>
    <row r="49" spans="1:18" s="3205" customFormat="1" ht="24">
      <c r="A49" s="3202" t="s">
        <v>3203</v>
      </c>
      <c r="B49" s="3203" t="s">
        <v>3053</v>
      </c>
      <c r="C49" s="3203" t="s">
        <v>3073</v>
      </c>
      <c r="D49" s="3203">
        <v>83276.399999999994</v>
      </c>
      <c r="E49" s="3203">
        <v>124914.6</v>
      </c>
      <c r="F49" s="3203" t="s">
        <v>3074</v>
      </c>
      <c r="G49" s="3204">
        <f t="shared" si="0"/>
        <v>1.5</v>
      </c>
      <c r="H49" s="3203" t="s">
        <v>3063</v>
      </c>
      <c r="I49" s="3203" t="s">
        <v>3075</v>
      </c>
      <c r="J49" s="3203" t="s">
        <v>3204</v>
      </c>
      <c r="K49" s="3203" t="s">
        <v>3204</v>
      </c>
      <c r="L49" s="3203">
        <v>81445</v>
      </c>
      <c r="M49" s="3203">
        <v>81445</v>
      </c>
      <c r="N49" s="3203">
        <v>6520.05</v>
      </c>
      <c r="O49" s="3203">
        <v>0</v>
      </c>
      <c r="P49" s="3202" t="s">
        <v>3205</v>
      </c>
      <c r="Q49" s="3203" t="s">
        <v>3071</v>
      </c>
      <c r="R49" s="3205">
        <v>6520</v>
      </c>
    </row>
    <row r="50" spans="1:18" ht="24">
      <c r="A50" s="3196" t="s">
        <v>3206</v>
      </c>
      <c r="B50" s="3198" t="s">
        <v>3053</v>
      </c>
      <c r="C50" s="3198" t="s">
        <v>3054</v>
      </c>
      <c r="D50" s="3198">
        <v>161748.70000000001</v>
      </c>
      <c r="E50" s="3198">
        <v>387307.4</v>
      </c>
      <c r="F50" s="3198" t="s">
        <v>3207</v>
      </c>
      <c r="G50" s="3194">
        <f t="shared" si="0"/>
        <v>2.39</v>
      </c>
      <c r="H50" s="3198" t="s">
        <v>3063</v>
      </c>
      <c r="I50" s="3198" t="s">
        <v>3208</v>
      </c>
      <c r="J50" s="3198" t="s">
        <v>3209</v>
      </c>
      <c r="K50" s="3198" t="s">
        <v>3209</v>
      </c>
      <c r="L50" s="3198">
        <v>232000</v>
      </c>
      <c r="M50" s="3198">
        <v>232000</v>
      </c>
      <c r="N50" s="3198">
        <v>5990.06</v>
      </c>
      <c r="O50" s="3198">
        <v>0</v>
      </c>
      <c r="P50" s="3196" t="s">
        <v>3210</v>
      </c>
      <c r="Q50" s="3198" t="s">
        <v>3085</v>
      </c>
    </row>
    <row r="51" spans="1:18" ht="24">
      <c r="A51" s="3196" t="s">
        <v>3211</v>
      </c>
      <c r="B51" s="3198" t="s">
        <v>3053</v>
      </c>
      <c r="C51" s="3198" t="s">
        <v>3054</v>
      </c>
      <c r="D51" s="3198">
        <v>161962.20000000001</v>
      </c>
      <c r="E51" s="3198">
        <v>444645.7</v>
      </c>
      <c r="F51" s="3198" t="s">
        <v>3212</v>
      </c>
      <c r="G51" s="3194">
        <f t="shared" si="0"/>
        <v>2.75</v>
      </c>
      <c r="H51" s="3198" t="s">
        <v>3063</v>
      </c>
      <c r="I51" s="3198" t="s">
        <v>3213</v>
      </c>
      <c r="J51" s="3198" t="s">
        <v>3214</v>
      </c>
      <c r="K51" s="3198" t="s">
        <v>3214</v>
      </c>
      <c r="L51" s="3198">
        <v>245000</v>
      </c>
      <c r="M51" s="3198">
        <v>245000</v>
      </c>
      <c r="N51" s="3198">
        <v>5510</v>
      </c>
      <c r="O51" s="3198">
        <v>0</v>
      </c>
      <c r="P51" s="3196" t="s">
        <v>3215</v>
      </c>
      <c r="Q51" s="3198" t="s">
        <v>3082</v>
      </c>
    </row>
    <row r="52" spans="1:18" s="2894" customFormat="1" ht="40.5" hidden="1">
      <c r="A52" s="3192" t="s">
        <v>3216</v>
      </c>
      <c r="B52" s="2894" t="s">
        <v>3053</v>
      </c>
      <c r="C52" s="2894" t="s">
        <v>3073</v>
      </c>
      <c r="D52" s="2894">
        <v>150048</v>
      </c>
      <c r="E52" s="2894">
        <v>268476.09999999998</v>
      </c>
      <c r="F52" s="2894" t="s">
        <v>3217</v>
      </c>
      <c r="G52" s="3194">
        <f t="shared" si="0"/>
        <v>1.79</v>
      </c>
      <c r="H52" s="2894" t="s">
        <v>3063</v>
      </c>
      <c r="I52" s="2894" t="s">
        <v>3075</v>
      </c>
      <c r="J52" s="2894" t="s">
        <v>3218</v>
      </c>
      <c r="K52" s="2894" t="s">
        <v>3218</v>
      </c>
      <c r="L52" s="2894">
        <v>215024</v>
      </c>
      <c r="M52" s="2894">
        <v>215024</v>
      </c>
      <c r="N52" s="2894">
        <v>8009.06</v>
      </c>
      <c r="O52" s="2894">
        <v>0</v>
      </c>
      <c r="P52" s="2894" t="s">
        <v>3219</v>
      </c>
      <c r="Q52" s="2894" t="s">
        <v>3060</v>
      </c>
    </row>
    <row r="53" spans="1:18" s="2894" customFormat="1" ht="27" hidden="1">
      <c r="A53" s="3192" t="s">
        <v>3220</v>
      </c>
      <c r="B53" s="2894" t="s">
        <v>3053</v>
      </c>
      <c r="C53" s="2894" t="s">
        <v>3073</v>
      </c>
      <c r="D53" s="2894">
        <v>184589.8</v>
      </c>
      <c r="E53" s="2894">
        <v>346351.7</v>
      </c>
      <c r="F53" s="2894" t="s">
        <v>3221</v>
      </c>
      <c r="G53" s="3194">
        <f t="shared" si="0"/>
        <v>1.88</v>
      </c>
      <c r="H53" s="2894" t="s">
        <v>3056</v>
      </c>
      <c r="I53" s="2894" t="s">
        <v>3075</v>
      </c>
      <c r="J53" s="2894" t="s">
        <v>3222</v>
      </c>
      <c r="K53" s="2894" t="s">
        <v>3222</v>
      </c>
      <c r="L53" s="2894">
        <v>190494</v>
      </c>
      <c r="M53" s="2894">
        <v>221000</v>
      </c>
      <c r="N53" s="2894">
        <v>6380.8</v>
      </c>
      <c r="O53" s="2894">
        <v>16.010000000000002</v>
      </c>
      <c r="P53" s="2894" t="s">
        <v>3174</v>
      </c>
      <c r="Q53" s="2894" t="s">
        <v>3082</v>
      </c>
    </row>
    <row r="54" spans="1:18" s="2894" customFormat="1" ht="27" hidden="1">
      <c r="A54" s="3192" t="s">
        <v>3223</v>
      </c>
      <c r="B54" s="2894" t="s">
        <v>3053</v>
      </c>
      <c r="C54" s="2894" t="s">
        <v>3054</v>
      </c>
      <c r="D54" s="2894">
        <v>187009.5</v>
      </c>
      <c r="E54" s="2894">
        <v>359160.7</v>
      </c>
      <c r="F54" s="2894" t="s">
        <v>3131</v>
      </c>
      <c r="G54" s="3194">
        <f t="shared" si="0"/>
        <v>1.92</v>
      </c>
      <c r="H54" s="2894" t="s">
        <v>3056</v>
      </c>
      <c r="I54" s="2894" t="s">
        <v>3088</v>
      </c>
      <c r="J54" s="2894" t="s">
        <v>3222</v>
      </c>
      <c r="K54" s="2894" t="s">
        <v>3222</v>
      </c>
      <c r="L54" s="2894">
        <v>154440</v>
      </c>
      <c r="M54" s="2894">
        <v>182000</v>
      </c>
      <c r="N54" s="2894">
        <v>5067.3599999999997</v>
      </c>
      <c r="O54" s="2894">
        <v>17.850000000000001</v>
      </c>
      <c r="P54" s="2894" t="s">
        <v>3224</v>
      </c>
      <c r="Q54" s="2894" t="s">
        <v>3082</v>
      </c>
    </row>
    <row r="55" spans="1:18" s="2894" customFormat="1" ht="27" hidden="1">
      <c r="A55" s="3192" t="s">
        <v>3225</v>
      </c>
      <c r="B55" s="2894" t="s">
        <v>3053</v>
      </c>
      <c r="C55" s="2894" t="s">
        <v>3054</v>
      </c>
      <c r="D55" s="2894">
        <v>200567.9</v>
      </c>
      <c r="E55" s="2894">
        <v>387676.7</v>
      </c>
      <c r="F55" s="2894" t="s">
        <v>3131</v>
      </c>
      <c r="G55" s="3194">
        <f t="shared" si="0"/>
        <v>1.93</v>
      </c>
      <c r="H55" s="2894" t="s">
        <v>3063</v>
      </c>
      <c r="I55" s="2894" t="s">
        <v>3088</v>
      </c>
      <c r="J55" s="2894" t="s">
        <v>3222</v>
      </c>
      <c r="K55" s="2894" t="s">
        <v>3222</v>
      </c>
      <c r="L55" s="2894">
        <v>158948</v>
      </c>
      <c r="M55" s="2894">
        <v>158948</v>
      </c>
      <c r="N55" s="2894">
        <v>4100.01</v>
      </c>
      <c r="O55" s="2894">
        <v>0</v>
      </c>
      <c r="P55" s="2894" t="s">
        <v>3226</v>
      </c>
      <c r="Q55" s="2894" t="s">
        <v>3071</v>
      </c>
    </row>
    <row r="56" spans="1:18" s="2894" customFormat="1" ht="27" hidden="1">
      <c r="A56" s="3192" t="s">
        <v>3227</v>
      </c>
      <c r="B56" s="2894" t="s">
        <v>3053</v>
      </c>
      <c r="C56" s="2894" t="s">
        <v>3054</v>
      </c>
      <c r="D56" s="2894">
        <v>169301.1</v>
      </c>
      <c r="E56" s="2894">
        <v>329346.5</v>
      </c>
      <c r="F56" s="2894" t="s">
        <v>3131</v>
      </c>
      <c r="G56" s="3194">
        <f t="shared" si="0"/>
        <v>1.95</v>
      </c>
      <c r="H56" s="2894" t="s">
        <v>3063</v>
      </c>
      <c r="I56" s="2894" t="s">
        <v>3228</v>
      </c>
      <c r="J56" s="2894" t="s">
        <v>3229</v>
      </c>
      <c r="K56" s="2894" t="s">
        <v>3229</v>
      </c>
      <c r="L56" s="2894">
        <v>88714</v>
      </c>
      <c r="M56" s="2894">
        <v>88714</v>
      </c>
      <c r="N56" s="2894">
        <v>2693.63</v>
      </c>
      <c r="O56" s="2894">
        <v>0</v>
      </c>
      <c r="P56" s="2894" t="s">
        <v>3230</v>
      </c>
      <c r="Q56" s="2894" t="s">
        <v>3060</v>
      </c>
    </row>
    <row r="57" spans="1:18" ht="24">
      <c r="A57" s="3200" t="s">
        <v>3231</v>
      </c>
      <c r="B57" s="3201" t="s">
        <v>3053</v>
      </c>
      <c r="C57" s="3201" t="s">
        <v>3054</v>
      </c>
      <c r="D57" s="3201">
        <v>148329.5</v>
      </c>
      <c r="E57" s="3201">
        <v>384021.6</v>
      </c>
      <c r="F57" s="3201" t="s">
        <v>3232</v>
      </c>
      <c r="G57" s="3194">
        <f t="shared" si="0"/>
        <v>2.59</v>
      </c>
      <c r="H57" s="3201" t="s">
        <v>3056</v>
      </c>
      <c r="I57" s="3201" t="s">
        <v>3233</v>
      </c>
      <c r="J57" s="3201" t="s">
        <v>3234</v>
      </c>
      <c r="K57" s="3201" t="s">
        <v>3234</v>
      </c>
      <c r="L57" s="3201">
        <v>268800</v>
      </c>
      <c r="M57" s="3201">
        <v>350000</v>
      </c>
      <c r="N57" s="3201">
        <v>9114.06</v>
      </c>
      <c r="O57" s="3201">
        <v>30.21</v>
      </c>
      <c r="P57" s="3200" t="s">
        <v>3235</v>
      </c>
      <c r="Q57" s="3201" t="s">
        <v>3082</v>
      </c>
    </row>
    <row r="58" spans="1:18" s="2894" customFormat="1" ht="27" hidden="1">
      <c r="A58" s="3192" t="s">
        <v>3236</v>
      </c>
      <c r="B58" s="2894" t="s">
        <v>3053</v>
      </c>
      <c r="C58" s="2894" t="s">
        <v>3054</v>
      </c>
      <c r="D58" s="2894">
        <v>227465.5</v>
      </c>
      <c r="E58" s="2894">
        <v>237570.7</v>
      </c>
      <c r="F58" s="2894" t="s">
        <v>3237</v>
      </c>
      <c r="G58" s="3194">
        <f t="shared" si="0"/>
        <v>1.04</v>
      </c>
      <c r="H58" s="2894" t="s">
        <v>3063</v>
      </c>
      <c r="I58" s="2894" t="s">
        <v>3238</v>
      </c>
      <c r="J58" s="2894" t="s">
        <v>3239</v>
      </c>
      <c r="K58" s="2894" t="s">
        <v>3239</v>
      </c>
      <c r="L58" s="2894">
        <v>82234</v>
      </c>
      <c r="M58" s="2894">
        <v>82234</v>
      </c>
      <c r="N58" s="2894">
        <v>3461.44</v>
      </c>
      <c r="O58" s="2894">
        <v>0</v>
      </c>
      <c r="P58" s="2894" t="s">
        <v>3240</v>
      </c>
      <c r="Q58" s="2894" t="s">
        <v>3060</v>
      </c>
    </row>
    <row r="59" spans="1:18" s="2894" customFormat="1" ht="27" hidden="1">
      <c r="A59" s="3192" t="s">
        <v>3241</v>
      </c>
      <c r="B59" s="2894" t="s">
        <v>3053</v>
      </c>
      <c r="C59" s="2894" t="s">
        <v>3054</v>
      </c>
      <c r="D59" s="2894">
        <v>279131.40000000002</v>
      </c>
      <c r="E59" s="2894">
        <v>267038</v>
      </c>
      <c r="F59" s="2894" t="s">
        <v>3242</v>
      </c>
      <c r="G59" s="3194">
        <f t="shared" si="0"/>
        <v>0.96</v>
      </c>
      <c r="H59" s="2894" t="s">
        <v>3063</v>
      </c>
      <c r="I59" s="2894" t="s">
        <v>3243</v>
      </c>
      <c r="J59" s="2894" t="s">
        <v>3239</v>
      </c>
      <c r="K59" s="2894" t="s">
        <v>3239</v>
      </c>
      <c r="L59" s="2894">
        <v>97555</v>
      </c>
      <c r="M59" s="2894">
        <v>97555</v>
      </c>
      <c r="N59" s="2894">
        <v>3653.23</v>
      </c>
      <c r="O59" s="2894">
        <v>0</v>
      </c>
      <c r="P59" s="2894" t="s">
        <v>3240</v>
      </c>
      <c r="Q59" s="2894" t="s">
        <v>3060</v>
      </c>
    </row>
    <row r="60" spans="1:18" s="2894" customFormat="1" ht="27" hidden="1">
      <c r="A60" s="3192" t="s">
        <v>3244</v>
      </c>
      <c r="B60" s="2894" t="s">
        <v>3053</v>
      </c>
      <c r="C60" s="2894" t="s">
        <v>3073</v>
      </c>
      <c r="D60" s="2894">
        <v>130604</v>
      </c>
      <c r="E60" s="2894">
        <v>261208</v>
      </c>
      <c r="F60" s="2894" t="s">
        <v>3115</v>
      </c>
      <c r="G60" s="3194">
        <f t="shared" si="0"/>
        <v>2</v>
      </c>
      <c r="H60" s="2894" t="s">
        <v>3056</v>
      </c>
      <c r="I60" s="2894" t="s">
        <v>3075</v>
      </c>
      <c r="J60" s="2894" t="s">
        <v>3245</v>
      </c>
      <c r="K60" s="2894" t="s">
        <v>3245</v>
      </c>
      <c r="L60" s="2894">
        <v>208967</v>
      </c>
      <c r="M60" s="2894">
        <v>225000</v>
      </c>
      <c r="N60" s="2894">
        <v>8613.81</v>
      </c>
      <c r="O60" s="2894">
        <v>7.67</v>
      </c>
      <c r="P60" s="2894" t="s">
        <v>3246</v>
      </c>
      <c r="Q60" s="2894" t="s">
        <v>3060</v>
      </c>
    </row>
    <row r="61" spans="1:18" s="2894" customFormat="1" ht="13.5" hidden="1">
      <c r="A61" s="3192" t="s">
        <v>3247</v>
      </c>
      <c r="B61" s="2894" t="s">
        <v>3053</v>
      </c>
      <c r="C61" s="2894" t="s">
        <v>3073</v>
      </c>
      <c r="D61" s="2894">
        <v>73614</v>
      </c>
      <c r="E61" s="2894">
        <v>147228</v>
      </c>
      <c r="F61" s="2894" t="s">
        <v>3115</v>
      </c>
      <c r="G61" s="3194">
        <f t="shared" si="0"/>
        <v>2</v>
      </c>
      <c r="H61" s="2894" t="s">
        <v>3056</v>
      </c>
      <c r="I61" s="2894" t="s">
        <v>3075</v>
      </c>
      <c r="J61" s="2894" t="s">
        <v>3245</v>
      </c>
      <c r="K61" s="2894" t="s">
        <v>3245</v>
      </c>
      <c r="L61" s="2894">
        <v>117783</v>
      </c>
      <c r="M61" s="2894">
        <v>129000</v>
      </c>
      <c r="N61" s="2894">
        <v>8761.92</v>
      </c>
      <c r="O61" s="2894">
        <v>9.52</v>
      </c>
      <c r="P61" s="2894" t="s">
        <v>3246</v>
      </c>
      <c r="Q61" s="2894" t="s">
        <v>3060</v>
      </c>
    </row>
    <row r="62" spans="1:18" s="2894" customFormat="1" ht="27" hidden="1">
      <c r="A62" s="3192" t="s">
        <v>3248</v>
      </c>
      <c r="B62" s="2894" t="s">
        <v>3053</v>
      </c>
      <c r="C62" s="2894" t="s">
        <v>3073</v>
      </c>
      <c r="D62" s="2894">
        <v>182788.7</v>
      </c>
      <c r="E62" s="2894">
        <v>365577.4</v>
      </c>
      <c r="F62" s="2894" t="s">
        <v>3115</v>
      </c>
      <c r="G62" s="3194">
        <f t="shared" si="0"/>
        <v>2</v>
      </c>
      <c r="H62" s="2894" t="s">
        <v>3056</v>
      </c>
      <c r="I62" s="2894" t="s">
        <v>3075</v>
      </c>
      <c r="J62" s="2894" t="s">
        <v>3249</v>
      </c>
      <c r="K62" s="2894" t="s">
        <v>3249</v>
      </c>
      <c r="L62" s="2894">
        <v>164510</v>
      </c>
      <c r="M62" s="2894">
        <v>231000</v>
      </c>
      <c r="N62" s="2894">
        <v>6318.77</v>
      </c>
      <c r="O62" s="2894">
        <v>40.42</v>
      </c>
      <c r="P62" s="2894" t="s">
        <v>3250</v>
      </c>
      <c r="Q62" s="2894" t="s">
        <v>3071</v>
      </c>
    </row>
    <row r="63" spans="1:18" s="2894" customFormat="1" ht="27" hidden="1">
      <c r="A63" s="3192" t="s">
        <v>3251</v>
      </c>
      <c r="B63" s="2894" t="s">
        <v>3053</v>
      </c>
      <c r="C63" s="2894" t="s">
        <v>3054</v>
      </c>
      <c r="D63" s="2894">
        <v>357563.2</v>
      </c>
      <c r="E63" s="2894">
        <v>529668.69999999995</v>
      </c>
      <c r="F63" s="2894" t="s">
        <v>3252</v>
      </c>
      <c r="G63" s="3194">
        <f t="shared" si="0"/>
        <v>1.48</v>
      </c>
      <c r="H63" s="2894" t="s">
        <v>3056</v>
      </c>
      <c r="I63" s="2894" t="s">
        <v>3253</v>
      </c>
      <c r="J63" s="2894" t="s">
        <v>3254</v>
      </c>
      <c r="K63" s="2894" t="s">
        <v>3254</v>
      </c>
      <c r="L63" s="2894">
        <v>142131</v>
      </c>
      <c r="M63" s="2894">
        <v>143000</v>
      </c>
      <c r="N63" s="2894">
        <v>2699.8</v>
      </c>
      <c r="O63" s="2894">
        <v>0.61</v>
      </c>
      <c r="P63" s="2894" t="s">
        <v>3255</v>
      </c>
      <c r="Q63" s="2894" t="s">
        <v>3082</v>
      </c>
    </row>
    <row r="64" spans="1:18" s="2894" customFormat="1" ht="27" hidden="1">
      <c r="A64" s="3192" t="s">
        <v>3256</v>
      </c>
      <c r="B64" s="2894" t="s">
        <v>3053</v>
      </c>
      <c r="C64" s="2894" t="s">
        <v>3054</v>
      </c>
      <c r="D64" s="2894">
        <v>265302.59999999998</v>
      </c>
      <c r="E64" s="2894">
        <v>295167.8</v>
      </c>
      <c r="F64" s="2894" t="s">
        <v>3257</v>
      </c>
      <c r="G64" s="3194">
        <f t="shared" si="0"/>
        <v>1.1100000000000001</v>
      </c>
      <c r="H64" s="2894" t="s">
        <v>3056</v>
      </c>
      <c r="I64" s="2894" t="s">
        <v>3258</v>
      </c>
      <c r="J64" s="2894" t="s">
        <v>3254</v>
      </c>
      <c r="K64" s="2894" t="s">
        <v>3254</v>
      </c>
      <c r="L64" s="2894">
        <v>89619</v>
      </c>
      <c r="M64" s="2894">
        <v>90500</v>
      </c>
      <c r="N64" s="2894">
        <v>3066.05</v>
      </c>
      <c r="O64" s="2894">
        <v>0.98</v>
      </c>
      <c r="P64" s="2894" t="s">
        <v>3255</v>
      </c>
      <c r="Q64" s="2894" t="s">
        <v>3082</v>
      </c>
    </row>
    <row r="65" spans="1:17" s="2894" customFormat="1" ht="13.5" hidden="1">
      <c r="A65" s="3192" t="s">
        <v>3259</v>
      </c>
      <c r="B65" s="2894" t="s">
        <v>3053</v>
      </c>
      <c r="C65" s="2894" t="s">
        <v>3073</v>
      </c>
      <c r="D65" s="2894">
        <v>35110</v>
      </c>
      <c r="E65" s="2894">
        <v>70220</v>
      </c>
      <c r="F65" s="2894" t="s">
        <v>3115</v>
      </c>
      <c r="G65" s="3194">
        <f t="shared" si="0"/>
        <v>2</v>
      </c>
      <c r="H65" s="2894" t="s">
        <v>3056</v>
      </c>
      <c r="I65" s="2894" t="s">
        <v>3075</v>
      </c>
      <c r="J65" s="2894" t="s">
        <v>3260</v>
      </c>
      <c r="K65" s="2894" t="s">
        <v>3260</v>
      </c>
      <c r="L65" s="2894">
        <v>56176</v>
      </c>
      <c r="M65" s="2894">
        <v>80000</v>
      </c>
      <c r="N65" s="2894">
        <v>11392.77</v>
      </c>
      <c r="O65" s="2894">
        <v>42.41</v>
      </c>
      <c r="P65" s="2894" t="s">
        <v>3261</v>
      </c>
      <c r="Q65" s="2894" t="s">
        <v>3071</v>
      </c>
    </row>
    <row r="66" spans="1:17" ht="13.5">
      <c r="A66" s="3200" t="s">
        <v>3262</v>
      </c>
      <c r="B66" s="3201" t="s">
        <v>3053</v>
      </c>
      <c r="C66" s="3201" t="s">
        <v>3073</v>
      </c>
      <c r="D66" s="3201">
        <v>19222.2</v>
      </c>
      <c r="E66" s="3201">
        <v>21144.42</v>
      </c>
      <c r="F66" s="3201" t="s">
        <v>3257</v>
      </c>
      <c r="G66" s="3194">
        <f t="shared" si="0"/>
        <v>1.1000000000000001</v>
      </c>
      <c r="H66" s="3201" t="s">
        <v>3063</v>
      </c>
      <c r="I66" s="3201" t="s">
        <v>3075</v>
      </c>
      <c r="J66" s="3201" t="s">
        <v>3263</v>
      </c>
      <c r="K66" s="3201" t="s">
        <v>3263</v>
      </c>
      <c r="L66" s="3201">
        <v>17942</v>
      </c>
      <c r="M66" s="3201">
        <v>17942</v>
      </c>
      <c r="N66" s="3201">
        <v>8485.4500000000007</v>
      </c>
      <c r="O66" s="3201">
        <v>0</v>
      </c>
      <c r="P66" s="3200" t="s">
        <v>3264</v>
      </c>
      <c r="Q66" s="3201" t="s">
        <v>3085</v>
      </c>
    </row>
    <row r="67" spans="1:17" s="2894" customFormat="1" ht="13.5" hidden="1">
      <c r="A67" s="3192" t="s">
        <v>3265</v>
      </c>
      <c r="B67" s="2894" t="s">
        <v>3053</v>
      </c>
      <c r="C67" s="2894" t="s">
        <v>3054</v>
      </c>
      <c r="D67" s="2894">
        <v>78686.399999999994</v>
      </c>
      <c r="E67" s="2894">
        <v>309047.8</v>
      </c>
      <c r="F67" s="2894" t="s">
        <v>3266</v>
      </c>
      <c r="G67" s="3194">
        <f t="shared" ref="G67:G89" si="1">ROUND(E67/D67,2)</f>
        <v>3.93</v>
      </c>
      <c r="H67" s="2894" t="s">
        <v>3063</v>
      </c>
      <c r="I67" s="2894" t="s">
        <v>3228</v>
      </c>
      <c r="J67" s="2894" t="s">
        <v>3267</v>
      </c>
      <c r="K67" s="2894" t="s">
        <v>3267</v>
      </c>
      <c r="L67" s="2894">
        <v>138505</v>
      </c>
      <c r="M67" s="2894">
        <v>138505</v>
      </c>
      <c r="N67" s="2894">
        <v>4481.67</v>
      </c>
      <c r="O67" s="2894">
        <v>0</v>
      </c>
      <c r="P67" s="2894" t="s">
        <v>3268</v>
      </c>
      <c r="Q67" s="2894" t="s">
        <v>3060</v>
      </c>
    </row>
    <row r="68" spans="1:17" s="2894" customFormat="1" ht="27" hidden="1">
      <c r="A68" s="3192" t="s">
        <v>3269</v>
      </c>
      <c r="B68" s="2894" t="s">
        <v>3053</v>
      </c>
      <c r="C68" s="2894" t="s">
        <v>3054</v>
      </c>
      <c r="D68" s="2894">
        <v>218505.2</v>
      </c>
      <c r="E68" s="2894">
        <v>742152.3</v>
      </c>
      <c r="F68" s="2894" t="s">
        <v>3270</v>
      </c>
      <c r="G68" s="3194">
        <f t="shared" si="1"/>
        <v>3.4</v>
      </c>
      <c r="H68" s="2894" t="s">
        <v>3063</v>
      </c>
      <c r="I68" s="2894" t="s">
        <v>3057</v>
      </c>
      <c r="J68" s="2894" t="s">
        <v>3271</v>
      </c>
      <c r="K68" s="2894" t="s">
        <v>3271</v>
      </c>
      <c r="L68" s="2894">
        <v>313926</v>
      </c>
      <c r="M68" s="2894">
        <v>313926</v>
      </c>
      <c r="N68" s="2894">
        <v>4229.93</v>
      </c>
      <c r="O68" s="2894">
        <v>0</v>
      </c>
      <c r="P68" s="2894" t="s">
        <v>3272</v>
      </c>
      <c r="Q68" s="2894" t="s">
        <v>3060</v>
      </c>
    </row>
    <row r="69" spans="1:17" s="2894" customFormat="1" ht="27" hidden="1">
      <c r="A69" s="3192" t="s">
        <v>3273</v>
      </c>
      <c r="B69" s="2894" t="s">
        <v>3053</v>
      </c>
      <c r="C69" s="2894" t="s">
        <v>3054</v>
      </c>
      <c r="D69" s="2894">
        <v>219700</v>
      </c>
      <c r="E69" s="2894">
        <v>263640</v>
      </c>
      <c r="F69" s="2894" t="s">
        <v>3151</v>
      </c>
      <c r="G69" s="3194">
        <f t="shared" si="1"/>
        <v>1.2</v>
      </c>
      <c r="H69" s="2894" t="s">
        <v>3063</v>
      </c>
      <c r="I69" s="2894" t="s">
        <v>3274</v>
      </c>
      <c r="J69" s="2894" t="s">
        <v>3275</v>
      </c>
      <c r="K69" s="2894" t="s">
        <v>3275</v>
      </c>
      <c r="L69" s="2894">
        <v>54595</v>
      </c>
      <c r="M69" s="2894">
        <v>54595</v>
      </c>
      <c r="N69" s="2894">
        <v>2070.8200000000002</v>
      </c>
      <c r="O69" s="2894">
        <v>0</v>
      </c>
      <c r="P69" s="2894" t="s">
        <v>3276</v>
      </c>
      <c r="Q69" s="2894" t="s">
        <v>3071</v>
      </c>
    </row>
    <row r="70" spans="1:17" s="2894" customFormat="1" ht="27" hidden="1">
      <c r="A70" s="3192" t="s">
        <v>3277</v>
      </c>
      <c r="B70" s="2894" t="s">
        <v>3053</v>
      </c>
      <c r="C70" s="2894" t="s">
        <v>3054</v>
      </c>
      <c r="D70" s="2894">
        <v>107434.1</v>
      </c>
      <c r="E70" s="2894">
        <v>391250.6</v>
      </c>
      <c r="F70" s="2894" t="s">
        <v>3278</v>
      </c>
      <c r="G70" s="3194">
        <f t="shared" si="1"/>
        <v>3.64</v>
      </c>
      <c r="H70" s="2894" t="s">
        <v>3056</v>
      </c>
      <c r="I70" s="2894" t="s">
        <v>3057</v>
      </c>
      <c r="J70" s="2894" t="s">
        <v>3279</v>
      </c>
      <c r="K70" s="2894" t="s">
        <v>3279</v>
      </c>
      <c r="L70" s="2894">
        <v>174899</v>
      </c>
      <c r="M70" s="2894">
        <v>176000</v>
      </c>
      <c r="N70" s="2894">
        <v>4498.3900000000003</v>
      </c>
      <c r="O70" s="2894">
        <v>0.63</v>
      </c>
      <c r="P70" s="2894" t="s">
        <v>3280</v>
      </c>
      <c r="Q70" s="2894" t="s">
        <v>3060</v>
      </c>
    </row>
    <row r="71" spans="1:17" s="2894" customFormat="1" ht="13.5" hidden="1">
      <c r="A71" s="3192" t="s">
        <v>3281</v>
      </c>
      <c r="B71" s="2894" t="s">
        <v>3053</v>
      </c>
      <c r="C71" s="2894" t="s">
        <v>3073</v>
      </c>
      <c r="D71" s="2894">
        <v>64683.1</v>
      </c>
      <c r="E71" s="2894">
        <v>112489.5</v>
      </c>
      <c r="F71" s="2894" t="s">
        <v>3194</v>
      </c>
      <c r="G71" s="3194">
        <f t="shared" si="1"/>
        <v>1.74</v>
      </c>
      <c r="H71" s="2894" t="s">
        <v>3056</v>
      </c>
      <c r="I71" s="2894" t="s">
        <v>3075</v>
      </c>
      <c r="J71" s="2894" t="s">
        <v>3282</v>
      </c>
      <c r="K71" s="2894" t="s">
        <v>3282</v>
      </c>
      <c r="L71" s="2894">
        <v>83243</v>
      </c>
      <c r="M71" s="2894">
        <v>90000</v>
      </c>
      <c r="N71" s="2894">
        <v>8000.75</v>
      </c>
      <c r="O71" s="2894">
        <v>8.1199999999999992</v>
      </c>
      <c r="P71" s="2894" t="s">
        <v>3283</v>
      </c>
      <c r="Q71" s="2894" t="s">
        <v>3060</v>
      </c>
    </row>
    <row r="72" spans="1:17" s="2894" customFormat="1" ht="27" hidden="1">
      <c r="A72" s="3192" t="s">
        <v>3284</v>
      </c>
      <c r="B72" s="2894" t="s">
        <v>3053</v>
      </c>
      <c r="C72" s="2894" t="s">
        <v>3054</v>
      </c>
      <c r="D72" s="2894">
        <v>116702</v>
      </c>
      <c r="E72" s="2894">
        <v>402143.4</v>
      </c>
      <c r="F72" s="2894" t="s">
        <v>3270</v>
      </c>
      <c r="G72" s="3194">
        <f t="shared" si="1"/>
        <v>3.45</v>
      </c>
      <c r="H72" s="2894" t="s">
        <v>3056</v>
      </c>
      <c r="I72" s="2894" t="s">
        <v>3057</v>
      </c>
      <c r="J72" s="2894" t="s">
        <v>3282</v>
      </c>
      <c r="K72" s="2894" t="s">
        <v>3282</v>
      </c>
      <c r="L72" s="2894">
        <v>176633</v>
      </c>
      <c r="M72" s="2894">
        <v>178000</v>
      </c>
      <c r="N72" s="2894">
        <v>4426.2700000000004</v>
      </c>
      <c r="O72" s="2894">
        <v>0.77</v>
      </c>
      <c r="P72" s="2894" t="s">
        <v>3285</v>
      </c>
      <c r="Q72" s="2894" t="s">
        <v>3060</v>
      </c>
    </row>
    <row r="73" spans="1:17" s="2894" customFormat="1" ht="27" hidden="1">
      <c r="A73" s="3192" t="s">
        <v>3286</v>
      </c>
      <c r="B73" s="2894" t="s">
        <v>3053</v>
      </c>
      <c r="C73" s="2894" t="s">
        <v>3054</v>
      </c>
      <c r="D73" s="2894">
        <v>152536.4</v>
      </c>
      <c r="E73" s="2894">
        <v>513066.3</v>
      </c>
      <c r="F73" s="2894" t="s">
        <v>3270</v>
      </c>
      <c r="G73" s="3194">
        <f t="shared" si="1"/>
        <v>3.36</v>
      </c>
      <c r="H73" s="2894" t="s">
        <v>3056</v>
      </c>
      <c r="I73" s="2894" t="s">
        <v>3057</v>
      </c>
      <c r="J73" s="2894" t="s">
        <v>3282</v>
      </c>
      <c r="K73" s="2894" t="s">
        <v>3282</v>
      </c>
      <c r="L73" s="2894">
        <v>227643</v>
      </c>
      <c r="M73" s="2894">
        <v>229000</v>
      </c>
      <c r="N73" s="2894">
        <v>4463.3500000000004</v>
      </c>
      <c r="O73" s="2894">
        <v>0.6</v>
      </c>
      <c r="P73" s="2894" t="s">
        <v>3287</v>
      </c>
      <c r="Q73" s="2894" t="s">
        <v>3060</v>
      </c>
    </row>
    <row r="74" spans="1:17" s="2894" customFormat="1" ht="40.5" hidden="1">
      <c r="A74" s="3192" t="s">
        <v>3288</v>
      </c>
      <c r="B74" s="2894" t="s">
        <v>3053</v>
      </c>
      <c r="C74" s="2894" t="s">
        <v>3073</v>
      </c>
      <c r="D74" s="2894">
        <v>173473.6</v>
      </c>
      <c r="E74" s="2894">
        <v>312252.5</v>
      </c>
      <c r="F74" s="2894" t="s">
        <v>3289</v>
      </c>
      <c r="G74" s="3194">
        <f t="shared" si="1"/>
        <v>1.8</v>
      </c>
      <c r="H74" s="2894" t="s">
        <v>3063</v>
      </c>
      <c r="I74" s="2894" t="s">
        <v>3075</v>
      </c>
      <c r="J74" s="2894" t="s">
        <v>3282</v>
      </c>
      <c r="K74" s="2894" t="s">
        <v>3282</v>
      </c>
      <c r="L74" s="2894">
        <v>234190</v>
      </c>
      <c r="M74" s="2894">
        <v>234190</v>
      </c>
      <c r="N74" s="2894">
        <v>7500.02</v>
      </c>
      <c r="O74" s="2894">
        <v>0</v>
      </c>
      <c r="P74" s="2894" t="s">
        <v>3246</v>
      </c>
      <c r="Q74" s="2894" t="s">
        <v>3060</v>
      </c>
    </row>
    <row r="75" spans="1:17" s="2894" customFormat="1" ht="13.5" hidden="1">
      <c r="A75" s="3192" t="s">
        <v>3290</v>
      </c>
      <c r="B75" s="2894" t="s">
        <v>3053</v>
      </c>
      <c r="C75" s="2894" t="s">
        <v>3054</v>
      </c>
      <c r="D75" s="2894">
        <v>29709</v>
      </c>
      <c r="E75" s="2894">
        <v>128006</v>
      </c>
      <c r="F75" s="2894" t="s">
        <v>3291</v>
      </c>
      <c r="G75" s="3194">
        <f t="shared" si="1"/>
        <v>4.3099999999999996</v>
      </c>
      <c r="H75" s="2894" t="s">
        <v>3056</v>
      </c>
      <c r="I75" s="2894" t="s">
        <v>3292</v>
      </c>
      <c r="J75" s="2894" t="s">
        <v>3293</v>
      </c>
      <c r="K75" s="2894" t="s">
        <v>3293</v>
      </c>
      <c r="L75" s="2894">
        <v>102405</v>
      </c>
      <c r="M75" s="2894">
        <v>122000</v>
      </c>
      <c r="N75" s="2894">
        <v>9530.7900000000009</v>
      </c>
      <c r="O75" s="2894">
        <v>19.13</v>
      </c>
      <c r="P75" s="2894" t="s">
        <v>3294</v>
      </c>
      <c r="Q75" s="2894" t="s">
        <v>3060</v>
      </c>
    </row>
    <row r="76" spans="1:17" s="2894" customFormat="1" ht="13.5" hidden="1">
      <c r="A76" s="3192" t="s">
        <v>3295</v>
      </c>
      <c r="B76" s="2894" t="s">
        <v>3053</v>
      </c>
      <c r="C76" s="2894" t="s">
        <v>3073</v>
      </c>
      <c r="D76" s="2894">
        <v>107414.8</v>
      </c>
      <c r="E76" s="2894">
        <v>268537</v>
      </c>
      <c r="F76" s="2894" t="s">
        <v>3296</v>
      </c>
      <c r="G76" s="3194">
        <f t="shared" si="1"/>
        <v>2.5</v>
      </c>
      <c r="H76" s="2894" t="s">
        <v>3063</v>
      </c>
      <c r="I76" s="2894" t="s">
        <v>3075</v>
      </c>
      <c r="J76" s="2894" t="s">
        <v>3297</v>
      </c>
      <c r="K76" s="2894" t="s">
        <v>3297</v>
      </c>
      <c r="L76" s="2894">
        <v>67242</v>
      </c>
      <c r="M76" s="2894">
        <v>67242</v>
      </c>
      <c r="N76" s="2894">
        <v>2504.0100000000002</v>
      </c>
      <c r="O76" s="2894">
        <v>0</v>
      </c>
      <c r="P76" s="2894" t="s">
        <v>3298</v>
      </c>
      <c r="Q76" s="2894" t="s">
        <v>3071</v>
      </c>
    </row>
    <row r="77" spans="1:17" s="2894" customFormat="1" ht="27" hidden="1">
      <c r="A77" s="3192" t="s">
        <v>3299</v>
      </c>
      <c r="B77" s="2894" t="s">
        <v>3053</v>
      </c>
      <c r="C77" s="2894" t="s">
        <v>3054</v>
      </c>
      <c r="D77" s="2894">
        <v>181147.5</v>
      </c>
      <c r="E77" s="2894">
        <v>299772.7</v>
      </c>
      <c r="F77" s="2894" t="s">
        <v>3300</v>
      </c>
      <c r="G77" s="3194">
        <f t="shared" si="1"/>
        <v>1.65</v>
      </c>
      <c r="H77" s="2894" t="s">
        <v>3063</v>
      </c>
      <c r="I77" s="2894" t="s">
        <v>3301</v>
      </c>
      <c r="J77" s="2894" t="s">
        <v>3297</v>
      </c>
      <c r="K77" s="2894" t="s">
        <v>3297</v>
      </c>
      <c r="L77" s="2894">
        <v>79457</v>
      </c>
      <c r="M77" s="2894">
        <v>79457</v>
      </c>
      <c r="N77" s="2894">
        <v>2650.57</v>
      </c>
      <c r="O77" s="2894">
        <v>0</v>
      </c>
      <c r="P77" s="2894" t="s">
        <v>3298</v>
      </c>
      <c r="Q77" s="2894" t="s">
        <v>3071</v>
      </c>
    </row>
    <row r="78" spans="1:17" s="2894" customFormat="1" ht="13.5" hidden="1">
      <c r="A78" s="3192" t="s">
        <v>3302</v>
      </c>
      <c r="B78" s="2894" t="s">
        <v>3053</v>
      </c>
      <c r="C78" s="2894" t="s">
        <v>3073</v>
      </c>
      <c r="D78" s="2894">
        <v>200517.8</v>
      </c>
      <c r="E78" s="2894">
        <v>543829.6</v>
      </c>
      <c r="F78" s="2894" t="s">
        <v>3303</v>
      </c>
      <c r="G78" s="3194">
        <f t="shared" si="1"/>
        <v>2.71</v>
      </c>
      <c r="H78" s="2894" t="s">
        <v>3063</v>
      </c>
      <c r="I78" s="2894" t="s">
        <v>3075</v>
      </c>
      <c r="J78" s="2894" t="s">
        <v>3297</v>
      </c>
      <c r="K78" s="2894" t="s">
        <v>3297</v>
      </c>
      <c r="L78" s="2894">
        <v>136064</v>
      </c>
      <c r="M78" s="2894">
        <v>136064</v>
      </c>
      <c r="N78" s="2894">
        <v>2501.96</v>
      </c>
      <c r="O78" s="2894">
        <v>0</v>
      </c>
      <c r="P78" s="2894" t="s">
        <v>3298</v>
      </c>
      <c r="Q78" s="2894" t="s">
        <v>3082</v>
      </c>
    </row>
    <row r="79" spans="1:17" s="2894" customFormat="1" ht="13.5" hidden="1">
      <c r="A79" s="3192" t="s">
        <v>3304</v>
      </c>
      <c r="B79" s="2894" t="s">
        <v>3053</v>
      </c>
      <c r="C79" s="2894" t="s">
        <v>3073</v>
      </c>
      <c r="D79" s="2894">
        <v>170369.8</v>
      </c>
      <c r="E79" s="2894">
        <v>425924.5</v>
      </c>
      <c r="F79" s="2894" t="s">
        <v>3296</v>
      </c>
      <c r="G79" s="3194">
        <f t="shared" si="1"/>
        <v>2.5</v>
      </c>
      <c r="H79" s="2894" t="s">
        <v>3063</v>
      </c>
      <c r="I79" s="2894" t="s">
        <v>3075</v>
      </c>
      <c r="J79" s="2894" t="s">
        <v>3297</v>
      </c>
      <c r="K79" s="2894" t="s">
        <v>3297</v>
      </c>
      <c r="L79" s="2894">
        <v>106311</v>
      </c>
      <c r="M79" s="2894">
        <v>106311</v>
      </c>
      <c r="N79" s="2894">
        <v>2496.0100000000002</v>
      </c>
      <c r="O79" s="2894">
        <v>0</v>
      </c>
      <c r="P79" s="2894" t="s">
        <v>3298</v>
      </c>
      <c r="Q79" s="2894" t="s">
        <v>3071</v>
      </c>
    </row>
    <row r="80" spans="1:17" s="2894" customFormat="1" ht="13.5" hidden="1">
      <c r="A80" s="3192" t="s">
        <v>3305</v>
      </c>
      <c r="B80" s="2894" t="s">
        <v>3053</v>
      </c>
      <c r="C80" s="2894" t="s">
        <v>3054</v>
      </c>
      <c r="D80" s="2894">
        <v>142177.4</v>
      </c>
      <c r="E80" s="2894">
        <v>160827.29999999999</v>
      </c>
      <c r="F80" s="2894" t="s">
        <v>3306</v>
      </c>
      <c r="G80" s="3194">
        <f t="shared" si="1"/>
        <v>1.1299999999999999</v>
      </c>
      <c r="H80" s="2894" t="s">
        <v>3056</v>
      </c>
      <c r="I80" s="2894" t="s">
        <v>3307</v>
      </c>
      <c r="J80" s="2894" t="s">
        <v>3297</v>
      </c>
      <c r="K80" s="2894" t="s">
        <v>3297</v>
      </c>
      <c r="L80" s="2894">
        <v>136704</v>
      </c>
      <c r="M80" s="2894">
        <v>184952</v>
      </c>
      <c r="N80" s="2894">
        <v>11500.04</v>
      </c>
      <c r="O80" s="2894">
        <v>35.29</v>
      </c>
      <c r="P80" s="2894" t="s">
        <v>3308</v>
      </c>
      <c r="Q80" s="2894" t="s">
        <v>3071</v>
      </c>
    </row>
    <row r="81" spans="1:17" s="2894" customFormat="1" ht="27" hidden="1">
      <c r="A81" s="3192" t="s">
        <v>3309</v>
      </c>
      <c r="B81" s="2894" t="s">
        <v>3053</v>
      </c>
      <c r="C81" s="2894" t="s">
        <v>3054</v>
      </c>
      <c r="D81" s="2894">
        <v>178221.8</v>
      </c>
      <c r="E81" s="2894">
        <v>195297.4</v>
      </c>
      <c r="F81" s="2894" t="s">
        <v>3310</v>
      </c>
      <c r="G81" s="3194">
        <f t="shared" si="1"/>
        <v>1.1000000000000001</v>
      </c>
      <c r="H81" s="2894" t="s">
        <v>3056</v>
      </c>
      <c r="I81" s="2894" t="s">
        <v>3311</v>
      </c>
      <c r="J81" s="2894" t="s">
        <v>3312</v>
      </c>
      <c r="K81" s="2894" t="s">
        <v>3312</v>
      </c>
      <c r="L81" s="2894">
        <v>166003</v>
      </c>
      <c r="M81" s="2894">
        <v>224593</v>
      </c>
      <c r="N81" s="2894">
        <v>11500.04</v>
      </c>
      <c r="O81" s="2894">
        <v>35.29</v>
      </c>
      <c r="P81" s="2894" t="s">
        <v>3313</v>
      </c>
      <c r="Q81" s="2894" t="s">
        <v>3082</v>
      </c>
    </row>
    <row r="82" spans="1:17" s="2894" customFormat="1" ht="27" hidden="1">
      <c r="A82" s="3192" t="s">
        <v>3314</v>
      </c>
      <c r="B82" s="2894" t="s">
        <v>3053</v>
      </c>
      <c r="C82" s="2894" t="s">
        <v>3073</v>
      </c>
      <c r="D82" s="2894">
        <v>138393.9</v>
      </c>
      <c r="E82" s="2894">
        <v>187009.1</v>
      </c>
      <c r="F82" s="2894" t="s">
        <v>3315</v>
      </c>
      <c r="G82" s="3194">
        <f t="shared" si="1"/>
        <v>1.35</v>
      </c>
      <c r="H82" s="2894" t="s">
        <v>3056</v>
      </c>
      <c r="I82" s="2894" t="s">
        <v>3075</v>
      </c>
      <c r="J82" s="2894" t="s">
        <v>3312</v>
      </c>
      <c r="K82" s="2894" t="s">
        <v>3312</v>
      </c>
      <c r="L82" s="2894">
        <v>145868</v>
      </c>
      <c r="M82" s="2894">
        <v>205000</v>
      </c>
      <c r="N82" s="2894">
        <v>10962.03</v>
      </c>
      <c r="O82" s="2894">
        <v>40.54</v>
      </c>
      <c r="P82" s="2894" t="s">
        <v>3316</v>
      </c>
      <c r="Q82" s="2894" t="s">
        <v>3082</v>
      </c>
    </row>
    <row r="83" spans="1:17" s="2894" customFormat="1" ht="13.5" hidden="1">
      <c r="A83" s="3192" t="s">
        <v>3317</v>
      </c>
      <c r="B83" s="2894" t="s">
        <v>3053</v>
      </c>
      <c r="C83" s="2894" t="s">
        <v>3073</v>
      </c>
      <c r="D83" s="2894">
        <v>94631.2</v>
      </c>
      <c r="E83" s="2894">
        <v>113557.4</v>
      </c>
      <c r="F83" s="2894" t="s">
        <v>3318</v>
      </c>
      <c r="G83" s="3194">
        <f t="shared" si="1"/>
        <v>1.2</v>
      </c>
      <c r="H83" s="2894" t="s">
        <v>3056</v>
      </c>
      <c r="I83" s="2894" t="s">
        <v>3075</v>
      </c>
      <c r="J83" s="2894" t="s">
        <v>3312</v>
      </c>
      <c r="K83" s="2894" t="s">
        <v>3312</v>
      </c>
      <c r="L83" s="2894">
        <v>96524</v>
      </c>
      <c r="M83" s="2894">
        <v>130592</v>
      </c>
      <c r="N83" s="2894">
        <v>11500.09</v>
      </c>
      <c r="O83" s="2894">
        <v>35.29</v>
      </c>
      <c r="P83" s="2894" t="s">
        <v>3319</v>
      </c>
      <c r="Q83" s="2894" t="s">
        <v>3082</v>
      </c>
    </row>
    <row r="84" spans="1:17" s="2894" customFormat="1" ht="13.5" hidden="1">
      <c r="A84" s="3192" t="s">
        <v>3320</v>
      </c>
      <c r="B84" s="2894" t="s">
        <v>3053</v>
      </c>
      <c r="C84" s="2894" t="s">
        <v>3073</v>
      </c>
      <c r="D84" s="2894">
        <v>61919.199999999997</v>
      </c>
      <c r="E84" s="2894">
        <v>111454.6</v>
      </c>
      <c r="F84" s="2894" t="s">
        <v>3321</v>
      </c>
      <c r="G84" s="3194">
        <f t="shared" si="1"/>
        <v>1.8</v>
      </c>
      <c r="H84" s="2894" t="s">
        <v>3056</v>
      </c>
      <c r="I84" s="2894" t="s">
        <v>3075</v>
      </c>
      <c r="J84" s="2894" t="s">
        <v>3322</v>
      </c>
      <c r="K84" s="2894" t="s">
        <v>3322</v>
      </c>
      <c r="L84" s="2894">
        <v>80248</v>
      </c>
      <c r="M84" s="2894">
        <v>81000</v>
      </c>
      <c r="N84" s="2894">
        <v>7267.52</v>
      </c>
      <c r="O84" s="2894">
        <v>0.94</v>
      </c>
      <c r="P84" s="2894" t="s">
        <v>3323</v>
      </c>
      <c r="Q84" s="2894" t="s">
        <v>3060</v>
      </c>
    </row>
    <row r="85" spans="1:17" s="2894" customFormat="1" ht="13.5" hidden="1">
      <c r="A85" s="3192" t="s">
        <v>3324</v>
      </c>
      <c r="B85" s="2894" t="s">
        <v>3053</v>
      </c>
      <c r="C85" s="2894" t="s">
        <v>3073</v>
      </c>
      <c r="D85" s="2894">
        <v>95788.9</v>
      </c>
      <c r="E85" s="2894">
        <v>191577.8</v>
      </c>
      <c r="F85" s="2894" t="s">
        <v>3095</v>
      </c>
      <c r="G85" s="3194">
        <f t="shared" si="1"/>
        <v>2</v>
      </c>
      <c r="H85" s="2894" t="s">
        <v>3056</v>
      </c>
      <c r="I85" s="2894" t="s">
        <v>3075</v>
      </c>
      <c r="J85" s="2894" t="s">
        <v>3322</v>
      </c>
      <c r="K85" s="2894" t="s">
        <v>3322</v>
      </c>
      <c r="L85" s="2894">
        <v>143684</v>
      </c>
      <c r="M85" s="2894">
        <v>206000</v>
      </c>
      <c r="N85" s="2894">
        <v>10752.8</v>
      </c>
      <c r="O85" s="2894">
        <v>43.37</v>
      </c>
      <c r="P85" s="2894" t="s">
        <v>3325</v>
      </c>
      <c r="Q85" s="2894" t="s">
        <v>3071</v>
      </c>
    </row>
    <row r="86" spans="1:17" s="2894" customFormat="1" ht="27" hidden="1">
      <c r="A86" s="3192" t="s">
        <v>3326</v>
      </c>
      <c r="B86" s="2894" t="s">
        <v>3053</v>
      </c>
      <c r="C86" s="2894" t="s">
        <v>3073</v>
      </c>
      <c r="D86" s="2894">
        <v>167963</v>
      </c>
      <c r="E86" s="2894">
        <v>167968.5</v>
      </c>
      <c r="F86" s="2894">
        <v>1</v>
      </c>
      <c r="G86" s="3194">
        <f t="shared" si="1"/>
        <v>1</v>
      </c>
      <c r="H86" s="2894" t="s">
        <v>3056</v>
      </c>
      <c r="I86" s="2894" t="s">
        <v>3075</v>
      </c>
      <c r="J86" s="2894" t="s">
        <v>3327</v>
      </c>
      <c r="K86" s="2894" t="s">
        <v>3327</v>
      </c>
      <c r="L86" s="2894">
        <v>67317</v>
      </c>
      <c r="M86" s="2894">
        <v>67900</v>
      </c>
      <c r="N86" s="2894">
        <v>4042.42</v>
      </c>
      <c r="O86" s="2894">
        <v>0.87</v>
      </c>
      <c r="P86" s="2894" t="s">
        <v>3328</v>
      </c>
      <c r="Q86" s="2894" t="s">
        <v>3060</v>
      </c>
    </row>
    <row r="87" spans="1:17" s="2894" customFormat="1" ht="27" hidden="1">
      <c r="A87" s="3192" t="s">
        <v>3329</v>
      </c>
      <c r="B87" s="2894" t="s">
        <v>3053</v>
      </c>
      <c r="C87" s="2894" t="s">
        <v>3054</v>
      </c>
      <c r="D87" s="2894">
        <v>163484</v>
      </c>
      <c r="E87" s="2894">
        <v>182665.2</v>
      </c>
      <c r="F87" s="2894" t="s">
        <v>3310</v>
      </c>
      <c r="G87" s="3194">
        <f t="shared" si="1"/>
        <v>1.1200000000000001</v>
      </c>
      <c r="H87" s="2894" t="s">
        <v>3056</v>
      </c>
      <c r="I87" s="2894" t="s">
        <v>3088</v>
      </c>
      <c r="J87" s="2894" t="s">
        <v>3327</v>
      </c>
      <c r="K87" s="2894" t="s">
        <v>3327</v>
      </c>
      <c r="L87" s="2894">
        <v>73213</v>
      </c>
      <c r="M87" s="2894">
        <v>73800</v>
      </c>
      <c r="N87" s="2894">
        <v>4040.17</v>
      </c>
      <c r="O87" s="2894">
        <v>0.8</v>
      </c>
      <c r="P87" s="2894" t="s">
        <v>3330</v>
      </c>
      <c r="Q87" s="2894" t="s">
        <v>3060</v>
      </c>
    </row>
    <row r="88" spans="1:17" s="2894" customFormat="1" ht="27" hidden="1">
      <c r="A88" s="3192" t="s">
        <v>3331</v>
      </c>
      <c r="B88" s="2894" t="s">
        <v>3053</v>
      </c>
      <c r="C88" s="2894" t="s">
        <v>3054</v>
      </c>
      <c r="D88" s="2894">
        <v>315345</v>
      </c>
      <c r="E88" s="2894">
        <v>222052.9</v>
      </c>
      <c r="F88" s="2894" t="s">
        <v>3332</v>
      </c>
      <c r="G88" s="3194">
        <f t="shared" si="1"/>
        <v>0.7</v>
      </c>
      <c r="H88" s="2894" t="s">
        <v>3056</v>
      </c>
      <c r="I88" s="2894" t="s">
        <v>3069</v>
      </c>
      <c r="J88" s="2894" t="s">
        <v>3333</v>
      </c>
      <c r="K88" s="2894" t="s">
        <v>3334</v>
      </c>
      <c r="L88" s="2894">
        <v>78009</v>
      </c>
      <c r="M88" s="2894">
        <v>101500</v>
      </c>
      <c r="N88" s="2894">
        <v>4570.97</v>
      </c>
      <c r="O88" s="2894">
        <v>30.11</v>
      </c>
      <c r="P88" s="2894" t="s">
        <v>3335</v>
      </c>
      <c r="Q88" s="2894" t="s">
        <v>3060</v>
      </c>
    </row>
    <row r="89" spans="1:17" s="2894" customFormat="1" ht="13.5" hidden="1">
      <c r="A89" s="3192" t="s">
        <v>3336</v>
      </c>
      <c r="B89" s="2894" t="s">
        <v>3053</v>
      </c>
      <c r="C89" s="2894" t="s">
        <v>3073</v>
      </c>
      <c r="D89" s="2894">
        <v>30332</v>
      </c>
      <c r="E89" s="2894">
        <v>75830</v>
      </c>
      <c r="F89" s="2894" t="s">
        <v>3296</v>
      </c>
      <c r="G89" s="3194">
        <f t="shared" si="1"/>
        <v>2.5</v>
      </c>
      <c r="H89" s="2894" t="s">
        <v>3056</v>
      </c>
      <c r="I89" s="2894" t="s">
        <v>3075</v>
      </c>
      <c r="J89" s="2894" t="s">
        <v>3337</v>
      </c>
      <c r="K89" s="2894" t="s">
        <v>3337</v>
      </c>
      <c r="L89" s="2894">
        <v>59148</v>
      </c>
      <c r="M89" s="2894">
        <v>87205</v>
      </c>
      <c r="N89" s="2894">
        <v>11500.06</v>
      </c>
      <c r="O89" s="2894">
        <v>47.44</v>
      </c>
      <c r="P89" s="2894" t="s">
        <v>3200</v>
      </c>
      <c r="Q89" s="2894" t="s">
        <v>3060</v>
      </c>
    </row>
  </sheetData>
  <autoFilter ref="A1:Q89">
    <filterColumn colId="0">
      <filters>
        <filter val="两江新区悦来组团C分区C17-3、C17-4-1号宗地"/>
        <filter val="两江新区悦来组团C分区C53/05号宗地"/>
        <filter val="两江新区悦来组团C分区C62-2/06、C62-3-3/05、C63/05、C64/05、C65-1/05、C66/05、C67/05、C68/05、C69-1/05、C69-2/05号宗地"/>
        <filter val="两江新区悦来组团C分区C71-2/05、C74/05、C75-2/05、C81/05、C82/05、C83-3/05、C83-2/05、C84/05、C60-1/05、C61-2/05号宗地"/>
        <filter val="两江新区悦来组团C分区C89/05、C60-2/06、C79-2/05、C78-2/05、C73/05、C76/05、C75-1/05号宗地"/>
        <filter val="两江新区悦来组团D分区D21-1/03、D21-2/03号宗地"/>
        <filter val="两江新区悦来组团D分区D22-1、D22-3号宗地"/>
        <filter val="两江新区悦来组团D分区D25-1、D24-1-2号宗地"/>
        <filter val="两江新区悦来组团D分区D35-3、D36-5、D39-4、D34-2、D35-4号宗地"/>
        <filter val="两江新区悦来组团D分区D39-1、D40-1、D40-2、D37-3、D36-2、D43-3号宗地"/>
        <filter val="两江新区悦来组团Q分区Q15-1、Q15-4号宗地"/>
        <filter val="两江新区悦来组团Q分区Q15-2、Q15-3号宗地"/>
        <filter val="两江新区悦来组团Q分区Q15-6、Q16-1号宗地"/>
        <filter val="两江新区悦来组团Q分区Q18-2、Q19-1号宗地"/>
        <filter val="两江新区悦来组团Q分区Q20-1、Q21-1号宗地"/>
      </filters>
    </filterColumn>
  </autoFilter>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1.62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41117</v>
      </c>
      <c r="C2" s="2089"/>
      <c r="D2" s="2089"/>
      <c r="E2" s="2089"/>
      <c r="F2" s="2089"/>
      <c r="G2" s="2089"/>
      <c r="H2" s="2089"/>
      <c r="I2" s="2089"/>
      <c r="J2" s="2089"/>
      <c r="K2" s="2089"/>
    </row>
    <row r="3" spans="1:31" s="2026" customFormat="1" ht="18" customHeight="1">
      <c r="A3" s="2091" t="s">
        <v>1682</v>
      </c>
      <c r="B3" s="2092">
        <f ca="1">ROUND(B2*10000/IF(B1="",'数据-汇总表'!E3,INDIRECT("'数据-取费表'!K"&amp;$K$1)),0)</f>
        <v>6534</v>
      </c>
      <c r="C3" s="2089"/>
      <c r="D3" s="2089"/>
      <c r="E3" s="2089"/>
      <c r="F3" s="2089"/>
      <c r="G3" s="2089"/>
      <c r="H3" s="2089"/>
      <c r="I3" s="2089"/>
      <c r="J3" s="2089"/>
      <c r="K3" s="2089"/>
    </row>
    <row r="4" spans="1:31" s="2026" customFormat="1" ht="18" customHeight="1">
      <c r="A4" s="426" t="s">
        <v>468</v>
      </c>
      <c r="B4" s="427">
        <f ca="1">ROUND(B2*10000/IF(B1="",'数据-汇总表'!D3,INDIRECT("'数据-取费表'!R"&amp;$K$1)),0)</f>
        <v>8389</v>
      </c>
      <c r="C4" s="428"/>
      <c r="D4" s="422"/>
      <c r="E4" s="422"/>
      <c r="F4" s="422"/>
      <c r="G4" s="422"/>
      <c r="H4" s="422"/>
      <c r="I4" s="422"/>
      <c r="J4" s="422"/>
      <c r="K4" s="422"/>
    </row>
    <row r="5" spans="1:31" s="2026" customFormat="1" ht="18" customHeight="1" thickBot="1">
      <c r="A5" s="429"/>
      <c r="B5" s="430">
        <f ca="1">ROUND(B2/(IF(B1="",'数据-汇总表'!D3,INDIRECT("'数据-取费表'!R"&amp;$K$1))/666.67),0)</f>
        <v>559</v>
      </c>
      <c r="C5" s="431" t="s">
        <v>469</v>
      </c>
      <c r="D5" s="422"/>
      <c r="E5" s="422"/>
      <c r="F5" s="422"/>
      <c r="G5" s="422"/>
      <c r="H5" s="422"/>
      <c r="I5" s="422"/>
      <c r="J5" s="422"/>
      <c r="K5" s="422"/>
    </row>
    <row r="6" spans="1:31" s="2096" customFormat="1" ht="16.5" customHeight="1">
      <c r="A6" s="2783" t="s">
        <v>1840</v>
      </c>
      <c r="B6" s="2784"/>
      <c r="C6" s="2785">
        <f>SUM(C10:K10)</f>
        <v>75191</v>
      </c>
      <c r="D6" s="2784"/>
      <c r="E6" s="2784"/>
      <c r="F6" s="2784"/>
      <c r="G6" s="2784"/>
      <c r="H6" s="2784"/>
      <c r="I6" s="2784"/>
      <c r="J6" s="2784"/>
      <c r="K6" s="2786"/>
    </row>
    <row r="7" spans="1:31" s="2098" customFormat="1" ht="15">
      <c r="A7" s="2787" t="s">
        <v>470</v>
      </c>
      <c r="B7" s="2788" t="s">
        <v>471</v>
      </c>
      <c r="C7" s="436" t="s">
        <v>3364</v>
      </c>
      <c r="D7" s="436" t="s">
        <v>3001</v>
      </c>
      <c r="E7" s="436" t="s">
        <v>35</v>
      </c>
      <c r="F7" s="436"/>
      <c r="G7" s="436"/>
      <c r="H7" s="436"/>
      <c r="I7" s="436"/>
      <c r="J7" s="436"/>
      <c r="K7" s="437"/>
      <c r="L7" s="2097"/>
      <c r="M7" s="3195" t="s">
        <v>3340</v>
      </c>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v>16000</v>
      </c>
      <c r="D8" s="2789">
        <f>'[1]剩余法-待开发'!$D$8</f>
        <v>16000</v>
      </c>
      <c r="E8" s="2789">
        <f>'[1]剩余法-待开发'!$E$8</f>
        <v>11</v>
      </c>
      <c r="F8" s="2789"/>
      <c r="G8" s="2789"/>
      <c r="H8" s="2789"/>
      <c r="I8" s="2789"/>
      <c r="J8" s="2789"/>
      <c r="K8" s="2790"/>
      <c r="L8" s="2099">
        <f>明细!G8</f>
        <v>1603.1</v>
      </c>
      <c r="M8" s="2099" t="s">
        <v>3338</v>
      </c>
      <c r="N8" s="2099">
        <v>20000</v>
      </c>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41090.31</v>
      </c>
      <c r="D9" s="441">
        <f>SUMIF('数据-汇总表'!$C19:$C33,'剩余法-待开发'!D7,'数据-汇总表'!$E19:$E33)</f>
        <v>2597.5300000000002</v>
      </c>
      <c r="E9" s="441">
        <f>SUMIF('数据-汇总表'!$C19:$C33,'剩余法-待开发'!E7,'数据-汇总表'!$E19:$E33)</f>
        <v>19236.86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f>明细!G9</f>
        <v>1269.92</v>
      </c>
      <c r="M9" s="2099" t="s">
        <v>3339</v>
      </c>
      <c r="N9" s="2099">
        <f>N8*O9</f>
        <v>12000</v>
      </c>
      <c r="O9" s="2099">
        <v>0.6</v>
      </c>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65744</v>
      </c>
      <c r="D10" s="2981">
        <f>ROUND(D8*D9/10000,0)</f>
        <v>4156</v>
      </c>
      <c r="E10" s="2981">
        <f>E8*L12</f>
        <v>5291</v>
      </c>
      <c r="F10" s="2792"/>
      <c r="G10" s="2792"/>
      <c r="H10" s="2792"/>
      <c r="I10" s="2792"/>
      <c r="J10" s="2792"/>
      <c r="K10" s="2793"/>
      <c r="L10" s="2099">
        <f>L8+L9</f>
        <v>2873.02</v>
      </c>
      <c r="M10" s="2099">
        <f>(L8*N8+L9*N9)/L10</f>
        <v>16463.874250788369</v>
      </c>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c r="L12" s="2070">
        <v>481</v>
      </c>
    </row>
    <row r="13" spans="1:31" s="2101" customFormat="1" ht="13.5" customHeight="1">
      <c r="A13" s="2797" t="s">
        <v>1846</v>
      </c>
      <c r="B13" s="2798" t="s">
        <v>479</v>
      </c>
      <c r="C13" s="450">
        <f ca="1">IF(B1="",'数据-取费表'!P16,INDIRECT("'数据-取费表'!p"&amp;$K$1)+INDIRECT("'数据-取费表'!t"&amp;$K$1))</f>
        <v>13152</v>
      </c>
      <c r="D13" s="2799"/>
      <c r="E13" s="2800"/>
      <c r="F13" s="2801"/>
      <c r="G13" s="2767"/>
      <c r="H13" s="2768"/>
      <c r="I13" s="2768"/>
      <c r="J13" s="2768"/>
      <c r="K13" s="2769"/>
    </row>
    <row r="14" spans="1:31" s="2101" customFormat="1" ht="13.5" customHeight="1">
      <c r="A14" s="2797" t="s">
        <v>1847</v>
      </c>
      <c r="B14" s="2798" t="s">
        <v>480</v>
      </c>
      <c r="C14" s="53">
        <f ca="1">ROUND(C13*F14,0)</f>
        <v>395</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452</v>
      </c>
      <c r="D15" s="2799"/>
      <c r="E15" s="2800"/>
      <c r="F15" s="2802">
        <f>'数据-取费表'!B34</f>
        <v>0.05</v>
      </c>
      <c r="G15" s="2767" t="s">
        <v>483</v>
      </c>
      <c r="H15" s="2768"/>
      <c r="I15" s="2768"/>
      <c r="J15" s="2768"/>
      <c r="K15" s="2769"/>
    </row>
    <row r="16" spans="1:31" s="2102" customFormat="1" ht="13.5" customHeight="1">
      <c r="A16" s="2797" t="s">
        <v>1849</v>
      </c>
      <c r="B16" s="2798" t="s">
        <v>484</v>
      </c>
      <c r="C16" s="53">
        <f ca="1">ROUND(D16*E16/10000,0)</f>
        <v>1258</v>
      </c>
      <c r="D16" s="2799">
        <f ca="1">IF(B1="",'数据-汇总表'!E3,INDIRECT("'数据-取费表'!K"&amp;$K$1)+INDIRECT("'数据-取费表'!S"&amp;$K$1))</f>
        <v>62924.7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197</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15454</v>
      </c>
      <c r="D18" s="2808"/>
      <c r="E18" s="468"/>
      <c r="F18" s="468"/>
      <c r="G18" s="2771" t="s">
        <v>2424</v>
      </c>
      <c r="H18" s="2772"/>
      <c r="I18" s="2772"/>
      <c r="J18" s="2772"/>
      <c r="K18" s="2773"/>
    </row>
    <row r="19" spans="1:14" s="2101" customFormat="1" ht="13.5" customHeight="1">
      <c r="A19" s="2805" t="s">
        <v>1852</v>
      </c>
      <c r="B19" s="2806" t="s">
        <v>488</v>
      </c>
      <c r="C19" s="2763">
        <f ca="1">ROUND(D19*E19/10000,0)</f>
        <v>629</v>
      </c>
      <c r="D19" s="2809">
        <f ca="1">D16</f>
        <v>62924.7</v>
      </c>
      <c r="E19" s="2763">
        <f>'数据-取费表'!B32</f>
        <v>100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1825</v>
      </c>
      <c r="D20" s="2809"/>
      <c r="E20" s="2763"/>
      <c r="F20" s="2810"/>
      <c r="G20" s="3033"/>
      <c r="H20" s="2765"/>
      <c r="I20" s="2766" t="s">
        <v>2644</v>
      </c>
      <c r="J20" s="2772"/>
      <c r="K20" s="2773"/>
    </row>
    <row r="21" spans="1:14" s="2101" customFormat="1" ht="13.5" customHeight="1">
      <c r="A21" s="2797" t="s">
        <v>1854</v>
      </c>
      <c r="B21" s="2798" t="s">
        <v>491</v>
      </c>
      <c r="C21" s="53">
        <f ca="1">ROUND(D21*E21/10000,0)</f>
        <v>1267</v>
      </c>
      <c r="D21" s="2799">
        <f ca="1">IF(B1="",'数据-汇总表'!E5,IF(INDIRECT("'数据-取费表'!c"&amp;$K$1)="住宅",INDIRECT("'数据-取费表'!k"&amp;$K$1),0))</f>
        <v>43687.839999999997</v>
      </c>
      <c r="E21" s="53">
        <f>'数据-取费表'!B27</f>
        <v>290</v>
      </c>
      <c r="F21" s="2802"/>
      <c r="G21" s="26"/>
      <c r="H21" s="51"/>
      <c r="I21" s="51"/>
      <c r="J21" s="51"/>
      <c r="K21" s="2774"/>
    </row>
    <row r="22" spans="1:14" s="2101" customFormat="1" ht="13.5" customHeight="1">
      <c r="A22" s="2797" t="s">
        <v>1855</v>
      </c>
      <c r="B22" s="2798" t="s">
        <v>492</v>
      </c>
      <c r="C22" s="53">
        <f ca="1">ROUND(D22*E22/10000,0)</f>
        <v>558</v>
      </c>
      <c r="D22" s="2799">
        <f ca="1">IF(B1="",'数据-汇总表'!E6,IF(INDIRECT("'数据-取费表'!c"&amp;$K$1)="住宅",INDIRECT("'数据-取费表'!s"&amp;$K$1),INDIRECT("'数据-取费表'!k"&amp;$K$1)+INDIRECT("'数据-取费表'!s"&amp;$K$1)))</f>
        <v>19236.86</v>
      </c>
      <c r="E22" s="53">
        <f>'数据-取费表'!B28</f>
        <v>290</v>
      </c>
      <c r="F22" s="2802"/>
      <c r="G22" s="26"/>
      <c r="H22" s="51"/>
      <c r="I22" s="51"/>
      <c r="J22" s="51"/>
      <c r="K22" s="2774"/>
    </row>
    <row r="23" spans="1:14" s="2101" customFormat="1" ht="13.5" customHeight="1">
      <c r="A23" s="2805" t="s">
        <v>1856</v>
      </c>
      <c r="B23" s="2987" t="s">
        <v>2827</v>
      </c>
      <c r="C23" s="2807">
        <f ca="1">ROUND((C18+C19+C20)*F23,0)</f>
        <v>358</v>
      </c>
      <c r="D23" s="468"/>
      <c r="E23" s="468"/>
      <c r="F23" s="2811">
        <f>'数据-取费表'!B37</f>
        <v>0.02</v>
      </c>
      <c r="G23" s="2767" t="s">
        <v>2425</v>
      </c>
      <c r="H23" s="2768"/>
      <c r="I23" s="2768"/>
      <c r="J23" s="2768"/>
      <c r="K23" s="2769"/>
      <c r="L23" s="2103"/>
      <c r="M23" s="2103"/>
      <c r="N23" s="2103"/>
    </row>
    <row r="24" spans="1:14" s="2101" customFormat="1" ht="13.5" customHeight="1">
      <c r="A24" s="2805" t="s">
        <v>1857</v>
      </c>
      <c r="B24" s="2987" t="s">
        <v>2830</v>
      </c>
      <c r="C24" s="2807">
        <f>ROUND(C6*F24,0)</f>
        <v>1504</v>
      </c>
      <c r="D24" s="475"/>
      <c r="E24" s="473"/>
      <c r="F24" s="2811">
        <f>'数据-取费表'!B38</f>
        <v>0.02</v>
      </c>
      <c r="G24" s="2776" t="s">
        <v>499</v>
      </c>
      <c r="H24" s="2770"/>
      <c r="I24" s="2770"/>
      <c r="J24" s="2770"/>
      <c r="K24" s="279"/>
      <c r="L24" s="2103"/>
      <c r="M24" s="2103"/>
      <c r="N24" s="2103"/>
    </row>
    <row r="25" spans="1:14" s="2104" customFormat="1" ht="13.5" customHeight="1">
      <c r="A25" s="2805" t="s">
        <v>1858</v>
      </c>
      <c r="B25" s="2987" t="s">
        <v>2828</v>
      </c>
      <c r="C25" s="467">
        <f>ROUND(F25/(1+'数据-取费表'!C42),4)</f>
        <v>2.9000000000000001E-2</v>
      </c>
      <c r="D25" s="462" t="s">
        <v>2822</v>
      </c>
      <c r="E25" s="469"/>
      <c r="F25" s="2811">
        <f>IF(项目基本情况!B8="出让",0,'数据-取费表'!B48+'数据-取费表'!B49)</f>
        <v>3.0499999999999999E-2</v>
      </c>
      <c r="G25" s="2775" t="s">
        <v>2283</v>
      </c>
      <c r="H25" s="2768"/>
      <c r="I25" s="2768"/>
      <c r="J25" s="2768"/>
      <c r="K25" s="2769"/>
    </row>
    <row r="26" spans="1:14" s="2103" customFormat="1" ht="13.5" customHeight="1">
      <c r="A26" s="2805" t="s">
        <v>1859</v>
      </c>
      <c r="B26" s="2988" t="s">
        <v>2829</v>
      </c>
      <c r="C26" s="2812">
        <f ca="1">C28</f>
        <v>430</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1855</v>
      </c>
      <c r="B28" s="2813" t="s">
        <v>2831</v>
      </c>
      <c r="C28" s="2815">
        <f ca="1">ROUND(IF('数据-取费表'!B22&lt;=1,(C18+C19+C20+C23+C24)*F26*'数据-取费表'!B24/2,(C18+C19+C20+C23+C24)*(POWER((1+F26),'数据-取费表'!B24/2)-1)),0)</f>
        <v>430</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1860</v>
      </c>
      <c r="B29" s="2806" t="s">
        <v>497</v>
      </c>
      <c r="C29" s="2807">
        <f>ROUND(C6*F29/(1+'数据-取费表'!C42),0)</f>
        <v>4010</v>
      </c>
      <c r="D29" s="468"/>
      <c r="E29" s="468"/>
      <c r="F29" s="2989">
        <f>'数据-取费表'!B41</f>
        <v>5.6000000000000001E-2</v>
      </c>
      <c r="G29" s="2776" t="s">
        <v>498</v>
      </c>
      <c r="H29" s="2768"/>
      <c r="I29" s="2768"/>
      <c r="J29" s="2768"/>
      <c r="K29" s="2769"/>
    </row>
    <row r="30" spans="1:14" s="2106" customFormat="1" ht="13.5" customHeight="1">
      <c r="A30" s="1620" t="s">
        <v>1861</v>
      </c>
      <c r="B30" s="2817" t="s">
        <v>500</v>
      </c>
      <c r="C30" s="2812">
        <f ca="1">C31</f>
        <v>24210</v>
      </c>
      <c r="D30" s="477">
        <f ca="1">C32</f>
        <v>7.3800000000000004E-2</v>
      </c>
      <c r="E30" s="469" t="s">
        <v>495</v>
      </c>
      <c r="F30" s="471"/>
      <c r="G30" s="2775" t="s">
        <v>2959</v>
      </c>
      <c r="H30" s="2768"/>
      <c r="I30" s="2768"/>
      <c r="J30" s="2768"/>
      <c r="K30" s="2769"/>
    </row>
    <row r="31" spans="1:14" s="2105" customFormat="1" ht="13.5" customHeight="1">
      <c r="A31" s="803" t="s">
        <v>1854</v>
      </c>
      <c r="B31" s="2813"/>
      <c r="C31" s="450">
        <f ca="1">C18+C19+C20+C23+C24+C26+C29</f>
        <v>24210</v>
      </c>
      <c r="D31" s="472"/>
      <c r="E31" s="473"/>
      <c r="F31" s="474"/>
      <c r="G31" s="261"/>
      <c r="H31" s="2770"/>
      <c r="I31" s="2770"/>
      <c r="J31" s="2770"/>
      <c r="K31" s="279"/>
    </row>
    <row r="32" spans="1:14" s="2105" customFormat="1" ht="13.5" customHeight="1">
      <c r="A32" s="803" t="s">
        <v>1855</v>
      </c>
      <c r="B32" s="2813"/>
      <c r="C32" s="53">
        <f ca="1">ROUND(C25+D26,4)</f>
        <v>7.3800000000000004E-2</v>
      </c>
      <c r="D32" s="472"/>
      <c r="E32" s="473"/>
      <c r="F32" s="474"/>
      <c r="G32" s="261"/>
      <c r="H32" s="2770"/>
      <c r="I32" s="2770"/>
      <c r="J32" s="2770"/>
      <c r="K32" s="279"/>
    </row>
    <row r="33" spans="1:11" s="2107" customFormat="1" ht="13.5" customHeight="1">
      <c r="A33" s="2986" t="s">
        <v>2826</v>
      </c>
      <c r="B33" s="2984" t="s">
        <v>2824</v>
      </c>
      <c r="C33" s="478">
        <f ca="1">C35</f>
        <v>2175</v>
      </c>
      <c r="D33" s="467">
        <f ca="1">C34</f>
        <v>0.1132</v>
      </c>
      <c r="E33" s="469" t="s">
        <v>495</v>
      </c>
      <c r="F33" s="479">
        <f ca="1">IF(B1="",'数据-取费表'!Q16,INDIRECT("'数据-取费表'!q"&amp;$K$1))</f>
        <v>0.11</v>
      </c>
      <c r="G33" s="2771"/>
      <c r="H33" s="2772"/>
      <c r="I33" s="2772"/>
      <c r="J33" s="2772"/>
      <c r="K33" s="2773"/>
    </row>
    <row r="34" spans="1:11" s="2108" customFormat="1" ht="13.5" customHeight="1">
      <c r="A34" s="375" t="s">
        <v>1854</v>
      </c>
      <c r="B34" s="2818" t="s">
        <v>501</v>
      </c>
      <c r="C34" s="472">
        <f ca="1">ROUND((1+C25)*F33,4)</f>
        <v>0.1132</v>
      </c>
      <c r="D34" s="472"/>
      <c r="E34" s="473"/>
      <c r="F34" s="480"/>
      <c r="G34" s="261" t="s">
        <v>2284</v>
      </c>
      <c r="H34" s="2770"/>
      <c r="I34" s="2770"/>
      <c r="J34" s="2770"/>
      <c r="K34" s="279"/>
    </row>
    <row r="35" spans="1:11" s="2108" customFormat="1" ht="13.5" customHeight="1" thickBot="1">
      <c r="A35" s="1621" t="s">
        <v>1855</v>
      </c>
      <c r="B35" s="2985" t="s">
        <v>2832</v>
      </c>
      <c r="C35" s="1613">
        <f ca="1">ROUND((C18+C19+C20+C23+C24)*F33,0)</f>
        <v>2175</v>
      </c>
      <c r="D35" s="1614"/>
      <c r="E35" s="2819"/>
      <c r="F35" s="1615"/>
      <c r="G35" s="2777"/>
      <c r="H35" s="2778"/>
      <c r="I35" s="2778"/>
      <c r="J35" s="2778"/>
      <c r="K35" s="2779"/>
    </row>
    <row r="36" spans="1:11" s="2070" customFormat="1" ht="13.5" customHeight="1" thickBot="1">
      <c r="A36" s="284" t="s">
        <v>1842</v>
      </c>
      <c r="B36" s="2781"/>
      <c r="C36" s="2820">
        <f ca="1">ROUND((C6-C30-C33)/(1+D30+D33),0)</f>
        <v>41117</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5"/>
  <sheetViews>
    <sheetView workbookViewId="0">
      <selection activeCell="B4" sqref="B4"/>
    </sheetView>
  </sheetViews>
  <sheetFormatPr defaultRowHeight="13.5"/>
  <sheetData>
    <row r="2" spans="1:3">
      <c r="A2" s="3188" t="s">
        <v>3360</v>
      </c>
    </row>
    <row r="3" spans="1:3">
      <c r="A3" s="3188" t="s">
        <v>3024</v>
      </c>
      <c r="B3" s="3188" t="s">
        <v>3363</v>
      </c>
      <c r="C3">
        <v>12000</v>
      </c>
    </row>
    <row r="4" spans="1:3">
      <c r="B4" s="3188" t="s">
        <v>3361</v>
      </c>
      <c r="C4">
        <v>14175</v>
      </c>
    </row>
    <row r="5" spans="1:3">
      <c r="B5" s="3188" t="s">
        <v>3362</v>
      </c>
      <c r="C5">
        <v>18000</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13152</v>
      </c>
      <c r="D13" s="451"/>
      <c r="E13" s="365"/>
      <c r="F13" s="452"/>
      <c r="G13" s="444"/>
      <c r="H13" s="447"/>
      <c r="I13" s="447"/>
      <c r="J13" s="447"/>
      <c r="K13" s="448"/>
    </row>
    <row r="14" spans="1:41" s="2101" customFormat="1" ht="13.5" customHeight="1">
      <c r="A14" s="1618" t="s">
        <v>1847</v>
      </c>
      <c r="B14" s="449" t="s">
        <v>480</v>
      </c>
      <c r="C14" s="53">
        <f ca="1">ROUND(C13*F14,0)</f>
        <v>395</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452</v>
      </c>
      <c r="D15" s="451"/>
      <c r="E15" s="365"/>
      <c r="F15" s="453">
        <f>'数据-取费表'!B34</f>
        <v>0.05</v>
      </c>
      <c r="G15" s="444" t="s">
        <v>502</v>
      </c>
      <c r="H15" s="447"/>
      <c r="I15" s="447"/>
      <c r="J15" s="447"/>
      <c r="K15" s="448"/>
    </row>
    <row r="16" spans="1:41" s="2102" customFormat="1" ht="13.5" customHeight="1">
      <c r="A16" s="1618" t="s">
        <v>1849</v>
      </c>
      <c r="B16" s="449" t="s">
        <v>484</v>
      </c>
      <c r="C16" s="53">
        <f ca="1">ROUND(D16*E16/10000,0)</f>
        <v>1258</v>
      </c>
      <c r="D16" s="451">
        <f ca="1">IF(B1="",'数据-汇总表'!E3,INDIRECT("'数据-取费表'!K"&amp;$K$1)+INDIRECT("'数据-取费表'!S"&amp;$K$1))</f>
        <v>62924.7</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197</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15454</v>
      </c>
      <c r="D18" s="461"/>
      <c r="E18" s="462"/>
      <c r="F18" s="462"/>
      <c r="G18" s="1322" t="s">
        <v>2426</v>
      </c>
      <c r="H18" s="447"/>
      <c r="I18" s="447"/>
      <c r="J18" s="447"/>
      <c r="K18" s="448"/>
    </row>
    <row r="19" spans="1:14" s="2104" customFormat="1" ht="13.5" customHeight="1">
      <c r="A19" s="1619" t="s">
        <v>1852</v>
      </c>
      <c r="B19" s="459" t="s">
        <v>493</v>
      </c>
      <c r="C19" s="460">
        <f ca="1">ROUND(C18*F19,0)</f>
        <v>309</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343</v>
      </c>
      <c r="D21" s="467">
        <f ca="1">C23</f>
        <v>4.0000000000000002E-4</v>
      </c>
      <c r="E21" s="469" t="s">
        <v>507</v>
      </c>
      <c r="F21" s="471">
        <f ca="1">'数据-取费表'!B40</f>
        <v>4.3499999999999997E-2</v>
      </c>
      <c r="G21" s="1322" t="str">
        <f>IF('数据-取费表'!B22&lt;=1,"单利计息。","复利计息。")&amp;"建造成本、管理费用及销售费用产生的利息。"</f>
        <v>单利计息。建造成本、管理费用及销售费用产生的利息。</v>
      </c>
      <c r="H21" s="447"/>
      <c r="I21" s="447"/>
      <c r="J21" s="447"/>
      <c r="K21" s="448"/>
      <c r="L21" s="2103" t="s">
        <v>2448</v>
      </c>
    </row>
    <row r="22" spans="1:14" s="2105" customFormat="1" ht="13.5" customHeight="1">
      <c r="A22" s="1618" t="s">
        <v>1846</v>
      </c>
      <c r="B22" s="1323" t="s">
        <v>2429</v>
      </c>
      <c r="C22" s="487">
        <f ca="1">ROUND(IF('数据-取费表'!B22&lt;=1,(C18+C19)*F21*'数据-取费表'!B20/2,(C18+C19)*(POWER((1+F21),'数据-取费表'!B20/2)-1)),0)</f>
        <v>343</v>
      </c>
      <c r="D22" s="472"/>
      <c r="E22" s="473"/>
      <c r="F22" s="474"/>
      <c r="G22" s="2531" t="str">
        <f>IF('数据-取费表'!B22&lt;=1,"((1)+(2))×年利率×建设期÷2","((1)+(2))×((1+年利率)^(建设期÷2)-1)")</f>
        <v>((1)+(2))×年利率×建设期÷2</v>
      </c>
      <c r="H22" s="457"/>
      <c r="I22" s="457"/>
      <c r="J22" s="457"/>
      <c r="K22" s="458"/>
    </row>
    <row r="23" spans="1:14" s="2105" customFormat="1" ht="13.5" customHeight="1">
      <c r="A23" s="1618" t="s">
        <v>1847</v>
      </c>
      <c r="B23" s="1323"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19" t="s">
        <v>1857</v>
      </c>
      <c r="B24" s="2984" t="s">
        <v>2825</v>
      </c>
      <c r="C24" s="478">
        <f ca="1">C25</f>
        <v>1734</v>
      </c>
      <c r="D24" s="489">
        <f ca="1">C26</f>
        <v>2.2000000000000001E-3</v>
      </c>
      <c r="E24" s="469" t="s">
        <v>507</v>
      </c>
      <c r="F24" s="479">
        <f ca="1">IF(B1="",'数据-取费表'!Q16,INDIRECT("'数据-取费表'!q"&amp;$K$1))</f>
        <v>0.11</v>
      </c>
      <c r="G24" s="444"/>
      <c r="H24" s="447"/>
      <c r="I24" s="447"/>
      <c r="J24" s="447"/>
      <c r="K24" s="448"/>
    </row>
    <row r="25" spans="1:14" s="2105" customFormat="1" ht="13.5" customHeight="1">
      <c r="A25" s="1618" t="s">
        <v>1846</v>
      </c>
      <c r="B25" s="1323" t="s">
        <v>2430</v>
      </c>
      <c r="C25" s="490">
        <f ca="1">ROUND((C18+C19)*F24,0)</f>
        <v>1734</v>
      </c>
      <c r="D25" s="472"/>
      <c r="E25" s="473"/>
      <c r="F25" s="480"/>
      <c r="G25" s="1321" t="s">
        <v>2427</v>
      </c>
      <c r="H25" s="457"/>
      <c r="I25" s="457"/>
      <c r="J25" s="457"/>
      <c r="K25" s="458"/>
    </row>
    <row r="26" spans="1:14" s="2105" customFormat="1" ht="13.5" customHeight="1">
      <c r="A26" s="1618" t="s">
        <v>1847</v>
      </c>
      <c r="B26" s="1323" t="s">
        <v>509</v>
      </c>
      <c r="C26" s="491">
        <f ca="1">ROUND(F20*F24,4)</f>
        <v>2.2000000000000001E-3</v>
      </c>
      <c r="D26" s="472"/>
      <c r="E26" s="481"/>
      <c r="F26" s="480"/>
      <c r="G26" s="1321" t="s">
        <v>510</v>
      </c>
      <c r="H26" s="457"/>
      <c r="I26" s="457"/>
      <c r="J26" s="457"/>
      <c r="K26" s="458"/>
    </row>
    <row r="27" spans="1:14" s="2105" customFormat="1" ht="13.5" customHeight="1">
      <c r="A27" s="1622" t="s">
        <v>1865</v>
      </c>
      <c r="B27" s="459" t="s">
        <v>511</v>
      </c>
      <c r="C27" s="2983">
        <f>ROUND(F27/(1+'数据-取费表'!C42),4)</f>
        <v>5.33E-2</v>
      </c>
      <c r="D27" s="462" t="s">
        <v>2823</v>
      </c>
      <c r="E27" s="462"/>
      <c r="F27" s="466">
        <f>'数据-取费表'!B41</f>
        <v>5.6000000000000001E-2</v>
      </c>
      <c r="G27" s="1945" t="s">
        <v>2285</v>
      </c>
      <c r="H27" s="447"/>
      <c r="I27" s="447"/>
      <c r="J27" s="447"/>
      <c r="K27" s="448"/>
    </row>
    <row r="28" spans="1:14" s="2106" customFormat="1" ht="13.5" customHeight="1">
      <c r="A28" s="1622" t="s">
        <v>1866</v>
      </c>
      <c r="B28" s="476" t="s">
        <v>512</v>
      </c>
      <c r="C28" s="470">
        <f ca="1">ROUND((C18+C19+C21+C24)/(1-C20-D21-D24-C27),0)</f>
        <v>19305</v>
      </c>
      <c r="D28" s="477"/>
      <c r="E28" s="469"/>
      <c r="F28" s="471"/>
      <c r="G28" s="1322" t="s">
        <v>2428</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18" t="s">
        <v>522</v>
      </c>
      <c r="D6" s="3419"/>
      <c r="E6" s="3442" t="s">
        <v>523</v>
      </c>
      <c r="F6" s="3443"/>
      <c r="G6" s="3418" t="s">
        <v>524</v>
      </c>
      <c r="H6" s="3419"/>
      <c r="I6" s="3418" t="s">
        <v>525</v>
      </c>
      <c r="J6" s="3419"/>
      <c r="K6" s="514" t="s">
        <v>526</v>
      </c>
      <c r="L6" s="2118"/>
      <c r="M6" s="2119"/>
      <c r="N6" s="2119"/>
      <c r="O6" s="2119"/>
      <c r="P6" s="3420" t="s">
        <v>527</v>
      </c>
      <c r="Q6" s="3421"/>
      <c r="R6" s="3406" t="s">
        <v>523</v>
      </c>
      <c r="S6" s="3407"/>
      <c r="T6" s="3406" t="s">
        <v>524</v>
      </c>
      <c r="U6" s="3407"/>
      <c r="V6" s="3426" t="s">
        <v>525</v>
      </c>
      <c r="W6" s="3426"/>
      <c r="X6" s="1553"/>
      <c r="Y6" s="3406" t="s">
        <v>527</v>
      </c>
      <c r="Z6" s="3407"/>
      <c r="AA6" s="3401" t="s">
        <v>523</v>
      </c>
      <c r="AB6" s="3402" t="s">
        <v>524</v>
      </c>
      <c r="AC6" s="3401" t="s">
        <v>525</v>
      </c>
    </row>
    <row r="7" spans="1:29" ht="15">
      <c r="A7" s="515"/>
      <c r="B7" s="516"/>
      <c r="C7" s="3429" t="s">
        <v>2917</v>
      </c>
      <c r="D7" s="3430"/>
      <c r="E7" s="3444" t="s">
        <v>2918</v>
      </c>
      <c r="F7" s="3445"/>
      <c r="G7" s="3429" t="s">
        <v>2919</v>
      </c>
      <c r="H7" s="3430"/>
      <c r="I7" s="3429" t="s">
        <v>2920</v>
      </c>
      <c r="J7" s="3430"/>
      <c r="K7" s="514"/>
      <c r="L7" s="2118"/>
      <c r="M7" s="2119"/>
      <c r="N7" s="2119"/>
      <c r="O7" s="2119"/>
      <c r="P7" s="3422"/>
      <c r="Q7" s="3423"/>
      <c r="R7" s="3408"/>
      <c r="S7" s="3409"/>
      <c r="T7" s="3408"/>
      <c r="U7" s="3409"/>
      <c r="V7" s="3426"/>
      <c r="W7" s="3426"/>
      <c r="X7" s="1553"/>
      <c r="Y7" s="3408"/>
      <c r="Z7" s="3409"/>
      <c r="AA7" s="3402"/>
      <c r="AB7" s="3402"/>
      <c r="AC7" s="3402"/>
    </row>
    <row r="8" spans="1:29" ht="15.75" thickBot="1">
      <c r="A8" s="517"/>
      <c r="B8" s="518"/>
      <c r="C8" s="3427" t="s">
        <v>2921</v>
      </c>
      <c r="D8" s="3428"/>
      <c r="E8" s="3446" t="s">
        <v>2921</v>
      </c>
      <c r="F8" s="3447"/>
      <c r="G8" s="3427" t="s">
        <v>2921</v>
      </c>
      <c r="H8" s="3428"/>
      <c r="I8" s="3427" t="s">
        <v>2921</v>
      </c>
      <c r="J8" s="3428"/>
      <c r="K8" s="514" t="s">
        <v>528</v>
      </c>
      <c r="L8" s="2118"/>
      <c r="M8" s="2119"/>
      <c r="N8" s="2119"/>
      <c r="O8" s="2119"/>
      <c r="P8" s="3424"/>
      <c r="Q8" s="3425"/>
      <c r="R8" s="3408"/>
      <c r="S8" s="3409"/>
      <c r="T8" s="3410"/>
      <c r="U8" s="3411"/>
      <c r="V8" s="3426"/>
      <c r="W8" s="3426"/>
      <c r="X8" s="1553"/>
      <c r="Y8" s="3410"/>
      <c r="Z8" s="3411"/>
      <c r="AA8" s="3403"/>
      <c r="AB8" s="3403"/>
      <c r="AC8" s="3403"/>
    </row>
    <row r="9" spans="1:29" s="1215" customFormat="1" ht="15.75" thickBot="1">
      <c r="A9" s="2867"/>
      <c r="B9" s="2874" t="s">
        <v>529</v>
      </c>
      <c r="C9" s="519">
        <f>'数据-取费表'!B2</f>
        <v>43994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4" t="s">
        <v>530</v>
      </c>
      <c r="Q9" s="3413"/>
      <c r="R9" s="1554" t="s">
        <v>8</v>
      </c>
      <c r="S9" s="1555">
        <f t="shared" ref="S9:S17" si="0">F9</f>
        <v>0</v>
      </c>
      <c r="T9" s="1554" t="s">
        <v>8</v>
      </c>
      <c r="U9" s="1555">
        <f t="shared" ref="U9:U17" si="1">H9</f>
        <v>0</v>
      </c>
      <c r="V9" s="1554" t="s">
        <v>8</v>
      </c>
      <c r="W9" s="1555">
        <f t="shared" ref="W9:W17" si="2">J9</f>
        <v>0</v>
      </c>
      <c r="X9" s="1556"/>
      <c r="Y9" s="3404" t="s">
        <v>530</v>
      </c>
      <c r="Z9" s="3405"/>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4" t="s">
        <v>533</v>
      </c>
      <c r="Q10" s="3405"/>
      <c r="R10" s="1554" t="s">
        <v>8</v>
      </c>
      <c r="S10" s="1555">
        <f t="shared" si="0"/>
        <v>0</v>
      </c>
      <c r="T10" s="1554" t="s">
        <v>8</v>
      </c>
      <c r="U10" s="1555">
        <f t="shared" si="1"/>
        <v>0</v>
      </c>
      <c r="V10" s="1554" t="s">
        <v>8</v>
      </c>
      <c r="W10" s="1555">
        <f t="shared" si="2"/>
        <v>0</v>
      </c>
      <c r="X10" s="1556"/>
      <c r="Y10" s="3404" t="s">
        <v>533</v>
      </c>
      <c r="Z10" s="3405"/>
      <c r="AA10" s="1557" t="e">
        <f t="shared" ref="AA10:AA42" si="3">D10/F10</f>
        <v>#DIV/0!</v>
      </c>
      <c r="AB10" s="1557" t="e">
        <f t="shared" ref="AB10:AB42" si="4">D10/H10</f>
        <v>#DIV/0!</v>
      </c>
      <c r="AC10" s="1557" t="e">
        <f t="shared" ref="AC10:AC42" si="5">D10/J10</f>
        <v>#DIV/0!</v>
      </c>
    </row>
    <row r="11" spans="1:29" s="1215" customFormat="1" ht="15">
      <c r="A11" s="2869"/>
      <c r="B11" s="2876"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2" t="s">
        <v>535</v>
      </c>
      <c r="Q11" s="1146" t="str">
        <f t="shared" ref="Q11:Q17" si="6">B11</f>
        <v>用途</v>
      </c>
      <c r="R11" s="1554" t="s">
        <v>8</v>
      </c>
      <c r="S11" s="1555">
        <f t="shared" si="0"/>
        <v>100</v>
      </c>
      <c r="T11" s="1554" t="s">
        <v>8</v>
      </c>
      <c r="U11" s="1555">
        <f t="shared" si="1"/>
        <v>100</v>
      </c>
      <c r="V11" s="1554" t="s">
        <v>8</v>
      </c>
      <c r="W11" s="1555">
        <f t="shared" si="2"/>
        <v>100</v>
      </c>
      <c r="X11" s="1556"/>
      <c r="Y11" s="3366" t="s">
        <v>536</v>
      </c>
      <c r="Z11" s="1145" t="str">
        <f t="shared" ref="Z11:Z17" si="7">Q11</f>
        <v>用途</v>
      </c>
      <c r="AA11" s="1557">
        <f t="shared" si="3"/>
        <v>1</v>
      </c>
      <c r="AB11" s="1557">
        <f t="shared" si="4"/>
        <v>1</v>
      </c>
      <c r="AC11" s="1557">
        <f t="shared" si="5"/>
        <v>1</v>
      </c>
    </row>
    <row r="12" spans="1:29" s="1333" customFormat="1" ht="27">
      <c r="A12" s="2870"/>
      <c r="B12" s="2875" t="s">
        <v>2750</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412"/>
      <c r="Q12" s="1146" t="str">
        <f t="shared" si="6"/>
        <v>土地使用年限（年）</v>
      </c>
      <c r="R12" s="1554" t="s">
        <v>8</v>
      </c>
      <c r="S12" s="1555">
        <f t="shared" si="0"/>
        <v>102</v>
      </c>
      <c r="T12" s="1554" t="s">
        <v>8</v>
      </c>
      <c r="U12" s="1555">
        <f t="shared" si="1"/>
        <v>102</v>
      </c>
      <c r="V12" s="1554" t="s">
        <v>8</v>
      </c>
      <c r="W12" s="1555">
        <f t="shared" si="2"/>
        <v>102</v>
      </c>
      <c r="X12" s="1556"/>
      <c r="Y12" s="3366"/>
      <c r="Z12" s="1145" t="str">
        <f t="shared" si="7"/>
        <v>土地使用年限（年）</v>
      </c>
      <c r="AA12" s="1557">
        <f t="shared" si="3"/>
        <v>0.98039215686274506</v>
      </c>
      <c r="AB12" s="1557">
        <f t="shared" si="4"/>
        <v>0.98039215686274506</v>
      </c>
      <c r="AC12" s="1557">
        <f t="shared" si="5"/>
        <v>0.98039215686274506</v>
      </c>
    </row>
    <row r="13" spans="1:29" ht="15">
      <c r="A13" s="2871"/>
      <c r="B13" s="287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2"/>
      <c r="Q13" s="1146" t="str">
        <f t="shared" si="6"/>
        <v>容积率</v>
      </c>
      <c r="R13" s="1554" t="s">
        <v>8</v>
      </c>
      <c r="S13" s="1555" t="e">
        <f t="shared" si="0"/>
        <v>#N/A</v>
      </c>
      <c r="T13" s="1554" t="s">
        <v>8</v>
      </c>
      <c r="U13" s="1555" t="e">
        <f t="shared" si="1"/>
        <v>#N/A</v>
      </c>
      <c r="V13" s="1554" t="s">
        <v>8</v>
      </c>
      <c r="W13" s="1555" t="e">
        <f t="shared" si="2"/>
        <v>#N/A</v>
      </c>
      <c r="X13" s="1556"/>
      <c r="Y13" s="3366"/>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2"/>
      <c r="Q14" s="1146">
        <f t="shared" si="6"/>
        <v>111</v>
      </c>
      <c r="R14" s="1554" t="s">
        <v>8</v>
      </c>
      <c r="S14" s="1555">
        <f t="shared" si="0"/>
        <v>100</v>
      </c>
      <c r="T14" s="1554" t="s">
        <v>8</v>
      </c>
      <c r="U14" s="1555">
        <f t="shared" si="1"/>
        <v>100</v>
      </c>
      <c r="V14" s="1554" t="s">
        <v>8</v>
      </c>
      <c r="W14" s="1555">
        <f t="shared" si="2"/>
        <v>100</v>
      </c>
      <c r="X14" s="1556"/>
      <c r="Y14" s="3366"/>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2"/>
      <c r="Q15" s="1146">
        <f t="shared" si="6"/>
        <v>111</v>
      </c>
      <c r="R15" s="1554" t="s">
        <v>8</v>
      </c>
      <c r="S15" s="1555">
        <f t="shared" si="0"/>
        <v>100</v>
      </c>
      <c r="T15" s="1554" t="s">
        <v>8</v>
      </c>
      <c r="U15" s="1555">
        <f t="shared" si="1"/>
        <v>100</v>
      </c>
      <c r="V15" s="1554" t="s">
        <v>8</v>
      </c>
      <c r="W15" s="1555">
        <f t="shared" si="2"/>
        <v>100</v>
      </c>
      <c r="X15" s="1556"/>
      <c r="Y15" s="3366"/>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2"/>
      <c r="Q16" s="1146">
        <f t="shared" si="6"/>
        <v>111</v>
      </c>
      <c r="R16" s="1554" t="s">
        <v>8</v>
      </c>
      <c r="S16" s="1555">
        <f t="shared" si="0"/>
        <v>100</v>
      </c>
      <c r="T16" s="1554" t="s">
        <v>8</v>
      </c>
      <c r="U16" s="1555">
        <f t="shared" si="1"/>
        <v>100</v>
      </c>
      <c r="V16" s="1554" t="s">
        <v>8</v>
      </c>
      <c r="W16" s="1555">
        <f t="shared" si="2"/>
        <v>100</v>
      </c>
      <c r="X16" s="1556"/>
      <c r="Y16" s="3366"/>
      <c r="Z16" s="1145">
        <f t="shared" si="7"/>
        <v>111</v>
      </c>
      <c r="AA16" s="1557">
        <f t="shared" si="3"/>
        <v>1</v>
      </c>
      <c r="AB16" s="1557">
        <f t="shared" si="4"/>
        <v>1</v>
      </c>
      <c r="AC16" s="1557">
        <f t="shared" si="5"/>
        <v>1</v>
      </c>
    </row>
    <row r="17" spans="1:29" ht="57">
      <c r="A17" s="2865"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4" t="s">
        <v>540</v>
      </c>
      <c r="Q17" s="1558" t="str">
        <f t="shared" si="6"/>
        <v>产业集聚程度</v>
      </c>
      <c r="R17" s="1559" t="s">
        <v>8</v>
      </c>
      <c r="S17" s="1560">
        <f t="shared" si="0"/>
        <v>100</v>
      </c>
      <c r="T17" s="1559" t="s">
        <v>8</v>
      </c>
      <c r="U17" s="1560">
        <f t="shared" si="1"/>
        <v>100</v>
      </c>
      <c r="V17" s="1559" t="s">
        <v>8</v>
      </c>
      <c r="W17" s="1560">
        <f t="shared" si="2"/>
        <v>100</v>
      </c>
      <c r="X17" s="1553"/>
      <c r="Y17" s="3414"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15"/>
      <c r="Q18" s="1558"/>
      <c r="R18" s="1559"/>
      <c r="S18" s="1560"/>
      <c r="T18" s="1559"/>
      <c r="U18" s="1560"/>
      <c r="V18" s="1559"/>
      <c r="W18" s="1560"/>
      <c r="X18" s="1553"/>
      <c r="Y18" s="3415"/>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5"/>
      <c r="Q19" s="1558" t="str">
        <f>B19</f>
        <v>交通便捷度</v>
      </c>
      <c r="R19" s="1559" t="s">
        <v>8</v>
      </c>
      <c r="S19" s="1560">
        <f>F19</f>
        <v>100</v>
      </c>
      <c r="T19" s="1559" t="s">
        <v>8</v>
      </c>
      <c r="U19" s="1560">
        <f>H19</f>
        <v>100</v>
      </c>
      <c r="V19" s="1559" t="s">
        <v>8</v>
      </c>
      <c r="W19" s="1560">
        <f>J19</f>
        <v>100</v>
      </c>
      <c r="X19" s="1553"/>
      <c r="Y19" s="3415"/>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15"/>
      <c r="Q20" s="1558"/>
      <c r="R20" s="1559"/>
      <c r="S20" s="1560"/>
      <c r="T20" s="1559"/>
      <c r="U20" s="1560"/>
      <c r="V20" s="1559"/>
      <c r="W20" s="1560"/>
      <c r="X20" s="1553"/>
      <c r="Y20" s="3415"/>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15"/>
      <c r="Q21" s="1558" t="str">
        <f t="shared" ref="Q21:Q35" si="8">B21</f>
        <v>区域土地利用方向</v>
      </c>
      <c r="R21" s="1559" t="s">
        <v>8</v>
      </c>
      <c r="S21" s="1560">
        <f>F21</f>
        <v>100</v>
      </c>
      <c r="T21" s="1559" t="s">
        <v>8</v>
      </c>
      <c r="U21" s="1560">
        <f>H21</f>
        <v>100</v>
      </c>
      <c r="V21" s="1559" t="s">
        <v>8</v>
      </c>
      <c r="W21" s="1560">
        <f>J21</f>
        <v>100</v>
      </c>
      <c r="X21" s="1553"/>
      <c r="Y21" s="341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15"/>
      <c r="Q22" s="1558"/>
      <c r="R22" s="1559"/>
      <c r="S22" s="1560"/>
      <c r="T22" s="1559"/>
      <c r="U22" s="1560"/>
      <c r="V22" s="1559"/>
      <c r="W22" s="1560"/>
      <c r="X22" s="1553"/>
      <c r="Y22" s="3415"/>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5"/>
      <c r="Q23" s="1558" t="str">
        <f t="shared" si="8"/>
        <v>环境状况</v>
      </c>
      <c r="R23" s="1559" t="s">
        <v>8</v>
      </c>
      <c r="S23" s="1560">
        <f>F23</f>
        <v>100</v>
      </c>
      <c r="T23" s="1559" t="s">
        <v>8</v>
      </c>
      <c r="U23" s="1560">
        <f>H23</f>
        <v>100</v>
      </c>
      <c r="V23" s="1559" t="s">
        <v>8</v>
      </c>
      <c r="W23" s="1560">
        <f>J23</f>
        <v>100</v>
      </c>
      <c r="X23" s="1553"/>
      <c r="Y23" s="341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15"/>
      <c r="Q24" s="1558"/>
      <c r="R24" s="1559"/>
      <c r="S24" s="1560"/>
      <c r="T24" s="1559"/>
      <c r="U24" s="1560"/>
      <c r="V24" s="1559"/>
      <c r="W24" s="1560"/>
      <c r="X24" s="1553"/>
      <c r="Y24" s="3415"/>
      <c r="Z24" s="1561"/>
      <c r="AA24" s="1562">
        <v>1</v>
      </c>
      <c r="AB24" s="1562">
        <v>1</v>
      </c>
      <c r="AC24" s="1562">
        <v>1</v>
      </c>
    </row>
    <row r="25" spans="1:29" s="1215" customFormat="1" ht="42.75">
      <c r="A25" s="577"/>
      <c r="B25" s="2557"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5"/>
      <c r="Q25" s="1146" t="str">
        <f t="shared" si="8"/>
        <v>公共配套设施</v>
      </c>
      <c r="R25" s="1554" t="s">
        <v>8</v>
      </c>
      <c r="S25" s="1555">
        <f>F25</f>
        <v>100</v>
      </c>
      <c r="T25" s="1554" t="s">
        <v>8</v>
      </c>
      <c r="U25" s="1555">
        <f>H25</f>
        <v>100</v>
      </c>
      <c r="V25" s="1554" t="s">
        <v>8</v>
      </c>
      <c r="W25" s="1555">
        <f>J25</f>
        <v>100</v>
      </c>
      <c r="X25" s="1556"/>
      <c r="Y25" s="3415"/>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15"/>
      <c r="Q26" s="1146"/>
      <c r="R26" s="1554"/>
      <c r="S26" s="1555"/>
      <c r="T26" s="1554"/>
      <c r="U26" s="1555"/>
      <c r="V26" s="1554"/>
      <c r="W26" s="1555"/>
      <c r="X26" s="1556"/>
      <c r="Y26" s="3415"/>
      <c r="Z26" s="1145"/>
      <c r="AA26" s="1557">
        <v>1</v>
      </c>
      <c r="AB26" s="1557">
        <v>1</v>
      </c>
      <c r="AC26" s="1557">
        <v>1</v>
      </c>
    </row>
    <row r="27" spans="1:29" s="1215" customFormat="1" ht="28.5">
      <c r="A27" s="577"/>
      <c r="B27" s="2557"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5"/>
      <c r="Q27" s="2542" t="str">
        <f t="shared" ref="Q27" si="9">B27</f>
        <v>基础设施水平</v>
      </c>
      <c r="R27" s="1554" t="s">
        <v>8</v>
      </c>
      <c r="S27" s="1555">
        <f>F27</f>
        <v>100</v>
      </c>
      <c r="T27" s="1554" t="s">
        <v>8</v>
      </c>
      <c r="U27" s="1555">
        <f>H27</f>
        <v>100</v>
      </c>
      <c r="V27" s="1554" t="s">
        <v>8</v>
      </c>
      <c r="W27" s="1555">
        <f>J27</f>
        <v>100</v>
      </c>
      <c r="X27" s="1556"/>
      <c r="Y27" s="3415"/>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15"/>
      <c r="Q28" s="2542"/>
      <c r="R28" s="1554"/>
      <c r="S28" s="1555"/>
      <c r="T28" s="1554"/>
      <c r="U28" s="1555"/>
      <c r="V28" s="1554"/>
      <c r="W28" s="1555"/>
      <c r="X28" s="1556"/>
      <c r="Y28" s="3415"/>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5"/>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5"/>
      <c r="Q30" s="1558" t="str">
        <f t="shared" si="8"/>
        <v>毗邻道路的类型与等级</v>
      </c>
      <c r="R30" s="1559" t="s">
        <v>8</v>
      </c>
      <c r="S30" s="1560">
        <f t="shared" si="10"/>
        <v>100</v>
      </c>
      <c r="T30" s="1559" t="s">
        <v>8</v>
      </c>
      <c r="U30" s="1560">
        <f t="shared" si="11"/>
        <v>100</v>
      </c>
      <c r="V30" s="1559" t="s">
        <v>8</v>
      </c>
      <c r="W30" s="1560">
        <f t="shared" si="12"/>
        <v>100</v>
      </c>
      <c r="X30" s="1553"/>
      <c r="Y30" s="341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15"/>
      <c r="Q31" s="1558"/>
      <c r="R31" s="1559"/>
      <c r="S31" s="1560"/>
      <c r="T31" s="1559"/>
      <c r="U31" s="1560"/>
      <c r="V31" s="1559"/>
      <c r="W31" s="1560"/>
      <c r="X31" s="1553"/>
      <c r="Y31" s="3415"/>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5"/>
      <c r="Q32" s="1558" t="str">
        <f t="shared" si="8"/>
        <v>土地级别</v>
      </c>
      <c r="R32" s="1559" t="s">
        <v>8</v>
      </c>
      <c r="S32" s="1560">
        <f t="shared" si="10"/>
        <v>100</v>
      </c>
      <c r="T32" s="1559" t="s">
        <v>8</v>
      </c>
      <c r="U32" s="1560">
        <f t="shared" si="11"/>
        <v>100</v>
      </c>
      <c r="V32" s="1559" t="s">
        <v>8</v>
      </c>
      <c r="W32" s="1560">
        <f t="shared" si="12"/>
        <v>100</v>
      </c>
      <c r="X32" s="1553"/>
      <c r="Y32" s="341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5"/>
      <c r="Q33" s="1558">
        <f t="shared" si="8"/>
        <v>111</v>
      </c>
      <c r="R33" s="1559" t="s">
        <v>8</v>
      </c>
      <c r="S33" s="1560">
        <f t="shared" si="10"/>
        <v>100</v>
      </c>
      <c r="T33" s="1559" t="s">
        <v>8</v>
      </c>
      <c r="U33" s="1560">
        <f t="shared" si="11"/>
        <v>100</v>
      </c>
      <c r="V33" s="1559" t="s">
        <v>8</v>
      </c>
      <c r="W33" s="1560">
        <f t="shared" si="12"/>
        <v>100</v>
      </c>
      <c r="X33" s="1553"/>
      <c r="Y33" s="341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6" t="s">
        <v>550</v>
      </c>
      <c r="Q34" s="1558">
        <f t="shared" si="8"/>
        <v>111</v>
      </c>
      <c r="R34" s="1559" t="s">
        <v>8</v>
      </c>
      <c r="S34" s="1560">
        <f t="shared" si="10"/>
        <v>100</v>
      </c>
      <c r="T34" s="1559" t="s">
        <v>8</v>
      </c>
      <c r="U34" s="1560">
        <f t="shared" si="11"/>
        <v>100</v>
      </c>
      <c r="V34" s="1559" t="s">
        <v>8</v>
      </c>
      <c r="W34" s="1560">
        <f t="shared" si="12"/>
        <v>100</v>
      </c>
      <c r="X34" s="1553"/>
      <c r="Y34" s="3417"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7"/>
      <c r="Q35" s="1558">
        <f t="shared" si="8"/>
        <v>111</v>
      </c>
      <c r="R35" s="1563" t="s">
        <v>8</v>
      </c>
      <c r="S35" s="1564">
        <f t="shared" si="10"/>
        <v>100</v>
      </c>
      <c r="T35" s="1563" t="s">
        <v>8</v>
      </c>
      <c r="U35" s="1564">
        <f t="shared" si="11"/>
        <v>100</v>
      </c>
      <c r="V35" s="1563" t="s">
        <v>8</v>
      </c>
      <c r="W35" s="1564">
        <f t="shared" si="12"/>
        <v>100</v>
      </c>
      <c r="X35" s="1565"/>
      <c r="Y35" s="3417"/>
      <c r="Z35" s="1566">
        <f t="shared" si="13"/>
        <v>111</v>
      </c>
      <c r="AA35" s="1562">
        <f t="shared" si="3"/>
        <v>1</v>
      </c>
      <c r="AB35" s="1562">
        <f t="shared" si="4"/>
        <v>1</v>
      </c>
      <c r="AC35" s="1562">
        <f t="shared" si="5"/>
        <v>1</v>
      </c>
    </row>
    <row r="36" spans="1:29" ht="15">
      <c r="A36" s="2862"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7"/>
      <c r="Q36" s="1558" t="str">
        <f>B36</f>
        <v>宗地面积</v>
      </c>
      <c r="R36" s="1559" t="s">
        <v>8</v>
      </c>
      <c r="S36" s="1560" t="e">
        <f t="shared" si="10"/>
        <v>#N/A</v>
      </c>
      <c r="T36" s="1559" t="s">
        <v>8</v>
      </c>
      <c r="U36" s="1560" t="e">
        <f t="shared" si="11"/>
        <v>#N/A</v>
      </c>
      <c r="V36" s="1559" t="s">
        <v>8</v>
      </c>
      <c r="W36" s="1560" t="e">
        <f t="shared" si="12"/>
        <v>#N/A</v>
      </c>
      <c r="X36" s="1553"/>
      <c r="Y36" s="3417"/>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7"/>
      <c r="Q37" s="1558" t="str">
        <f t="shared" ref="Q37:Q42" si="14">B37</f>
        <v>宗地形状</v>
      </c>
      <c r="R37" s="1559" t="s">
        <v>8</v>
      </c>
      <c r="S37" s="1560">
        <f t="shared" si="10"/>
        <v>100</v>
      </c>
      <c r="T37" s="1559" t="s">
        <v>8</v>
      </c>
      <c r="U37" s="1560">
        <f t="shared" si="11"/>
        <v>100</v>
      </c>
      <c r="V37" s="1559" t="s">
        <v>8</v>
      </c>
      <c r="W37" s="1560">
        <f t="shared" si="12"/>
        <v>100</v>
      </c>
      <c r="X37" s="1553"/>
      <c r="Y37" s="3417"/>
      <c r="Z37" s="1561" t="str">
        <f t="shared" si="13"/>
        <v>宗地形状</v>
      </c>
      <c r="AA37" s="1562">
        <f t="shared" si="3"/>
        <v>1</v>
      </c>
      <c r="AB37" s="1562">
        <f t="shared" si="4"/>
        <v>1</v>
      </c>
      <c r="AC37" s="1562">
        <f t="shared" si="5"/>
        <v>1</v>
      </c>
    </row>
    <row r="38" spans="1:29" s="1215" customFormat="1" ht="15">
      <c r="A38" s="600"/>
      <c r="B38" s="1880"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7"/>
      <c r="Q38" s="1558" t="str">
        <f t="shared" si="14"/>
        <v>宗地开发程度</v>
      </c>
      <c r="R38" s="1554" t="s">
        <v>8</v>
      </c>
      <c r="S38" s="1555">
        <f t="shared" si="10"/>
        <v>100</v>
      </c>
      <c r="T38" s="1554" t="s">
        <v>8</v>
      </c>
      <c r="U38" s="1555">
        <f t="shared" si="11"/>
        <v>100</v>
      </c>
      <c r="V38" s="1554" t="s">
        <v>8</v>
      </c>
      <c r="W38" s="1555">
        <f t="shared" si="12"/>
        <v>100</v>
      </c>
      <c r="X38" s="1556"/>
      <c r="Y38" s="3417"/>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7" t="s">
        <v>601</v>
      </c>
      <c r="Q39" s="1558" t="str">
        <f t="shared" si="14"/>
        <v>工程地质条件</v>
      </c>
      <c r="R39" s="1559" t="s">
        <v>8</v>
      </c>
      <c r="S39" s="1560">
        <f t="shared" si="10"/>
        <v>100</v>
      </c>
      <c r="T39" s="1559" t="s">
        <v>8</v>
      </c>
      <c r="U39" s="1560">
        <f t="shared" si="11"/>
        <v>100</v>
      </c>
      <c r="V39" s="1559" t="s">
        <v>8</v>
      </c>
      <c r="W39" s="1560">
        <f t="shared" si="12"/>
        <v>100</v>
      </c>
      <c r="X39" s="1553"/>
      <c r="Y39" s="3417"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7"/>
      <c r="Q40" s="1558">
        <f t="shared" si="14"/>
        <v>111</v>
      </c>
      <c r="R40" s="1559" t="s">
        <v>8</v>
      </c>
      <c r="S40" s="1560">
        <f t="shared" si="10"/>
        <v>100</v>
      </c>
      <c r="T40" s="1559" t="s">
        <v>8</v>
      </c>
      <c r="U40" s="1560">
        <f t="shared" si="11"/>
        <v>100</v>
      </c>
      <c r="V40" s="1559" t="s">
        <v>8</v>
      </c>
      <c r="W40" s="1560">
        <f t="shared" si="12"/>
        <v>100</v>
      </c>
      <c r="X40" s="1553"/>
      <c r="Y40" s="341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7"/>
      <c r="Q41" s="1558">
        <f t="shared" si="14"/>
        <v>111</v>
      </c>
      <c r="R41" s="1559" t="s">
        <v>8</v>
      </c>
      <c r="S41" s="1560">
        <f t="shared" si="10"/>
        <v>100</v>
      </c>
      <c r="T41" s="1559" t="s">
        <v>8</v>
      </c>
      <c r="U41" s="1560">
        <f t="shared" si="11"/>
        <v>100</v>
      </c>
      <c r="V41" s="1559" t="s">
        <v>8</v>
      </c>
      <c r="W41" s="1560">
        <f t="shared" si="12"/>
        <v>100</v>
      </c>
      <c r="X41" s="1553"/>
      <c r="Y41" s="3417"/>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7"/>
      <c r="Q42" s="1558">
        <f t="shared" si="14"/>
        <v>111</v>
      </c>
      <c r="R42" s="1563" t="s">
        <v>8</v>
      </c>
      <c r="S42" s="1564">
        <f t="shared" si="10"/>
        <v>100</v>
      </c>
      <c r="T42" s="1563" t="s">
        <v>8</v>
      </c>
      <c r="U42" s="1564">
        <f t="shared" si="11"/>
        <v>100</v>
      </c>
      <c r="V42" s="1563" t="s">
        <v>8</v>
      </c>
      <c r="W42" s="1564">
        <f t="shared" si="12"/>
        <v>100</v>
      </c>
      <c r="X42" s="1565"/>
      <c r="Y42" s="3417"/>
      <c r="Z42" s="1566">
        <f t="shared" si="13"/>
        <v>111</v>
      </c>
      <c r="AA42" s="1562">
        <f t="shared" si="3"/>
        <v>1</v>
      </c>
      <c r="AB42" s="1562">
        <f t="shared" si="4"/>
        <v>1</v>
      </c>
      <c r="AC42" s="1562">
        <f t="shared" si="5"/>
        <v>1</v>
      </c>
    </row>
    <row r="43" spans="1:29" ht="15">
      <c r="A43" s="607" t="s">
        <v>556</v>
      </c>
      <c r="B43" s="608" t="s">
        <v>2922</v>
      </c>
      <c r="C43" s="609" t="s">
        <v>1</v>
      </c>
      <c r="D43" s="610"/>
      <c r="E43" s="611"/>
      <c r="F43" s="612"/>
      <c r="G43" s="613"/>
      <c r="H43" s="614"/>
      <c r="I43" s="611"/>
      <c r="J43" s="614"/>
      <c r="K43" s="1335"/>
      <c r="L43" s="2129"/>
      <c r="M43" s="2119"/>
      <c r="N43" s="2119"/>
      <c r="O43" s="2130"/>
      <c r="P43" s="3412" t="str">
        <f>A43</f>
        <v>成交单价</v>
      </c>
      <c r="Q43" s="3412"/>
      <c r="R43" s="3426">
        <f>E43</f>
        <v>0</v>
      </c>
      <c r="S43" s="3426"/>
      <c r="T43" s="3426">
        <f>G43</f>
        <v>0</v>
      </c>
      <c r="U43" s="3426"/>
      <c r="V43" s="3426">
        <f>I43</f>
        <v>0</v>
      </c>
      <c r="W43" s="3426"/>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412" t="str">
        <f>A44</f>
        <v>比较价格（元/平方米）</v>
      </c>
      <c r="Q44" s="3412"/>
      <c r="R44" s="3436" t="e">
        <f>ROUND(PRODUCT(R43,AA9:AA42),0)</f>
        <v>#DIV/0!</v>
      </c>
      <c r="S44" s="3436"/>
      <c r="T44" s="3436" t="e">
        <f>ROUND(PRODUCT(T43,AB9:AB42),0)</f>
        <v>#DIV/0!</v>
      </c>
      <c r="U44" s="3436"/>
      <c r="V44" s="3436" t="e">
        <f>ROUND(PRODUCT(V43,AC9:AC42),0)</f>
        <v>#DIV/0!</v>
      </c>
      <c r="W44" s="3436"/>
      <c r="X44" s="1545"/>
      <c r="Y44" s="1545"/>
      <c r="Z44" s="1545"/>
      <c r="AA44" s="1545"/>
      <c r="AB44" s="1545"/>
      <c r="AC44" s="1545"/>
    </row>
    <row r="45" spans="1:29" ht="15.75" thickBot="1">
      <c r="A45" s="621" t="s">
        <v>2923</v>
      </c>
      <c r="B45" s="622"/>
      <c r="C45" s="623" t="e">
        <f>R45</f>
        <v>#DIV/0!</v>
      </c>
      <c r="D45" s="623"/>
      <c r="E45" s="623"/>
      <c r="F45" s="623"/>
      <c r="G45" s="623"/>
      <c r="H45" s="623"/>
      <c r="I45" s="623"/>
      <c r="J45" s="623"/>
      <c r="K45" s="1337"/>
      <c r="L45" s="2129"/>
      <c r="M45" s="2119"/>
      <c r="N45" s="2119"/>
      <c r="O45" s="2130"/>
      <c r="P45" s="3433" t="str">
        <f>A45</f>
        <v>估价对象XX用房的比较价格（楼面单价，元/平方米）</v>
      </c>
      <c r="Q45" s="3434"/>
      <c r="R45" s="3435" t="e">
        <f>ROUND(AVERAGE(R44:V44),0)</f>
        <v>#DIV/0!</v>
      </c>
      <c r="S45" s="3435"/>
      <c r="T45" s="3435"/>
      <c r="U45" s="3435"/>
      <c r="V45" s="3435"/>
      <c r="W45" s="343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2287</v>
      </c>
      <c r="E52" s="631" t="s">
        <v>562</v>
      </c>
      <c r="F52" s="1936" t="s">
        <v>563</v>
      </c>
      <c r="G52" s="3437" t="s">
        <v>2278</v>
      </c>
      <c r="H52" s="3438"/>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43687.839999999997</v>
      </c>
      <c r="F53" s="1935" t="e">
        <f t="shared" ref="F53:F62" si="15">ROUND(B53*E53/10000,0)</f>
        <v>#DIV/0!</v>
      </c>
      <c r="G53" s="3439"/>
      <c r="H53" s="344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41" t="s">
        <v>2279</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41"/>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41"/>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41"/>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2322</v>
      </c>
      <c r="B58" s="638" t="e">
        <f t="shared" si="17"/>
        <v>#DIV/0!</v>
      </c>
      <c r="C58" s="378">
        <f t="shared" si="16"/>
        <v>0</v>
      </c>
      <c r="D58" s="2214">
        <v>0.25</v>
      </c>
      <c r="E58" s="641">
        <f>'数据-汇总表'!E11</f>
        <v>0</v>
      </c>
      <c r="F58" s="1935" t="e">
        <f t="shared" si="15"/>
        <v>#DIV/0!</v>
      </c>
      <c r="G58" s="1941" t="s">
        <v>2280</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19236.86</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2279</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2280</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2288</v>
      </c>
      <c r="E63" s="643">
        <f>IF(B43="楼面地价",SUM(E53:E62),'数据-汇总表'!D3)</f>
        <v>49011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2020-6-1</v>
      </c>
      <c r="D65" s="2754">
        <f>EDATE(C65,-3)</f>
        <v>43891</v>
      </c>
      <c r="E65" s="2754">
        <f t="shared" ref="E65:N65" si="18">EDATE(D65,-3)</f>
        <v>43800</v>
      </c>
      <c r="F65" s="2754">
        <f t="shared" si="18"/>
        <v>43709</v>
      </c>
      <c r="G65" s="2754">
        <f t="shared" si="18"/>
        <v>43617</v>
      </c>
      <c r="H65" s="2754">
        <f t="shared" si="18"/>
        <v>43525</v>
      </c>
      <c r="I65" s="2754">
        <f t="shared" si="18"/>
        <v>43435</v>
      </c>
      <c r="J65" s="2754">
        <f t="shared" si="18"/>
        <v>43344</v>
      </c>
      <c r="K65" s="2754">
        <f t="shared" si="18"/>
        <v>43252</v>
      </c>
      <c r="L65" s="2754">
        <f t="shared" si="18"/>
        <v>43160</v>
      </c>
      <c r="M65" s="2754">
        <f t="shared" si="18"/>
        <v>43070</v>
      </c>
      <c r="N65" s="2754">
        <f t="shared" si="18"/>
        <v>42979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2527</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北京市平均增长率1.31%</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2542</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2544</v>
      </c>
      <c r="C95" s="2562" t="s">
        <v>2545</v>
      </c>
      <c r="D95" s="2562" t="s">
        <v>2546</v>
      </c>
      <c r="E95" s="2562" t="s">
        <v>2547</v>
      </c>
      <c r="F95" s="2562" t="s">
        <v>2548</v>
      </c>
      <c r="G95" s="2562" t="s">
        <v>2549</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2419</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2420</v>
      </c>
      <c r="D1" s="1508">
        <f>SUM(D29:D30,D33:D39)</f>
        <v>0</v>
      </c>
      <c r="E1" s="1402" t="s">
        <v>2421</v>
      </c>
      <c r="F1" s="2416"/>
      <c r="G1" s="1397"/>
      <c r="H1" s="1397"/>
      <c r="I1" s="1397"/>
      <c r="J1" s="1397"/>
      <c r="K1" s="1397"/>
      <c r="L1" s="1867" t="s">
        <v>2233</v>
      </c>
      <c r="M1" s="1868">
        <f>SUMPRODUCT((区片价!B5:B9=I2)*(区片价!C3:F3=E2)*(区片价!C5:F9))</f>
        <v>0</v>
      </c>
      <c r="N1" s="1869">
        <f>SUMPRODUCT((因素修正幅度!B5:B9=I2)*(因素修正幅度!C3:F3=E2)*(因素修正幅度!C5:F9))</f>
        <v>0</v>
      </c>
      <c r="O1" s="1397"/>
      <c r="P1" s="1397"/>
      <c r="Q1" s="2174"/>
      <c r="R1" s="2891" t="s">
        <v>2755</v>
      </c>
      <c r="S1" s="2891" t="s">
        <v>2756</v>
      </c>
      <c r="T1" s="2891" t="s">
        <v>2777</v>
      </c>
      <c r="U1" s="2891" t="s">
        <v>2778</v>
      </c>
      <c r="V1" s="2891" t="s">
        <v>2779</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2234</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0.89</v>
      </c>
      <c r="H3" s="1410" t="s">
        <v>927</v>
      </c>
      <c r="I3" s="1039">
        <v>8</v>
      </c>
      <c r="J3" s="1406" t="s">
        <v>928</v>
      </c>
      <c r="K3" s="1406"/>
      <c r="L3" s="1870" t="s">
        <v>2235</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2274</v>
      </c>
      <c r="B4" s="2417" t="e">
        <f>ROUND(B2*10000/F1,0)</f>
        <v>#DIV/0!</v>
      </c>
      <c r="C4" s="1879" t="s">
        <v>2249</v>
      </c>
      <c r="D4" s="1879" t="e">
        <f>ROUND(B2/(F1/666.67),0)</f>
        <v>#DIV/0!</v>
      </c>
      <c r="E4" s="1879" t="s">
        <v>2250</v>
      </c>
      <c r="F4" s="1877"/>
      <c r="G4" s="1877"/>
      <c r="H4" s="1877"/>
      <c r="I4" s="1877"/>
      <c r="J4" s="1878"/>
      <c r="K4" s="3141"/>
      <c r="L4" s="1870" t="s">
        <v>2236</v>
      </c>
      <c r="M4" s="1871">
        <f>SUMPRODUCT((区片价!B49:B75=I2)*(区片价!C3:F3=E2)*(区片价!C49:F75))</f>
        <v>0</v>
      </c>
      <c r="N4" s="1872">
        <f>SUMPRODUCT((因素修正幅度!B49:B75=I2)*(因素修正幅度!C3:F3=E2)*(因素修正幅度!C49:F75))</f>
        <v>0</v>
      </c>
      <c r="O4" s="3141"/>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5" t="e">
        <f>ROUND(C6+C16,0)</f>
        <v>#DIV/0!</v>
      </c>
      <c r="E5" s="3065"/>
      <c r="F5" s="1412"/>
      <c r="G5" s="1413"/>
      <c r="H5" s="1413"/>
      <c r="I5" s="1413"/>
      <c r="J5" s="1414"/>
      <c r="K5" s="3142"/>
      <c r="L5" s="1870" t="s">
        <v>2237</v>
      </c>
      <c r="M5" s="1871">
        <f>SUMPRODUCT((区片价!B76:B109=I2)*(区片价!C3:F3=E2)*(区片价!C76:F109))</f>
        <v>0</v>
      </c>
      <c r="N5" s="1872">
        <f>SUMPRODUCT((因素修正幅度!B76:B109=I2)*(因素修正幅度!C3:F3=E2)*(因素修正幅度!C76:F109))</f>
        <v>0</v>
      </c>
      <c r="O5" s="3142"/>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2238</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49" t="str">
        <f>IF(E2="商业",IF(C8="不临58条商业街","",2),"")</f>
        <v/>
      </c>
      <c r="B7" s="1423" t="s">
        <v>930</v>
      </c>
      <c r="C7" s="1042" t="e">
        <f>IF(C8="不临58条商业街",1,ROUND(1+(1.6*E8+1.2*E9+0.8*E10+0.4*E11)*C9,4))</f>
        <v>#DIV/0!</v>
      </c>
      <c r="D7" s="1424" t="s">
        <v>931</v>
      </c>
      <c r="E7" s="1043"/>
      <c r="F7" s="1425"/>
      <c r="G7" s="1426"/>
      <c r="H7" s="1426"/>
      <c r="I7" s="1426"/>
      <c r="J7" s="1427"/>
      <c r="K7" s="1452"/>
      <c r="L7" s="1870" t="s">
        <v>2239</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2758</v>
      </c>
      <c r="X7" s="2882">
        <f>G2</f>
        <v>0</v>
      </c>
      <c r="Y7" s="2882" t="s">
        <v>2759</v>
      </c>
      <c r="Z7" s="2883">
        <f>G3</f>
        <v>0.89</v>
      </c>
      <c r="AA7" s="2177"/>
      <c r="AB7" s="2177"/>
      <c r="AC7" s="2178"/>
      <c r="AD7" s="2884"/>
      <c r="AE7" s="2884"/>
      <c r="AF7" s="2884"/>
      <c r="AG7" s="2884"/>
      <c r="AH7" s="2884"/>
      <c r="AI7" s="2884"/>
      <c r="AJ7" s="2885"/>
    </row>
    <row r="8" spans="1:39" ht="15">
      <c r="A8" s="3450"/>
      <c r="B8" s="1410" t="s">
        <v>932</v>
      </c>
      <c r="C8" s="1516"/>
      <c r="D8" s="1044" t="s">
        <v>933</v>
      </c>
      <c r="E8" s="1045" t="e">
        <f>ROUND(C11/E7,4)</f>
        <v>#DIV/0!</v>
      </c>
      <c r="F8" s="1428" t="s">
        <v>934</v>
      </c>
      <c r="G8" s="1429"/>
      <c r="H8" s="1429"/>
      <c r="I8" s="1429"/>
      <c r="J8" s="1430"/>
      <c r="K8" s="1452"/>
      <c r="L8" s="1870" t="s">
        <v>2240</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60" t="s">
        <v>2776</v>
      </c>
      <c r="X8" s="3461"/>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50"/>
      <c r="B9" s="1410" t="s">
        <v>935</v>
      </c>
      <c r="C9" s="1046">
        <f>SUMIF(修正!C59:C119,C8,修正!E59:E119)</f>
        <v>0</v>
      </c>
      <c r="D9" s="1047" t="s">
        <v>936</v>
      </c>
      <c r="E9" s="1047" t="e">
        <f>ROUND(C11/E7,4)</f>
        <v>#DIV/0!</v>
      </c>
      <c r="F9" s="1428" t="s">
        <v>937</v>
      </c>
      <c r="G9" s="1429"/>
      <c r="H9" s="1429"/>
      <c r="I9" s="1429"/>
      <c r="J9" s="1430"/>
      <c r="K9" s="1452"/>
      <c r="L9" s="1870" t="s">
        <v>2241</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59" t="s">
        <v>2772</v>
      </c>
      <c r="X9" s="2886" t="s">
        <v>2773</v>
      </c>
      <c r="Y9" s="3043"/>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0"/>
      <c r="B10" s="1410" t="s">
        <v>938</v>
      </c>
      <c r="C10" s="1047">
        <f>SUMIF(修正!C59:C119,C8,修正!F59:F119)</f>
        <v>0</v>
      </c>
      <c r="D10" s="1047" t="s">
        <v>939</v>
      </c>
      <c r="E10" s="1047" t="e">
        <f>ROUND(C11/E7,4)</f>
        <v>#DIV/0!</v>
      </c>
      <c r="F10" s="1428" t="s">
        <v>940</v>
      </c>
      <c r="G10" s="1429"/>
      <c r="H10" s="1429"/>
      <c r="I10" s="1429"/>
      <c r="J10" s="1430"/>
      <c r="K10" s="1452"/>
      <c r="L10" s="1870" t="s">
        <v>2242</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5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0"/>
      <c r="B11" s="1431" t="s">
        <v>941</v>
      </c>
      <c r="C11" s="1048">
        <f>C10/4</f>
        <v>0</v>
      </c>
      <c r="D11" s="1048" t="s">
        <v>942</v>
      </c>
      <c r="E11" s="1048" t="e">
        <f>ROUND(C11/E7,4)</f>
        <v>#DIV/0!</v>
      </c>
      <c r="F11" s="1432" t="s">
        <v>943</v>
      </c>
      <c r="G11" s="1433"/>
      <c r="H11" s="1433"/>
      <c r="I11" s="1433"/>
      <c r="J11" s="1434"/>
      <c r="K11" s="1452"/>
      <c r="L11" s="1870" t="s">
        <v>2243</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59" t="s">
        <v>2774</v>
      </c>
      <c r="X11" s="1047" t="s">
        <v>2759</v>
      </c>
      <c r="Y11" s="1638">
        <f>$G$3</f>
        <v>0.89</v>
      </c>
      <c r="Z11" s="1638">
        <f t="shared" ref="Z11:AJ11" si="3">$G$3</f>
        <v>0.89</v>
      </c>
      <c r="AA11" s="1638">
        <f t="shared" si="3"/>
        <v>0.89</v>
      </c>
      <c r="AB11" s="1638">
        <f t="shared" si="3"/>
        <v>0.89</v>
      </c>
      <c r="AC11" s="1638">
        <f t="shared" si="3"/>
        <v>0.89</v>
      </c>
      <c r="AD11" s="1638">
        <f t="shared" si="3"/>
        <v>0.89</v>
      </c>
      <c r="AE11" s="1638">
        <f t="shared" si="3"/>
        <v>0.89</v>
      </c>
      <c r="AF11" s="1638">
        <f t="shared" si="3"/>
        <v>0.89</v>
      </c>
      <c r="AG11" s="1638">
        <f t="shared" si="3"/>
        <v>0.89</v>
      </c>
      <c r="AH11" s="1638">
        <f t="shared" si="3"/>
        <v>0.89</v>
      </c>
      <c r="AI11" s="1638">
        <f t="shared" si="3"/>
        <v>0.89</v>
      </c>
      <c r="AJ11" s="1638">
        <f t="shared" si="3"/>
        <v>0.89</v>
      </c>
    </row>
    <row r="12" spans="1:39" ht="25.5" thickBot="1">
      <c r="A12" s="3449" t="s">
        <v>1869</v>
      </c>
      <c r="B12" s="1435" t="s">
        <v>944</v>
      </c>
      <c r="C12" s="1042">
        <f>ROUND(C15*D15*E15*F15*G15*H15*I15*J15,4)</f>
        <v>1</v>
      </c>
      <c r="D12" s="1436" t="s">
        <v>945</v>
      </c>
      <c r="E12" s="1437"/>
      <c r="F12" s="1437"/>
      <c r="G12" s="1438"/>
      <c r="H12" s="1438"/>
      <c r="I12" s="1438"/>
      <c r="J12" s="1439"/>
      <c r="K12" s="1452"/>
      <c r="L12" s="1873" t="s">
        <v>2244</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59"/>
      <c r="X12" s="2889" t="s">
        <v>2775</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1"/>
      <c r="B13" s="1440" t="s">
        <v>1694</v>
      </c>
      <c r="C13" s="1441" t="s">
        <v>1695</v>
      </c>
      <c r="D13" s="1084" t="s">
        <v>1696</v>
      </c>
      <c r="E13" s="1084" t="s">
        <v>1697</v>
      </c>
      <c r="F13" s="1442" t="s">
        <v>946</v>
      </c>
      <c r="G13" s="1443" t="s">
        <v>1640</v>
      </c>
      <c r="H13" s="1444" t="s">
        <v>1640</v>
      </c>
      <c r="I13" s="1445" t="s">
        <v>1640</v>
      </c>
      <c r="J13" s="1446" t="s">
        <v>1640</v>
      </c>
      <c r="K13" s="3157"/>
      <c r="L13" s="3157"/>
      <c r="M13" s="3157"/>
      <c r="N13" s="3157"/>
      <c r="O13" s="3157"/>
      <c r="P13" s="1397"/>
      <c r="Q13" s="2174"/>
      <c r="R13" s="2892">
        <v>12</v>
      </c>
      <c r="S13" s="2881"/>
      <c r="T13" s="2892" t="e">
        <f t="shared" si="0"/>
        <v>#DIV/0!</v>
      </c>
      <c r="U13" s="2881"/>
      <c r="V13" s="2892" t="e">
        <f t="shared" si="1"/>
        <v>#DIV/0!</v>
      </c>
      <c r="W13" s="3459"/>
      <c r="X13" s="2889"/>
      <c r="Y13" s="2888">
        <f>(-0.163*(Y12^2)-0.59*Y12+7617)*(10^(-4))/Y11</f>
        <v>0.85584269662921353</v>
      </c>
      <c r="Z13" s="2888">
        <f t="shared" ref="Z13:AJ13" si="5">(-0.163*(Z12^2)-0.59*Z12+7617)*(10^(-4))/Z11</f>
        <v>0.85584269662921353</v>
      </c>
      <c r="AA13" s="2888">
        <f t="shared" si="5"/>
        <v>0.85584269662921353</v>
      </c>
      <c r="AB13" s="2888">
        <f t="shared" si="5"/>
        <v>0.85584269662921353</v>
      </c>
      <c r="AC13" s="2888">
        <f t="shared" si="5"/>
        <v>0.85584269662921353</v>
      </c>
      <c r="AD13" s="2888">
        <f t="shared" si="5"/>
        <v>0.85584269662921353</v>
      </c>
      <c r="AE13" s="2888">
        <f t="shared" si="5"/>
        <v>0.85584269662921353</v>
      </c>
      <c r="AF13" s="2888">
        <f t="shared" si="5"/>
        <v>0.85584269662921353</v>
      </c>
      <c r="AG13" s="2888">
        <f t="shared" si="5"/>
        <v>0.85584269662921353</v>
      </c>
      <c r="AH13" s="2888">
        <f t="shared" si="5"/>
        <v>0.85584269662921353</v>
      </c>
      <c r="AI13" s="2888">
        <f t="shared" si="5"/>
        <v>0.85584269662921353</v>
      </c>
      <c r="AJ13" s="2888">
        <f t="shared" si="5"/>
        <v>0.85584269662921353</v>
      </c>
    </row>
    <row r="14" spans="1:39" ht="12.75" customHeight="1">
      <c r="A14" s="3451"/>
      <c r="B14" s="1447"/>
      <c r="C14" s="1448"/>
      <c r="D14" s="1449"/>
      <c r="E14" s="1449"/>
      <c r="F14" s="1450"/>
      <c r="G14" s="1451" t="s">
        <v>947</v>
      </c>
      <c r="H14" s="1452"/>
      <c r="I14" s="1453"/>
      <c r="J14" s="1454"/>
      <c r="K14" s="3143"/>
      <c r="L14" s="3143"/>
      <c r="M14" s="3143"/>
      <c r="N14" s="3143"/>
      <c r="O14" s="3143"/>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2"/>
      <c r="B15" s="3162" t="s">
        <v>1698</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49" t="s">
        <v>1836</v>
      </c>
      <c r="B16" s="1423" t="s">
        <v>948</v>
      </c>
      <c r="C16" s="1051" t="e">
        <f>ROUND(IF(F17="与级别开发程度一致",0,(G17-E17)/C17),0)</f>
        <v>#DIV/0!</v>
      </c>
      <c r="D16" s="3467" t="s">
        <v>952</v>
      </c>
      <c r="E16" s="3468"/>
      <c r="F16" s="3467" t="s">
        <v>949</v>
      </c>
      <c r="G16" s="3468"/>
      <c r="H16" s="1455"/>
      <c r="I16" s="1455"/>
      <c r="J16" s="1455"/>
      <c r="K16" s="1455"/>
      <c r="L16" s="1455"/>
      <c r="M16" s="1455"/>
      <c r="N16" s="1455"/>
      <c r="O16" s="3167"/>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53"/>
      <c r="B17" s="3168" t="s">
        <v>951</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3" t="s">
        <v>953</v>
      </c>
      <c r="C18" s="3164">
        <f>SUMIF(修正!C18:C39,E3,修正!E18:E39)</f>
        <v>0</v>
      </c>
      <c r="D18" s="3165"/>
      <c r="E18" s="3166"/>
      <c r="F18" s="3148"/>
      <c r="G18" s="3142"/>
      <c r="H18" s="3142"/>
      <c r="I18" s="3142"/>
      <c r="J18" s="3156"/>
      <c r="K18" s="3142"/>
      <c r="L18" s="3142"/>
      <c r="M18" s="3142"/>
      <c r="N18" s="3142"/>
      <c r="O18" s="314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43994</v>
      </c>
      <c r="H19" s="1463" t="s">
        <v>2978</v>
      </c>
      <c r="I19" s="2740" t="str">
        <f>IF(H19="季度增幅（自定义）",SUMIF(N21:N24,E2,O21:O24),"")</f>
        <v/>
      </c>
      <c r="J19" s="1459"/>
      <c r="K19" s="3142"/>
      <c r="L19" s="2992" t="s">
        <v>2834</v>
      </c>
      <c r="M19" s="2993">
        <f>ROUND(SUMIF(地价!B2:F2,E2,地价!B30:F30),0)</f>
        <v>0</v>
      </c>
      <c r="N19" s="2742" t="s">
        <v>1674</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0">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4"/>
      <c r="L20" s="2994" t="s">
        <v>2835</v>
      </c>
      <c r="M20" s="3151">
        <f>ROUND(SUMPRODUCT((地价!A4:A30=YEAR(G19)&amp;"-"&amp;ROUNDUP(MONTH(G19)/3,0))*(地价!B2:F2=E2)*(地价!B4:F30)),0)</f>
        <v>0</v>
      </c>
      <c r="N20" s="2745" t="s">
        <v>2638</v>
      </c>
      <c r="O20" s="2743" t="s">
        <v>2637</v>
      </c>
      <c r="P20" s="2744" t="s">
        <v>2643</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2"/>
      <c r="L21" s="1469"/>
      <c r="M21" s="1469"/>
      <c r="N21" s="1466" t="s">
        <v>973</v>
      </c>
      <c r="O21" s="1529"/>
      <c r="P21" s="2732">
        <f>SUMPRODUCT((地价!A3:A30=YEAR(G19)&amp;"-"&amp;ROUNDUP(MONTH(G19)/3,0))*(地价!AD2:AH2=N21)*(地价!AD3:AH30))</f>
        <v>1.2800000000000001E-2</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f>IF(E22=G22,F22,IF(G3&lt;=10,ROUND(F22+(H22-F22)*(G3-E22)/(G22-E22),4),"——"))</f>
        <v>0</v>
      </c>
      <c r="E22" s="1038">
        <f>ROUNDDOWN(G3,1)</f>
        <v>0.8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5"/>
      <c r="L22" s="1469"/>
      <c r="M22" s="1469"/>
      <c r="N22" s="1466" t="s">
        <v>976</v>
      </c>
      <c r="O22" s="1529"/>
      <c r="P22" s="2732">
        <f>SUMPRODUCT((地价!A3:A30=YEAR(G19)&amp;"-"&amp;ROUNDUP(MONTH(G19)/3,0))*(地价!AD2:AH2=N22)*(地价!AD3:AH30))</f>
        <v>1.2800000000000001E-2</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6"/>
      <c r="L23" s="1397"/>
      <c r="M23" s="1397"/>
      <c r="N23" s="1466" t="s">
        <v>921</v>
      </c>
      <c r="O23" s="1529"/>
      <c r="P23" s="2732">
        <f>SUMPRODUCT((地价!A3:A30=YEAR(G19)&amp;"-"&amp;ROUNDUP(MONTH(G19)/3,0))*(地价!AD2:AH2=N23)*(地价!AD3:AH30))</f>
        <v>2.0299999999999999E-2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6"/>
      <c r="L24" s="1469"/>
      <c r="M24" s="1469"/>
      <c r="N24" s="1466" t="s">
        <v>979</v>
      </c>
      <c r="O24" s="3150"/>
      <c r="P24" s="2732">
        <f>SUMPRODUCT((地价!A3:A30=YEAR(G19)&amp;"-"&amp;ROUNDUP(MONTH(G19)/3,0))*(地价!AD2:AH2=N24)*(地价!AD3:AH30))</f>
        <v>1.3100000000000001E-2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2" t="s">
        <v>2641</v>
      </c>
      <c r="O25" s="3153"/>
      <c r="P25" s="2411">
        <f>SUMPRODUCT((地价!A3:A30=YEAR(G19)&amp;"-"&amp;ROUNDUP(MONTH(G19)/3,0))*(地价!AD2:AH2=N25)*(地价!AD3:AH30))</f>
        <v>1.8499999999999999E-2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7"/>
      <c r="L29" s="3147"/>
      <c r="M29" s="3147"/>
      <c r="N29" s="3147"/>
      <c r="O29" s="3147"/>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8"/>
      <c r="L32" s="3148"/>
      <c r="M32" s="3148"/>
      <c r="N32" s="3148"/>
      <c r="O32" s="314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56" t="s">
        <v>2948</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9"/>
      <c r="L33" s="3149"/>
      <c r="M33" s="3149"/>
      <c r="N33" s="3149"/>
      <c r="O33" s="314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57"/>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9"/>
      <c r="L34" s="3149"/>
      <c r="M34" s="3149"/>
      <c r="N34" s="3149"/>
      <c r="O34" s="314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57"/>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9"/>
      <c r="L35" s="3149"/>
      <c r="M35" s="3149"/>
      <c r="N35" s="3149"/>
      <c r="O35" s="314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58"/>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9"/>
      <c r="L36" s="3149"/>
      <c r="M36" s="3149"/>
      <c r="N36" s="3149"/>
      <c r="O36" s="314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0" t="s">
        <v>2972</v>
      </c>
      <c r="C41" s="839" t="e">
        <f>ROUND(POWER(1+E41,H41-G41)*(POWER(1+E41,G41)-1)/(POWER(1+E41,H41)-1),4)</f>
        <v>#DIV/0!</v>
      </c>
      <c r="D41" s="378" t="s">
        <v>2970</v>
      </c>
      <c r="E41" s="3139">
        <f>G20</f>
        <v>0</v>
      </c>
      <c r="F41" s="378" t="s">
        <v>2971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2245</v>
      </c>
      <c r="G46" s="2395" t="s">
        <v>1012</v>
      </c>
      <c r="H46" s="2378" t="s">
        <v>2412</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1018</v>
      </c>
      <c r="B47" s="2375" t="str">
        <f>估价对象房地状况!C16</f>
        <v>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1019</v>
      </c>
      <c r="B48" s="2372" t="str">
        <f>估价对象房地状况!C18</f>
        <v>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2" t="s">
        <v>2925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1" t="s">
        <v>2924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较好</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f>估价对象房地状况!C22</f>
        <v>0</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2246</v>
      </c>
      <c r="G57" s="2395" t="s">
        <v>1012</v>
      </c>
      <c r="H57" s="2378" t="s">
        <v>2412</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1028</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1019</v>
      </c>
      <c r="B59" s="2372" t="str">
        <f>估价对象房地状况!C18</f>
        <v>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2" t="s">
        <v>2926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1" t="s">
        <v>2924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较好</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f>估价对象房地状况!C22</f>
        <v>0</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2247</v>
      </c>
      <c r="G68" s="2395" t="s">
        <v>1012</v>
      </c>
      <c r="H68" s="2378" t="s">
        <v>2412</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1030</v>
      </c>
      <c r="B69" s="2375" t="str">
        <f>估价对象房地状况!C15</f>
        <v>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1031</v>
      </c>
      <c r="B70" s="2372" t="str">
        <f>估价对象房地状况!C18</f>
        <v>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较好</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f>估价对象房地状况!C22</f>
        <v>0</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1" t="s">
        <v>2924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2248</v>
      </c>
      <c r="G79" s="2395" t="s">
        <v>1012</v>
      </c>
      <c r="H79" s="2378" t="s">
        <v>2412</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1" t="s">
        <v>2924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4" t="s">
        <v>1631</v>
      </c>
      <c r="B90" s="3454"/>
      <c r="C90" s="3454"/>
      <c r="D90" s="3454"/>
      <c r="E90" s="3454"/>
      <c r="F90" s="3454"/>
      <c r="G90" s="3454"/>
      <c r="H90" s="3454"/>
      <c r="I90" s="3454"/>
      <c r="J90" s="3454"/>
      <c r="K90" s="2414"/>
      <c r="L90" s="2414"/>
      <c r="M90" s="2414"/>
      <c r="N90" s="2414"/>
    </row>
    <row r="91" spans="1:40">
      <c r="A91" s="3455" t="s">
        <v>1441</v>
      </c>
      <c r="B91" s="3455" t="s">
        <v>1632</v>
      </c>
      <c r="C91" s="1135" t="s">
        <v>1633</v>
      </c>
      <c r="D91" s="1136"/>
      <c r="E91" s="1136"/>
      <c r="F91" s="1136"/>
      <c r="G91" s="1136"/>
      <c r="H91" s="1136"/>
      <c r="I91" s="1136"/>
      <c r="J91" s="1137"/>
      <c r="K91" s="1129"/>
      <c r="L91" s="1129"/>
      <c r="M91" s="1129"/>
      <c r="N91" s="1129"/>
    </row>
    <row r="92" spans="1:40">
      <c r="A92" s="3455"/>
      <c r="B92" s="3455"/>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62"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6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6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6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6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6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63"/>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6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62" t="s">
        <v>1635</v>
      </c>
      <c r="B101" s="1142" t="s">
        <v>904</v>
      </c>
      <c r="C101" s="1143">
        <f>$G$3</f>
        <v>0.89</v>
      </c>
      <c r="D101" s="1143">
        <f t="shared" ref="D101:N101" si="31">$G$3</f>
        <v>0.89</v>
      </c>
      <c r="E101" s="1143">
        <f t="shared" si="31"/>
        <v>0.89</v>
      </c>
      <c r="F101" s="1143">
        <f t="shared" si="31"/>
        <v>0.89</v>
      </c>
      <c r="G101" s="1143">
        <f t="shared" si="31"/>
        <v>0.89</v>
      </c>
      <c r="H101" s="1143">
        <f t="shared" si="31"/>
        <v>0.89</v>
      </c>
      <c r="I101" s="1143">
        <f t="shared" si="31"/>
        <v>0.89</v>
      </c>
      <c r="J101" s="1143">
        <f t="shared" si="31"/>
        <v>0.89</v>
      </c>
      <c r="K101" s="1143">
        <f t="shared" si="31"/>
        <v>0.89</v>
      </c>
      <c r="L101" s="1143">
        <f t="shared" si="31"/>
        <v>0.89</v>
      </c>
      <c r="M101" s="1143">
        <f t="shared" si="31"/>
        <v>0.89</v>
      </c>
      <c r="N101" s="1143">
        <f t="shared" si="31"/>
        <v>0.89</v>
      </c>
    </row>
    <row r="102" spans="1:14">
      <c r="A102" s="3463"/>
      <c r="B102" s="1138">
        <v>1</v>
      </c>
      <c r="C102" s="1139">
        <f>1.9362/C101</f>
        <v>2.1755056179775281</v>
      </c>
      <c r="D102" s="1139">
        <f>1.9362/D101</f>
        <v>2.1755056179775281</v>
      </c>
      <c r="E102" s="1139">
        <f>1.8629/E101</f>
        <v>2.0931460674157303</v>
      </c>
      <c r="F102" s="1139">
        <f>1.8629/F101</f>
        <v>2.0931460674157303</v>
      </c>
      <c r="G102" s="1139">
        <f>1.8629/G101</f>
        <v>2.0931460674157303</v>
      </c>
      <c r="H102" s="1139">
        <f>1.8629/H101</f>
        <v>2.0931460674157303</v>
      </c>
      <c r="I102" s="1139">
        <f>1.8629/I101</f>
        <v>2.0931460674157303</v>
      </c>
      <c r="J102" s="1139">
        <f>1.942/J101</f>
        <v>2.1820224719101122</v>
      </c>
      <c r="K102" s="1139">
        <f>1.942/K101</f>
        <v>2.1820224719101122</v>
      </c>
      <c r="L102" s="1139">
        <f>1.942/L101</f>
        <v>2.1820224719101122</v>
      </c>
      <c r="M102" s="1139">
        <f>1.942/M101</f>
        <v>2.1820224719101122</v>
      </c>
      <c r="N102" s="1139">
        <f>1.942/N101</f>
        <v>2.1820224719101122</v>
      </c>
    </row>
    <row r="103" spans="1:14">
      <c r="A103" s="3463"/>
      <c r="B103" s="1138">
        <v>2</v>
      </c>
      <c r="C103" s="1139">
        <f>1.4198/C101</f>
        <v>1.5952808988764045</v>
      </c>
      <c r="D103" s="1139">
        <f>1.4198/D101</f>
        <v>1.5952808988764045</v>
      </c>
      <c r="E103" s="1139">
        <f>1.3372/E101</f>
        <v>1.5024719101123594</v>
      </c>
      <c r="F103" s="1139">
        <f>1.3372/F101</f>
        <v>1.5024719101123594</v>
      </c>
      <c r="G103" s="1139">
        <f>1.3372/G101</f>
        <v>1.5024719101123594</v>
      </c>
      <c r="H103" s="1139">
        <f>1.3372/H101</f>
        <v>1.5024719101123594</v>
      </c>
      <c r="I103" s="1139">
        <f>1.3372/I101</f>
        <v>1.5024719101123594</v>
      </c>
      <c r="J103" s="1139">
        <f>1.2799/J101</f>
        <v>1.4380898876404495</v>
      </c>
      <c r="K103" s="1139">
        <f>1.2799/K101</f>
        <v>1.4380898876404495</v>
      </c>
      <c r="L103" s="1139">
        <f>1.2799/L101</f>
        <v>1.4380898876404495</v>
      </c>
      <c r="M103" s="1139">
        <f>1.2799/M101</f>
        <v>1.4380898876404495</v>
      </c>
      <c r="N103" s="1139">
        <f>1.2799/N101</f>
        <v>1.4380898876404495</v>
      </c>
    </row>
    <row r="104" spans="1:14">
      <c r="A104" s="3463"/>
      <c r="B104" s="1138">
        <v>3</v>
      </c>
      <c r="C104" s="1139">
        <f>1.1594/C101</f>
        <v>1.3026966292134832</v>
      </c>
      <c r="D104" s="1139">
        <f>1.1594/D101</f>
        <v>1.3026966292134832</v>
      </c>
      <c r="E104" s="1139">
        <f>1.0788/E101</f>
        <v>1.2121348314606741</v>
      </c>
      <c r="F104" s="1139">
        <f>1.0788/F101</f>
        <v>1.2121348314606741</v>
      </c>
      <c r="G104" s="1139">
        <f>1.0788/G101</f>
        <v>1.2121348314606741</v>
      </c>
      <c r="H104" s="1139">
        <f>1.0788/H101</f>
        <v>1.2121348314606741</v>
      </c>
      <c r="I104" s="1139">
        <f>1.0788/I101</f>
        <v>1.2121348314606741</v>
      </c>
      <c r="J104" s="1139">
        <f>1.0072/J101</f>
        <v>1.131685393258427</v>
      </c>
      <c r="K104" s="1139">
        <f>1.0072/K101</f>
        <v>1.131685393258427</v>
      </c>
      <c r="L104" s="1139">
        <f>1.0072/L101</f>
        <v>1.131685393258427</v>
      </c>
      <c r="M104" s="1139">
        <f>1.0072/M101</f>
        <v>1.131685393258427</v>
      </c>
      <c r="N104" s="1139">
        <f>1.0072/N101</f>
        <v>1.131685393258427</v>
      </c>
    </row>
    <row r="105" spans="1:14">
      <c r="A105" s="3463"/>
      <c r="B105" s="1138">
        <v>4</v>
      </c>
      <c r="C105" s="1139">
        <f>0.9622/C101</f>
        <v>1.081123595505618</v>
      </c>
      <c r="D105" s="1139">
        <f>0.9622/D101</f>
        <v>1.081123595505618</v>
      </c>
      <c r="E105" s="1139">
        <f>0.8656/E101</f>
        <v>0.97258426966292133</v>
      </c>
      <c r="F105" s="1139">
        <f>0.8656/F101</f>
        <v>0.97258426966292133</v>
      </c>
      <c r="G105" s="1139">
        <f>0.8656/G101</f>
        <v>0.97258426966292133</v>
      </c>
      <c r="H105" s="1139">
        <f>0.8656/H101</f>
        <v>0.97258426966292133</v>
      </c>
      <c r="I105" s="1139">
        <f>0.8656/I101</f>
        <v>0.97258426966292133</v>
      </c>
      <c r="J105" s="1139">
        <f>0.7525/J101</f>
        <v>0.84550561797752799</v>
      </c>
      <c r="K105" s="1139">
        <f>0.7525/K101</f>
        <v>0.84550561797752799</v>
      </c>
      <c r="L105" s="1139">
        <f>0.7525/L101</f>
        <v>0.84550561797752799</v>
      </c>
      <c r="M105" s="1139">
        <f>0.7525/M101</f>
        <v>0.84550561797752799</v>
      </c>
      <c r="N105" s="1139">
        <f>0.7525/N101</f>
        <v>0.84550561797752799</v>
      </c>
    </row>
    <row r="106" spans="1:14">
      <c r="A106" s="3463"/>
      <c r="B106" s="1138">
        <v>5</v>
      </c>
      <c r="C106" s="1139">
        <f>0.8417/C101</f>
        <v>0.94573033707865173</v>
      </c>
      <c r="D106" s="1139">
        <f>0.8417/D101</f>
        <v>0.94573033707865173</v>
      </c>
      <c r="E106" s="1139">
        <f>0.7371/E101</f>
        <v>0.82820224719101121</v>
      </c>
      <c r="F106" s="1139">
        <f>0.7371/F101</f>
        <v>0.82820224719101121</v>
      </c>
      <c r="G106" s="1139">
        <f>0.7371/G101</f>
        <v>0.82820224719101121</v>
      </c>
      <c r="H106" s="1139">
        <f>0.7371/H101</f>
        <v>0.82820224719101121</v>
      </c>
      <c r="I106" s="1139">
        <f>0.7371/I101</f>
        <v>0.82820224719101121</v>
      </c>
      <c r="J106" s="1139">
        <f>0.5659/J101</f>
        <v>0.63584269662921344</v>
      </c>
      <c r="K106" s="1139">
        <f>0.5659/K101</f>
        <v>0.63584269662921344</v>
      </c>
      <c r="L106" s="1139">
        <f>0.5659/L101</f>
        <v>0.63584269662921344</v>
      </c>
      <c r="M106" s="1139">
        <f>0.5659/M101</f>
        <v>0.63584269662921344</v>
      </c>
      <c r="N106" s="1139">
        <f>0.5659/N101</f>
        <v>0.63584269662921344</v>
      </c>
    </row>
    <row r="107" spans="1:14">
      <c r="A107" s="3463"/>
      <c r="B107" s="1138">
        <v>6</v>
      </c>
      <c r="C107" s="1139">
        <f>0.7608/C101</f>
        <v>0.85483146067415727</v>
      </c>
      <c r="D107" s="1139">
        <f>0.7608/D101</f>
        <v>0.85483146067415727</v>
      </c>
      <c r="E107" s="1139">
        <f>0.6482/E101</f>
        <v>0.728314606741573</v>
      </c>
      <c r="F107" s="1139">
        <f>0.6482/F101</f>
        <v>0.728314606741573</v>
      </c>
      <c r="G107" s="1139">
        <f>0.6482/G101</f>
        <v>0.728314606741573</v>
      </c>
      <c r="H107" s="1139">
        <f>0.6482/H101</f>
        <v>0.728314606741573</v>
      </c>
      <c r="I107" s="1139">
        <f>0.6482/I101</f>
        <v>0.728314606741573</v>
      </c>
      <c r="J107" s="1139">
        <f>0.4525/J101</f>
        <v>0.5084269662921348</v>
      </c>
      <c r="K107" s="1139">
        <f>0.4525/K101</f>
        <v>0.5084269662921348</v>
      </c>
      <c r="L107" s="1139">
        <f>0.4525/L101</f>
        <v>0.5084269662921348</v>
      </c>
      <c r="M107" s="1139">
        <f>0.4525/M101</f>
        <v>0.5084269662921348</v>
      </c>
      <c r="N107" s="1139">
        <f>0.4525/N101</f>
        <v>0.5084269662921348</v>
      </c>
    </row>
    <row r="108" spans="1:14">
      <c r="A108" s="3463"/>
      <c r="B108" s="3465"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64"/>
      <c r="B109" s="3466"/>
      <c r="C109" s="1141">
        <f>(-0.163*(C108^2)-0.59*C108+7617)*(10^(-4))/C101</f>
        <v>0.85414022471910112</v>
      </c>
      <c r="D109" s="1141">
        <f>(-0.163*(D108^2)-0.59*D108+7617)*(10^(-4))/D101</f>
        <v>0.85414022471910112</v>
      </c>
      <c r="E109" s="1141">
        <f>(-0.161*(E108^2)-7.509*E108+6533)*(10^(-4))/E101</f>
        <v>0.72613752808988763</v>
      </c>
      <c r="F109" s="1141">
        <f>(-0.161*(F108^2)-7.509*F108+6533)*(10^(-4))/F101</f>
        <v>0.72613752808988763</v>
      </c>
      <c r="G109" s="1141">
        <f>(-0.161*(G108^2)-7.509*G108+6533)*(10^(-4))/G101</f>
        <v>0.72613752808988763</v>
      </c>
      <c r="H109" s="1141">
        <f>(-0.161*(H108^2)-7.509*H108+6533)*(10^(-4))/H101</f>
        <v>0.72613752808988763</v>
      </c>
      <c r="I109" s="1141">
        <f>(-0.161*(I108^2)-7.509*I108+6533)*(10^(-4))/I101</f>
        <v>0.72613752808988763</v>
      </c>
      <c r="J109" s="1141">
        <f>(-0.214*(J108^2)-21.991*J108+4665)*(10^(-4))/J101</f>
        <v>0.50285123595505621</v>
      </c>
      <c r="K109" s="1141">
        <f>(-0.214*(K108^2)-21.991*K108+4665)*(10^(-4))/K101</f>
        <v>0.50285123595505621</v>
      </c>
      <c r="L109" s="1141">
        <f>(-0.214*(L108^2)-21.991*L108+4665)*(10^(-4))/L101</f>
        <v>0.50285123595505621</v>
      </c>
      <c r="M109" s="1141">
        <f>(-0.214*(M108^2)-21.991*M108+4665)*(10^(-4))/M101</f>
        <v>0.50285123595505621</v>
      </c>
      <c r="N109" s="1141">
        <f>(-0.214*(N108^2)-21.991*N108+4665)*(10^(-4))/N101</f>
        <v>0.50285123595505621</v>
      </c>
    </row>
    <row r="110" spans="1:14">
      <c r="A110" s="3448" t="s">
        <v>1637</v>
      </c>
      <c r="B110" s="3448"/>
      <c r="C110" s="3448"/>
      <c r="D110" s="3448"/>
      <c r="E110" s="3448"/>
      <c r="F110" s="3448"/>
      <c r="G110" s="3448"/>
      <c r="H110" s="3448"/>
      <c r="I110" s="3448"/>
      <c r="J110" s="3448"/>
      <c r="K110" s="2412"/>
      <c r="L110" s="2412"/>
      <c r="M110" s="2412"/>
      <c r="N110" s="2412"/>
    </row>
    <row r="112" spans="1:14" ht="12.75" thickBot="1"/>
    <row r="113" spans="1:13" ht="25.5" thickBot="1">
      <c r="A113" s="1015" t="s">
        <v>894</v>
      </c>
      <c r="B113" s="2415">
        <f>G3</f>
        <v>0.89</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0.92510000000000003</v>
      </c>
      <c r="C115" s="1029">
        <f>B115</f>
        <v>0.92510000000000003</v>
      </c>
      <c r="D115" s="1029">
        <f>ROUND(0.8331-0.0109*B113,4)</f>
        <v>0.82340000000000002</v>
      </c>
      <c r="E115" s="1029">
        <f>D115</f>
        <v>0.82340000000000002</v>
      </c>
      <c r="F115" s="1029">
        <f>E115</f>
        <v>0.82340000000000002</v>
      </c>
      <c r="G115" s="1029">
        <f>F115</f>
        <v>0.82340000000000002</v>
      </c>
      <c r="H115" s="1029">
        <f>G115</f>
        <v>0.82340000000000002</v>
      </c>
      <c r="I115" s="1029">
        <f>ROUND(0.689-0.0155*B113,4)</f>
        <v>0.67520000000000002</v>
      </c>
      <c r="J115" s="1029">
        <f t="shared" ref="J115:M118" si="33">I115</f>
        <v>0.67520000000000002</v>
      </c>
      <c r="K115" s="1029">
        <f t="shared" si="33"/>
        <v>0.67520000000000002</v>
      </c>
      <c r="L115" s="1029">
        <f t="shared" si="33"/>
        <v>0.67520000000000002</v>
      </c>
      <c r="M115" s="1030">
        <f t="shared" si="33"/>
        <v>0.67520000000000002</v>
      </c>
    </row>
    <row r="116" spans="1:13" ht="12.75">
      <c r="A116" s="1028" t="s">
        <v>899</v>
      </c>
      <c r="B116" s="1029">
        <f>ROUND(0.949-0.012*B113,4)</f>
        <v>0.93830000000000002</v>
      </c>
      <c r="C116" s="1029">
        <f>B116</f>
        <v>0.93830000000000002</v>
      </c>
      <c r="D116" s="1029">
        <f>ROUND(0.8567-0.013*B113,4)</f>
        <v>0.84509999999999996</v>
      </c>
      <c r="E116" s="1029">
        <f t="shared" ref="E116:H117" si="34">D116</f>
        <v>0.84509999999999996</v>
      </c>
      <c r="F116" s="1029">
        <f t="shared" si="34"/>
        <v>0.84509999999999996</v>
      </c>
      <c r="G116" s="1029">
        <f t="shared" si="34"/>
        <v>0.84509999999999996</v>
      </c>
      <c r="H116" s="1029">
        <f t="shared" si="34"/>
        <v>0.84509999999999996</v>
      </c>
      <c r="I116" s="1029">
        <f>ROUND(0.7694-0.014*B113,4)</f>
        <v>0.75690000000000002</v>
      </c>
      <c r="J116" s="1029">
        <f t="shared" si="33"/>
        <v>0.75690000000000002</v>
      </c>
      <c r="K116" s="1029">
        <f t="shared" si="33"/>
        <v>0.75690000000000002</v>
      </c>
      <c r="L116" s="1029">
        <f t="shared" si="33"/>
        <v>0.75690000000000002</v>
      </c>
      <c r="M116" s="1030">
        <f t="shared" si="33"/>
        <v>0.75690000000000002</v>
      </c>
    </row>
    <row r="117" spans="1:13" ht="12.75">
      <c r="A117" s="1031" t="s">
        <v>900</v>
      </c>
      <c r="B117" s="1029">
        <f>ROUND(0.8808-0.006*B113,4)</f>
        <v>0.87549999999999994</v>
      </c>
      <c r="C117" s="1029">
        <f>B117</f>
        <v>0.87549999999999994</v>
      </c>
      <c r="D117" s="1029">
        <f>ROUND(0.8748-0.008*B113,4)</f>
        <v>0.86770000000000003</v>
      </c>
      <c r="E117" s="1029">
        <f t="shared" si="34"/>
        <v>0.86770000000000003</v>
      </c>
      <c r="F117" s="1029">
        <f t="shared" si="34"/>
        <v>0.86770000000000003</v>
      </c>
      <c r="G117" s="1029">
        <f t="shared" si="34"/>
        <v>0.86770000000000003</v>
      </c>
      <c r="H117" s="1029">
        <f t="shared" si="34"/>
        <v>0.86770000000000003</v>
      </c>
      <c r="I117" s="1029">
        <f>ROUND(0.7412-0.0095*B113,4)</f>
        <v>0.73270000000000002</v>
      </c>
      <c r="J117" s="1029">
        <f t="shared" si="33"/>
        <v>0.73270000000000002</v>
      </c>
      <c r="K117" s="1029">
        <f t="shared" si="33"/>
        <v>0.73270000000000002</v>
      </c>
      <c r="L117" s="1029">
        <f t="shared" si="33"/>
        <v>0.73270000000000002</v>
      </c>
      <c r="M117" s="1030">
        <f t="shared" si="33"/>
        <v>0.73270000000000002</v>
      </c>
    </row>
    <row r="118" spans="1:13" ht="13.5" thickBot="1">
      <c r="A118" s="1032" t="s">
        <v>901</v>
      </c>
      <c r="B118" s="1033">
        <f>ROUND(0.7275-0.01*B113,4)</f>
        <v>0.71860000000000002</v>
      </c>
      <c r="C118" s="1033">
        <f>B118</f>
        <v>0.71860000000000002</v>
      </c>
      <c r="D118" s="1033">
        <f>ROUND(0.7043-0.012*B113,4)</f>
        <v>0.69359999999999999</v>
      </c>
      <c r="E118" s="1033">
        <f>D118</f>
        <v>0.69359999999999999</v>
      </c>
      <c r="F118" s="1033">
        <f>E118</f>
        <v>0.69359999999999999</v>
      </c>
      <c r="G118" s="1033">
        <f>ROUND(0.6299-0.0122*B113,4)</f>
        <v>0.61899999999999999</v>
      </c>
      <c r="H118" s="1033">
        <f>G118</f>
        <v>0.61899999999999999</v>
      </c>
      <c r="I118" s="1033">
        <f>ROUND(0.5667-0.0136*B113,4)</f>
        <v>0.55459999999999998</v>
      </c>
      <c r="J118" s="1033">
        <f t="shared" si="33"/>
        <v>0.55459999999999998</v>
      </c>
      <c r="K118" s="1033">
        <f t="shared" si="33"/>
        <v>0.55459999999999998</v>
      </c>
      <c r="L118" s="1033">
        <f t="shared" si="33"/>
        <v>0.55459999999999998</v>
      </c>
      <c r="M118" s="1034">
        <f t="shared" si="33"/>
        <v>0.55459999999999998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2975</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55" t="s">
        <v>1005</v>
      </c>
      <c r="B18" s="1149" t="s">
        <v>1444</v>
      </c>
      <c r="C18" s="1126" t="s">
        <v>1445</v>
      </c>
      <c r="D18" s="1127"/>
      <c r="E18" s="1149">
        <v>1</v>
      </c>
      <c r="F18" s="1128" t="s">
        <v>1446</v>
      </c>
      <c r="G18" s="1129"/>
      <c r="H18" s="1100"/>
      <c r="I18" s="1100"/>
    </row>
    <row r="19" spans="1:9" s="1584" customFormat="1" ht="19.5" customHeight="1">
      <c r="A19" s="3455"/>
      <c r="B19" s="3455" t="s">
        <v>1447</v>
      </c>
      <c r="C19" s="1126" t="s">
        <v>1448</v>
      </c>
      <c r="D19" s="1127"/>
      <c r="E19" s="1149">
        <v>0.9</v>
      </c>
      <c r="F19" s="1128" t="s">
        <v>1449</v>
      </c>
      <c r="G19" s="1129"/>
      <c r="H19" s="1100"/>
      <c r="I19" s="1100"/>
    </row>
    <row r="20" spans="1:9" s="1584" customFormat="1" ht="19.5" customHeight="1">
      <c r="A20" s="3455"/>
      <c r="B20" s="3455"/>
      <c r="C20" s="1126" t="s">
        <v>1450</v>
      </c>
      <c r="D20" s="1127"/>
      <c r="E20" s="1149">
        <v>1.1000000000000001</v>
      </c>
      <c r="F20" s="1128" t="s">
        <v>1451</v>
      </c>
      <c r="G20" s="1129"/>
      <c r="H20" s="1100"/>
      <c r="I20" s="1100"/>
    </row>
    <row r="21" spans="1:9" s="1584" customFormat="1" ht="19.5" customHeight="1">
      <c r="A21" s="3455"/>
      <c r="B21" s="3455"/>
      <c r="C21" s="1126" t="s">
        <v>1452</v>
      </c>
      <c r="D21" s="1127"/>
      <c r="E21" s="1149">
        <v>0.8</v>
      </c>
      <c r="F21" s="1128" t="s">
        <v>1453</v>
      </c>
      <c r="G21" s="1129"/>
      <c r="H21" s="1100"/>
      <c r="I21" s="1100"/>
    </row>
    <row r="22" spans="1:9" s="1584" customFormat="1" ht="19.5" customHeight="1">
      <c r="A22" s="3455"/>
      <c r="B22" s="3455"/>
      <c r="C22" s="1126" t="s">
        <v>1454</v>
      </c>
      <c r="D22" s="1127"/>
      <c r="E22" s="1149">
        <v>0.5</v>
      </c>
      <c r="F22" s="1128"/>
      <c r="G22" s="1129"/>
      <c r="H22" s="1100"/>
      <c r="I22" s="1100"/>
    </row>
    <row r="23" spans="1:9" s="1584" customFormat="1" ht="19.5" customHeight="1">
      <c r="A23" s="3455" t="s">
        <v>1027</v>
      </c>
      <c r="B23" s="1149" t="s">
        <v>1444</v>
      </c>
      <c r="C23" s="1126" t="s">
        <v>1455</v>
      </c>
      <c r="D23" s="1127"/>
      <c r="E23" s="1149">
        <v>1</v>
      </c>
      <c r="F23" s="1128" t="s">
        <v>1456</v>
      </c>
      <c r="G23" s="1129"/>
      <c r="H23" s="1100"/>
      <c r="I23" s="1100"/>
    </row>
    <row r="24" spans="1:9" s="1584" customFormat="1" ht="19.5" customHeight="1">
      <c r="A24" s="3455"/>
      <c r="B24" s="3455" t="s">
        <v>1447</v>
      </c>
      <c r="C24" s="1126" t="s">
        <v>1457</v>
      </c>
      <c r="D24" s="1127"/>
      <c r="E24" s="1149">
        <v>0.5</v>
      </c>
      <c r="F24" s="1128"/>
      <c r="G24" s="1129"/>
      <c r="H24" s="1100"/>
      <c r="I24" s="1100"/>
    </row>
    <row r="25" spans="1:9" s="1584" customFormat="1" ht="19.5" customHeight="1">
      <c r="A25" s="3455"/>
      <c r="B25" s="3455"/>
      <c r="C25" s="1126" t="s">
        <v>1458</v>
      </c>
      <c r="D25" s="1127"/>
      <c r="E25" s="1149">
        <v>1.1000000000000001</v>
      </c>
      <c r="F25" s="1128"/>
      <c r="G25" s="1129"/>
      <c r="H25" s="1100"/>
      <c r="I25" s="1100"/>
    </row>
    <row r="26" spans="1:9" s="1584" customFormat="1" ht="19.5" customHeight="1">
      <c r="A26" s="3455"/>
      <c r="B26" s="3455"/>
      <c r="C26" s="1126" t="s">
        <v>1459</v>
      </c>
      <c r="D26" s="1127"/>
      <c r="E26" s="1149">
        <v>1.1000000000000001</v>
      </c>
      <c r="F26" s="1128"/>
      <c r="G26" s="1129"/>
      <c r="H26" s="1100"/>
      <c r="I26" s="1100"/>
    </row>
    <row r="27" spans="1:9" s="1584" customFormat="1" ht="19.5" customHeight="1">
      <c r="A27" s="3455"/>
      <c r="B27" s="3455"/>
      <c r="C27" s="1126" t="s">
        <v>1460</v>
      </c>
      <c r="D27" s="1127"/>
      <c r="E27" s="1149">
        <v>0.9</v>
      </c>
      <c r="F27" s="1128" t="s">
        <v>1461</v>
      </c>
      <c r="G27" s="1129"/>
      <c r="H27" s="1100"/>
      <c r="I27" s="1100"/>
    </row>
    <row r="28" spans="1:9" s="1584" customFormat="1" ht="19.5" customHeight="1">
      <c r="A28" s="3455"/>
      <c r="B28" s="3455"/>
      <c r="C28" s="1126" t="s">
        <v>1462</v>
      </c>
      <c r="D28" s="1127"/>
      <c r="E28" s="1149">
        <v>0.9</v>
      </c>
      <c r="F28" s="1128" t="s">
        <v>1463</v>
      </c>
      <c r="G28" s="1129"/>
      <c r="H28" s="1100"/>
      <c r="I28" s="1100"/>
    </row>
    <row r="29" spans="1:9" s="1584" customFormat="1" ht="19.5" customHeight="1">
      <c r="A29" s="3455"/>
      <c r="B29" s="3455"/>
      <c r="C29" s="1126" t="s">
        <v>1464</v>
      </c>
      <c r="D29" s="1127"/>
      <c r="E29" s="1149">
        <v>0.9</v>
      </c>
      <c r="F29" s="1128" t="s">
        <v>1465</v>
      </c>
      <c r="G29" s="1129"/>
      <c r="H29" s="1100"/>
      <c r="I29" s="1100"/>
    </row>
    <row r="30" spans="1:9" s="1584" customFormat="1" ht="19.5" customHeight="1">
      <c r="A30" s="3455"/>
      <c r="B30" s="3455"/>
      <c r="C30" s="1126" t="s">
        <v>1466</v>
      </c>
      <c r="D30" s="1127"/>
      <c r="E30" s="1149">
        <v>0.9</v>
      </c>
      <c r="F30" s="1128" t="s">
        <v>1467</v>
      </c>
      <c r="G30" s="1129"/>
      <c r="H30" s="1100"/>
      <c r="I30" s="1100"/>
    </row>
    <row r="31" spans="1:9" s="1584" customFormat="1" ht="19.5" customHeight="1">
      <c r="A31" s="3455"/>
      <c r="B31" s="3455"/>
      <c r="C31" s="1126" t="s">
        <v>1468</v>
      </c>
      <c r="D31" s="1127"/>
      <c r="E31" s="1149">
        <v>0.8</v>
      </c>
      <c r="F31" s="1128" t="s">
        <v>1469</v>
      </c>
      <c r="G31" s="1129"/>
      <c r="H31" s="1100"/>
      <c r="I31" s="1100"/>
    </row>
    <row r="32" spans="1:9" s="1584" customFormat="1" ht="19.5" customHeight="1">
      <c r="A32" s="3455"/>
      <c r="B32" s="3455"/>
      <c r="C32" s="1126" t="s">
        <v>1470</v>
      </c>
      <c r="D32" s="1127"/>
      <c r="E32" s="1149">
        <v>0.8</v>
      </c>
      <c r="F32" s="1128" t="s">
        <v>1471</v>
      </c>
      <c r="G32" s="1129"/>
      <c r="H32" s="1100"/>
      <c r="I32" s="1100"/>
    </row>
    <row r="33" spans="1:9" s="1584" customFormat="1" ht="19.5" customHeight="1">
      <c r="A33" s="3455" t="s">
        <v>1472</v>
      </c>
      <c r="B33" s="1149" t="s">
        <v>1444</v>
      </c>
      <c r="C33" s="1126" t="s">
        <v>1473</v>
      </c>
      <c r="D33" s="1127"/>
      <c r="E33" s="1149">
        <v>1</v>
      </c>
      <c r="F33" s="1128" t="s">
        <v>1474</v>
      </c>
      <c r="G33" s="1129"/>
      <c r="H33" s="1100"/>
      <c r="I33" s="1100"/>
    </row>
    <row r="34" spans="1:9" s="1584" customFormat="1" ht="19.5" customHeight="1">
      <c r="A34" s="3455"/>
      <c r="B34" s="1149" t="s">
        <v>1447</v>
      </c>
      <c r="C34" s="1126" t="s">
        <v>1475</v>
      </c>
      <c r="D34" s="1127"/>
      <c r="E34" s="1149">
        <v>1.5</v>
      </c>
      <c r="F34" s="1128" t="s">
        <v>1476</v>
      </c>
      <c r="G34" s="1129"/>
      <c r="H34" s="1100"/>
      <c r="I34" s="1100"/>
    </row>
    <row r="35" spans="1:9" s="1584" customFormat="1" ht="19.5" customHeight="1">
      <c r="A35" s="3455" t="s">
        <v>1430</v>
      </c>
      <c r="B35" s="1149" t="s">
        <v>1444</v>
      </c>
      <c r="C35" s="1126" t="s">
        <v>1477</v>
      </c>
      <c r="D35" s="1127"/>
      <c r="E35" s="1149">
        <v>1</v>
      </c>
      <c r="F35" s="1128" t="s">
        <v>1478</v>
      </c>
      <c r="G35" s="1129"/>
      <c r="H35" s="1100"/>
      <c r="I35" s="1100"/>
    </row>
    <row r="36" spans="1:9" s="1584" customFormat="1" ht="19.5" customHeight="1">
      <c r="A36" s="3455"/>
      <c r="B36" s="3455" t="s">
        <v>1447</v>
      </c>
      <c r="C36" s="1126" t="s">
        <v>1479</v>
      </c>
      <c r="D36" s="1127"/>
      <c r="E36" s="1149">
        <v>1</v>
      </c>
      <c r="F36" s="1128" t="s">
        <v>1480</v>
      </c>
      <c r="G36" s="1129"/>
      <c r="H36" s="1100"/>
      <c r="I36" s="1100"/>
    </row>
    <row r="37" spans="1:9" s="1584" customFormat="1" ht="19.5" customHeight="1">
      <c r="A37" s="3455"/>
      <c r="B37" s="3455"/>
      <c r="C37" s="1126" t="s">
        <v>1481</v>
      </c>
      <c r="D37" s="1127"/>
      <c r="E37" s="1149">
        <v>1.5</v>
      </c>
      <c r="F37" s="1128" t="s">
        <v>1482</v>
      </c>
      <c r="G37" s="1129"/>
      <c r="H37" s="1100"/>
      <c r="I37" s="1100"/>
    </row>
    <row r="38" spans="1:9" s="1584" customFormat="1" ht="19.5" customHeight="1">
      <c r="A38" s="3455"/>
      <c r="B38" s="3455"/>
      <c r="C38" s="1126" t="s">
        <v>1483</v>
      </c>
      <c r="D38" s="1127"/>
      <c r="E38" s="1149">
        <v>1</v>
      </c>
      <c r="F38" s="1128" t="s">
        <v>1484</v>
      </c>
      <c r="G38" s="1129"/>
      <c r="H38" s="1100"/>
      <c r="I38" s="1100"/>
    </row>
    <row r="39" spans="1:9" s="1584" customFormat="1" ht="19.5" customHeight="1">
      <c r="A39" s="3455"/>
      <c r="B39" s="3455"/>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55" t="s">
        <v>1499</v>
      </c>
      <c r="C61" s="1063" t="s">
        <v>1500</v>
      </c>
      <c r="D61" s="1063" t="s">
        <v>1501</v>
      </c>
      <c r="E61" s="1134">
        <v>0.5</v>
      </c>
      <c r="F61" s="1149">
        <v>80</v>
      </c>
      <c r="H61" s="1100">
        <f>SUMIF(C59:C119,基准地价!C8,E59:E119)</f>
        <v>0</v>
      </c>
    </row>
    <row r="62" spans="1:8" s="1100" customFormat="1" ht="24">
      <c r="A62" s="1149">
        <v>2</v>
      </c>
      <c r="B62" s="3455"/>
      <c r="C62" s="1063" t="s">
        <v>1502</v>
      </c>
      <c r="D62" s="1063" t="s">
        <v>1503</v>
      </c>
      <c r="E62" s="1134">
        <v>0.5</v>
      </c>
      <c r="F62" s="1149">
        <v>80</v>
      </c>
    </row>
    <row r="63" spans="1:8" s="1100" customFormat="1" ht="36">
      <c r="A63" s="1149">
        <v>3</v>
      </c>
      <c r="B63" s="3455"/>
      <c r="C63" s="1063" t="s">
        <v>1504</v>
      </c>
      <c r="D63" s="1063" t="s">
        <v>1505</v>
      </c>
      <c r="E63" s="1134">
        <v>0.5</v>
      </c>
      <c r="F63" s="1149">
        <v>80</v>
      </c>
    </row>
    <row r="64" spans="1:8" s="1100" customFormat="1" ht="36">
      <c r="A64" s="1149">
        <v>4</v>
      </c>
      <c r="B64" s="3455"/>
      <c r="C64" s="1063" t="s">
        <v>1506</v>
      </c>
      <c r="D64" s="1063" t="s">
        <v>1507</v>
      </c>
      <c r="E64" s="1134">
        <v>0.4</v>
      </c>
      <c r="F64" s="1149">
        <v>60</v>
      </c>
    </row>
    <row r="65" spans="1:6" s="1100" customFormat="1" ht="36">
      <c r="A65" s="1149">
        <v>5</v>
      </c>
      <c r="B65" s="3455"/>
      <c r="C65" s="1063" t="s">
        <v>1508</v>
      </c>
      <c r="D65" s="1063" t="s">
        <v>1509</v>
      </c>
      <c r="E65" s="1134">
        <v>0.2</v>
      </c>
      <c r="F65" s="1149">
        <v>30</v>
      </c>
    </row>
    <row r="66" spans="1:6" s="1100" customFormat="1" ht="36">
      <c r="A66" s="1149">
        <v>6</v>
      </c>
      <c r="B66" s="3455"/>
      <c r="C66" s="1063" t="s">
        <v>1510</v>
      </c>
      <c r="D66" s="1063" t="s">
        <v>1511</v>
      </c>
      <c r="E66" s="1134">
        <v>0.3</v>
      </c>
      <c r="F66" s="1149">
        <v>50</v>
      </c>
    </row>
    <row r="67" spans="1:6" s="1100" customFormat="1" ht="36">
      <c r="A67" s="1149">
        <v>7</v>
      </c>
      <c r="B67" s="3455"/>
      <c r="C67" s="1063" t="s">
        <v>1512</v>
      </c>
      <c r="D67" s="1063" t="s">
        <v>1513</v>
      </c>
      <c r="E67" s="1134">
        <v>0.2</v>
      </c>
      <c r="F67" s="1149">
        <v>30</v>
      </c>
    </row>
    <row r="68" spans="1:6" s="1100" customFormat="1" ht="36">
      <c r="A68" s="1149">
        <v>8</v>
      </c>
      <c r="B68" s="3455"/>
      <c r="C68" s="1063" t="s">
        <v>1514</v>
      </c>
      <c r="D68" s="1063" t="s">
        <v>1515</v>
      </c>
      <c r="E68" s="1134">
        <v>0.2</v>
      </c>
      <c r="F68" s="1149">
        <v>30</v>
      </c>
    </row>
    <row r="69" spans="1:6" s="1100" customFormat="1" ht="36">
      <c r="A69" s="1149">
        <v>9</v>
      </c>
      <c r="B69" s="3455"/>
      <c r="C69" s="1063" t="s">
        <v>1516</v>
      </c>
      <c r="D69" s="1063" t="s">
        <v>1517</v>
      </c>
      <c r="E69" s="1134">
        <v>0.2</v>
      </c>
      <c r="F69" s="1149">
        <v>30</v>
      </c>
    </row>
    <row r="70" spans="1:6" s="1100" customFormat="1" ht="48">
      <c r="A70" s="1149">
        <v>10</v>
      </c>
      <c r="B70" s="3455"/>
      <c r="C70" s="1063" t="s">
        <v>1518</v>
      </c>
      <c r="D70" s="1063" t="s">
        <v>1519</v>
      </c>
      <c r="E70" s="1134">
        <v>0.2</v>
      </c>
      <c r="F70" s="1149">
        <v>30</v>
      </c>
    </row>
    <row r="71" spans="1:6" s="1100" customFormat="1" ht="48">
      <c r="A71" s="1149">
        <v>11</v>
      </c>
      <c r="B71" s="3455"/>
      <c r="C71" s="1063" t="s">
        <v>1520</v>
      </c>
      <c r="D71" s="1063" t="s">
        <v>1521</v>
      </c>
      <c r="E71" s="1134">
        <v>0.2</v>
      </c>
      <c r="F71" s="1149">
        <v>30</v>
      </c>
    </row>
    <row r="72" spans="1:6" s="1100" customFormat="1" ht="36">
      <c r="A72" s="1149">
        <v>12</v>
      </c>
      <c r="B72" s="3455"/>
      <c r="C72" s="1063" t="s">
        <v>1522</v>
      </c>
      <c r="D72" s="1063" t="s">
        <v>1523</v>
      </c>
      <c r="E72" s="1134">
        <v>0.5</v>
      </c>
      <c r="F72" s="1149">
        <v>80</v>
      </c>
    </row>
    <row r="73" spans="1:6" s="1100" customFormat="1" ht="24">
      <c r="A73" s="1149">
        <v>13</v>
      </c>
      <c r="B73" s="3455"/>
      <c r="C73" s="1063" t="s">
        <v>1524</v>
      </c>
      <c r="D73" s="1063" t="s">
        <v>1525</v>
      </c>
      <c r="E73" s="1134">
        <v>0.4</v>
      </c>
      <c r="F73" s="1149">
        <v>60</v>
      </c>
    </row>
    <row r="74" spans="1:6" s="1100" customFormat="1" ht="24">
      <c r="A74" s="1149">
        <v>14</v>
      </c>
      <c r="B74" s="3455"/>
      <c r="C74" s="1063" t="s">
        <v>1526</v>
      </c>
      <c r="D74" s="1063" t="s">
        <v>1527</v>
      </c>
      <c r="E74" s="1134">
        <v>0.2</v>
      </c>
      <c r="F74" s="1149">
        <v>30</v>
      </c>
    </row>
    <row r="75" spans="1:6" s="1100" customFormat="1" ht="24">
      <c r="A75" s="1149">
        <v>15</v>
      </c>
      <c r="B75" s="3455"/>
      <c r="C75" s="1063" t="s">
        <v>1528</v>
      </c>
      <c r="D75" s="1063" t="s">
        <v>1529</v>
      </c>
      <c r="E75" s="1134">
        <v>0.2</v>
      </c>
      <c r="F75" s="1149">
        <v>30</v>
      </c>
    </row>
    <row r="76" spans="1:6" s="1100" customFormat="1" ht="24">
      <c r="A76" s="1149">
        <v>16</v>
      </c>
      <c r="B76" s="3455" t="s">
        <v>1530</v>
      </c>
      <c r="C76" s="1063" t="s">
        <v>1531</v>
      </c>
      <c r="D76" s="1063" t="s">
        <v>1532</v>
      </c>
      <c r="E76" s="1134">
        <v>0.5</v>
      </c>
      <c r="F76" s="1149">
        <v>80</v>
      </c>
    </row>
    <row r="77" spans="1:6" s="1100" customFormat="1" ht="24">
      <c r="A77" s="1149">
        <v>17</v>
      </c>
      <c r="B77" s="3455"/>
      <c r="C77" s="1063" t="s">
        <v>1533</v>
      </c>
      <c r="D77" s="1063" t="s">
        <v>1534</v>
      </c>
      <c r="E77" s="1134">
        <v>0.5</v>
      </c>
      <c r="F77" s="1149">
        <v>80</v>
      </c>
    </row>
    <row r="78" spans="1:6" s="1100" customFormat="1" ht="24">
      <c r="A78" s="1149">
        <v>18</v>
      </c>
      <c r="B78" s="3455"/>
      <c r="C78" s="1063" t="s">
        <v>1535</v>
      </c>
      <c r="D78" s="1063" t="s">
        <v>1536</v>
      </c>
      <c r="E78" s="1134">
        <v>0.2</v>
      </c>
      <c r="F78" s="1149">
        <v>30</v>
      </c>
    </row>
    <row r="79" spans="1:6" s="1100" customFormat="1" ht="24">
      <c r="A79" s="1149">
        <v>19</v>
      </c>
      <c r="B79" s="3455"/>
      <c r="C79" s="1063" t="s">
        <v>1537</v>
      </c>
      <c r="D79" s="1063" t="s">
        <v>1538</v>
      </c>
      <c r="E79" s="1134">
        <v>0.5</v>
      </c>
      <c r="F79" s="1149">
        <v>80</v>
      </c>
    </row>
    <row r="80" spans="1:6" s="1100" customFormat="1" ht="36">
      <c r="A80" s="1149">
        <v>20</v>
      </c>
      <c r="B80" s="3455"/>
      <c r="C80" s="1063" t="s">
        <v>1539</v>
      </c>
      <c r="D80" s="1063" t="s">
        <v>1540</v>
      </c>
      <c r="E80" s="1134">
        <v>0.2</v>
      </c>
      <c r="F80" s="1149">
        <v>30</v>
      </c>
    </row>
    <row r="81" spans="1:6" s="1100" customFormat="1" ht="36">
      <c r="A81" s="1149">
        <v>21</v>
      </c>
      <c r="B81" s="3455"/>
      <c r="C81" s="1063" t="s">
        <v>1541</v>
      </c>
      <c r="D81" s="1063" t="s">
        <v>1542</v>
      </c>
      <c r="E81" s="1134">
        <v>0.2</v>
      </c>
      <c r="F81" s="1149">
        <v>30</v>
      </c>
    </row>
    <row r="82" spans="1:6" s="1100" customFormat="1" ht="48">
      <c r="A82" s="1149">
        <v>22</v>
      </c>
      <c r="B82" s="3455"/>
      <c r="C82" s="1063" t="s">
        <v>1543</v>
      </c>
      <c r="D82" s="1063" t="s">
        <v>1544</v>
      </c>
      <c r="E82" s="1134">
        <v>0.2</v>
      </c>
      <c r="F82" s="1149">
        <v>30</v>
      </c>
    </row>
    <row r="83" spans="1:6" s="1100" customFormat="1" ht="48">
      <c r="A83" s="1149">
        <v>23</v>
      </c>
      <c r="B83" s="3455"/>
      <c r="C83" s="1063" t="s">
        <v>1545</v>
      </c>
      <c r="D83" s="1063" t="s">
        <v>1546</v>
      </c>
      <c r="E83" s="1134">
        <v>0.2</v>
      </c>
      <c r="F83" s="1149">
        <v>30</v>
      </c>
    </row>
    <row r="84" spans="1:6" s="1100" customFormat="1" ht="36">
      <c r="A84" s="1149">
        <v>24</v>
      </c>
      <c r="B84" s="3455"/>
      <c r="C84" s="1063" t="s">
        <v>1547</v>
      </c>
      <c r="D84" s="1063" t="s">
        <v>1548</v>
      </c>
      <c r="E84" s="1134">
        <v>0.2</v>
      </c>
      <c r="F84" s="1149">
        <v>30</v>
      </c>
    </row>
    <row r="85" spans="1:6" s="1100" customFormat="1" ht="36">
      <c r="A85" s="1149">
        <v>25</v>
      </c>
      <c r="B85" s="3455"/>
      <c r="C85" s="1063" t="s">
        <v>1549</v>
      </c>
      <c r="D85" s="1063" t="s">
        <v>1550</v>
      </c>
      <c r="E85" s="1134">
        <v>0.5</v>
      </c>
      <c r="F85" s="1149">
        <v>80</v>
      </c>
    </row>
    <row r="86" spans="1:6" s="1100" customFormat="1" ht="36">
      <c r="A86" s="1149">
        <v>26</v>
      </c>
      <c r="B86" s="3455"/>
      <c r="C86" s="1063" t="s">
        <v>1551</v>
      </c>
      <c r="D86" s="1063" t="s">
        <v>1552</v>
      </c>
      <c r="E86" s="1134">
        <v>0.2</v>
      </c>
      <c r="F86" s="1149">
        <v>30</v>
      </c>
    </row>
    <row r="87" spans="1:6" s="1100" customFormat="1" ht="36">
      <c r="A87" s="1149">
        <v>27</v>
      </c>
      <c r="B87" s="3455"/>
      <c r="C87" s="1063" t="s">
        <v>1553</v>
      </c>
      <c r="D87" s="1063" t="s">
        <v>1554</v>
      </c>
      <c r="E87" s="1134">
        <v>0.2</v>
      </c>
      <c r="F87" s="1149">
        <v>30</v>
      </c>
    </row>
    <row r="88" spans="1:6" s="1100" customFormat="1" ht="36">
      <c r="A88" s="1149">
        <v>28</v>
      </c>
      <c r="B88" s="3455"/>
      <c r="C88" s="1063" t="s">
        <v>1555</v>
      </c>
      <c r="D88" s="1063" t="s">
        <v>1556</v>
      </c>
      <c r="E88" s="1134">
        <v>0.2</v>
      </c>
      <c r="F88" s="1149">
        <v>30</v>
      </c>
    </row>
    <row r="89" spans="1:6" s="1100" customFormat="1" ht="24">
      <c r="A89" s="1149">
        <v>29</v>
      </c>
      <c r="B89" s="3455"/>
      <c r="C89" s="1063" t="s">
        <v>1557</v>
      </c>
      <c r="D89" s="1063" t="s">
        <v>1558</v>
      </c>
      <c r="E89" s="1134">
        <v>0.2</v>
      </c>
      <c r="F89" s="1149">
        <v>30</v>
      </c>
    </row>
    <row r="90" spans="1:6" s="1100" customFormat="1" ht="24">
      <c r="A90" s="1149">
        <v>30</v>
      </c>
      <c r="B90" s="3455"/>
      <c r="C90" s="1063" t="s">
        <v>1559</v>
      </c>
      <c r="D90" s="1063" t="s">
        <v>1560</v>
      </c>
      <c r="E90" s="1134">
        <v>0.2</v>
      </c>
      <c r="F90" s="1149">
        <v>30</v>
      </c>
    </row>
    <row r="91" spans="1:6" s="1100" customFormat="1" ht="36">
      <c r="A91" s="1149">
        <v>31</v>
      </c>
      <c r="B91" s="3455"/>
      <c r="C91" s="1063" t="s">
        <v>1561</v>
      </c>
      <c r="D91" s="1063" t="s">
        <v>1562</v>
      </c>
      <c r="E91" s="1134">
        <v>0.2</v>
      </c>
      <c r="F91" s="1149">
        <v>30</v>
      </c>
    </row>
    <row r="92" spans="1:6" s="1100" customFormat="1" ht="24">
      <c r="A92" s="1149">
        <v>32</v>
      </c>
      <c r="B92" s="3455" t="s">
        <v>1563</v>
      </c>
      <c r="C92" s="1149" t="s">
        <v>1564</v>
      </c>
      <c r="D92" s="1063" t="s">
        <v>1565</v>
      </c>
      <c r="E92" s="1134">
        <v>0.2</v>
      </c>
      <c r="F92" s="1149">
        <v>30</v>
      </c>
    </row>
    <row r="93" spans="1:6" s="1100" customFormat="1" ht="36">
      <c r="A93" s="1149">
        <v>33</v>
      </c>
      <c r="B93" s="3455"/>
      <c r="C93" s="1149" t="s">
        <v>1566</v>
      </c>
      <c r="D93" s="1063" t="s">
        <v>1567</v>
      </c>
      <c r="E93" s="1134">
        <v>0.2</v>
      </c>
      <c r="F93" s="1149">
        <v>30</v>
      </c>
    </row>
    <row r="94" spans="1:6" s="1100" customFormat="1" ht="48">
      <c r="A94" s="1149">
        <v>34</v>
      </c>
      <c r="B94" s="3455"/>
      <c r="C94" s="1149" t="s">
        <v>1568</v>
      </c>
      <c r="D94" s="1063" t="s">
        <v>1569</v>
      </c>
      <c r="E94" s="1134">
        <v>0.2</v>
      </c>
      <c r="F94" s="1149">
        <v>30</v>
      </c>
    </row>
    <row r="95" spans="1:6" s="1100" customFormat="1" ht="36">
      <c r="A95" s="1149">
        <v>35</v>
      </c>
      <c r="B95" s="3455"/>
      <c r="C95" s="1149" t="s">
        <v>1570</v>
      </c>
      <c r="D95" s="1063" t="s">
        <v>1571</v>
      </c>
      <c r="E95" s="1134">
        <v>0.2</v>
      </c>
      <c r="F95" s="1149">
        <v>30</v>
      </c>
    </row>
    <row r="96" spans="1:6" s="1100" customFormat="1" ht="48">
      <c r="A96" s="1149">
        <v>36</v>
      </c>
      <c r="B96" s="3455"/>
      <c r="C96" s="1063" t="s">
        <v>1572</v>
      </c>
      <c r="D96" s="1063" t="s">
        <v>1573</v>
      </c>
      <c r="E96" s="1134">
        <v>0.2</v>
      </c>
      <c r="F96" s="1149">
        <v>30</v>
      </c>
    </row>
    <row r="97" spans="1:6" s="1100" customFormat="1" ht="36">
      <c r="A97" s="1149">
        <v>37</v>
      </c>
      <c r="B97" s="3455"/>
      <c r="C97" s="1149" t="s">
        <v>1574</v>
      </c>
      <c r="D97" s="1063" t="s">
        <v>1575</v>
      </c>
      <c r="E97" s="1134">
        <v>0.2</v>
      </c>
      <c r="F97" s="1149">
        <v>30</v>
      </c>
    </row>
    <row r="98" spans="1:6" s="1100" customFormat="1" ht="36">
      <c r="A98" s="1149">
        <v>38</v>
      </c>
      <c r="B98" s="3455"/>
      <c r="C98" s="1149" t="s">
        <v>1576</v>
      </c>
      <c r="D98" s="1063" t="s">
        <v>1577</v>
      </c>
      <c r="E98" s="1134">
        <v>0.2</v>
      </c>
      <c r="F98" s="1149">
        <v>30</v>
      </c>
    </row>
    <row r="99" spans="1:6" s="1100" customFormat="1" ht="36">
      <c r="A99" s="1149">
        <v>39</v>
      </c>
      <c r="B99" s="3455" t="s">
        <v>1578</v>
      </c>
      <c r="C99" s="1149" t="s">
        <v>1579</v>
      </c>
      <c r="D99" s="1063" t="s">
        <v>1580</v>
      </c>
      <c r="E99" s="1134">
        <v>0.3</v>
      </c>
      <c r="F99" s="1149">
        <v>50</v>
      </c>
    </row>
    <row r="100" spans="1:6" s="1100" customFormat="1" ht="24">
      <c r="A100" s="1149">
        <v>40</v>
      </c>
      <c r="B100" s="3455"/>
      <c r="C100" s="1149" t="s">
        <v>1581</v>
      </c>
      <c r="D100" s="1063" t="s">
        <v>1582</v>
      </c>
      <c r="E100" s="1134">
        <v>0.2</v>
      </c>
      <c r="F100" s="1149">
        <v>30</v>
      </c>
    </row>
    <row r="101" spans="1:6" s="1100" customFormat="1" ht="36">
      <c r="A101" s="1149">
        <v>41</v>
      </c>
      <c r="B101" s="3455"/>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55" t="s">
        <v>1593</v>
      </c>
      <c r="C105" s="1149" t="s">
        <v>1594</v>
      </c>
      <c r="D105" s="1063" t="s">
        <v>1595</v>
      </c>
      <c r="E105" s="1134">
        <v>0.2</v>
      </c>
      <c r="F105" s="1149">
        <v>30</v>
      </c>
    </row>
    <row r="106" spans="1:6" s="1100" customFormat="1" ht="36">
      <c r="A106" s="1149">
        <v>46</v>
      </c>
      <c r="B106" s="3455"/>
      <c r="C106" s="1149" t="s">
        <v>1596</v>
      </c>
      <c r="D106" s="1063" t="s">
        <v>1597</v>
      </c>
      <c r="E106" s="1134">
        <v>0.2</v>
      </c>
      <c r="F106" s="1149">
        <v>30</v>
      </c>
    </row>
    <row r="107" spans="1:6" s="1100" customFormat="1" ht="36">
      <c r="A107" s="1149">
        <v>47</v>
      </c>
      <c r="B107" s="3455" t="s">
        <v>1598</v>
      </c>
      <c r="C107" s="1149" t="s">
        <v>1599</v>
      </c>
      <c r="D107" s="1063" t="s">
        <v>1600</v>
      </c>
      <c r="E107" s="1134">
        <v>0.3</v>
      </c>
      <c r="F107" s="1149">
        <v>50</v>
      </c>
    </row>
    <row r="108" spans="1:6" s="1100" customFormat="1" ht="36">
      <c r="A108" s="1149">
        <v>48</v>
      </c>
      <c r="B108" s="3455"/>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55" t="s">
        <v>1609</v>
      </c>
      <c r="C111" s="1149" t="s">
        <v>1610</v>
      </c>
      <c r="D111" s="1063" t="s">
        <v>1611</v>
      </c>
      <c r="E111" s="1134">
        <v>0.2</v>
      </c>
      <c r="F111" s="1149">
        <v>30</v>
      </c>
    </row>
    <row r="112" spans="1:6" s="1100" customFormat="1" ht="24">
      <c r="A112" s="1149">
        <v>52</v>
      </c>
      <c r="B112" s="3455"/>
      <c r="C112" s="1149" t="s">
        <v>1612</v>
      </c>
      <c r="D112" s="1063" t="s">
        <v>1613</v>
      </c>
      <c r="E112" s="1134">
        <v>0.2</v>
      </c>
      <c r="F112" s="1149">
        <v>30</v>
      </c>
    </row>
    <row r="113" spans="1:14" s="1100" customFormat="1" ht="24">
      <c r="A113" s="1149">
        <v>53</v>
      </c>
      <c r="B113" s="3455"/>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55" t="s">
        <v>1622</v>
      </c>
      <c r="C116" s="1149" t="s">
        <v>1623</v>
      </c>
      <c r="D116" s="1063" t="s">
        <v>1624</v>
      </c>
      <c r="E116" s="1134">
        <v>0.2</v>
      </c>
      <c r="F116" s="1149">
        <v>30</v>
      </c>
    </row>
    <row r="117" spans="1:14" ht="36">
      <c r="A117" s="1149">
        <v>57</v>
      </c>
      <c r="B117" s="3455"/>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54" t="s">
        <v>1631</v>
      </c>
      <c r="B121" s="3454"/>
      <c r="C121" s="3454"/>
      <c r="D121" s="3454"/>
      <c r="E121" s="3454"/>
      <c r="F121" s="3454"/>
      <c r="G121" s="3454"/>
      <c r="H121" s="3454"/>
      <c r="I121" s="3454"/>
      <c r="J121" s="345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9" t="s">
        <v>1037</v>
      </c>
      <c r="B1" s="3469"/>
      <c r="C1" s="3469"/>
      <c r="D1" s="3469"/>
      <c r="E1" s="3469"/>
      <c r="F1" s="3469"/>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70" t="s">
        <v>1050</v>
      </c>
      <c r="B2" s="3470"/>
      <c r="C2" s="3470"/>
      <c r="D2" s="3470"/>
      <c r="E2" s="3470"/>
      <c r="F2" s="3470"/>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71"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72"/>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2416</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2417</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73" t="s">
        <v>2074</v>
      </c>
      <c r="B1" s="3473"/>
    </row>
    <row r="2" spans="1:6" ht="14.25" thickBot="1">
      <c r="A2" s="1836"/>
      <c r="B2" s="1836"/>
    </row>
    <row r="3" spans="1:6" ht="14.25" thickBot="1">
      <c r="A3" s="1836"/>
      <c r="B3" s="1836"/>
      <c r="C3" s="1837" t="s">
        <v>2075</v>
      </c>
      <c r="D3" s="1837" t="s">
        <v>2076</v>
      </c>
      <c r="E3" s="1837" t="s">
        <v>2077</v>
      </c>
      <c r="F3" s="1837" t="s">
        <v>2078</v>
      </c>
    </row>
    <row r="4" spans="1:6" ht="14.25" thickBot="1">
      <c r="A4" s="1838" t="s">
        <v>2079</v>
      </c>
      <c r="B4" s="1839" t="s">
        <v>2080</v>
      </c>
      <c r="C4" s="1837"/>
      <c r="D4" s="1837"/>
      <c r="E4" s="1837"/>
      <c r="F4" s="1837"/>
    </row>
    <row r="5" spans="1:6" ht="14.25" thickBot="1">
      <c r="A5" s="1840" t="s">
        <v>2081</v>
      </c>
      <c r="B5" s="1841" t="s">
        <v>2082</v>
      </c>
      <c r="C5" s="1842">
        <v>8.8999999999999996E-2</v>
      </c>
      <c r="D5" s="1842">
        <v>7.3999999999999996E-2</v>
      </c>
      <c r="E5" s="1842">
        <v>7.4999999999999997E-2</v>
      </c>
      <c r="F5" s="1843">
        <v>0.1</v>
      </c>
    </row>
    <row r="6" spans="1:6" ht="14.25" thickBot="1">
      <c r="A6" s="1840" t="s">
        <v>1094</v>
      </c>
      <c r="B6" s="1844" t="s">
        <v>2083</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2084</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2085</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2086</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2087</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2088</v>
      </c>
      <c r="C72" s="1854"/>
      <c r="D72" s="1854"/>
      <c r="E72" s="1854"/>
      <c r="F72" s="1846">
        <v>0.05</v>
      </c>
    </row>
    <row r="73" spans="1:6" ht="14.25" thickBot="1">
      <c r="A73" s="1840" t="s">
        <v>923</v>
      </c>
      <c r="B73" s="1844" t="s">
        <v>2089</v>
      </c>
      <c r="C73" s="1854"/>
      <c r="D73" s="1854"/>
      <c r="E73" s="1854"/>
      <c r="F73" s="1846">
        <v>0.05</v>
      </c>
    </row>
    <row r="74" spans="1:6" ht="14.25" thickBot="1">
      <c r="A74" s="1840" t="s">
        <v>923</v>
      </c>
      <c r="B74" s="1844" t="s">
        <v>2090</v>
      </c>
      <c r="C74" s="1854"/>
      <c r="D74" s="1854"/>
      <c r="E74" s="1854"/>
      <c r="F74" s="1846">
        <v>0.05</v>
      </c>
    </row>
    <row r="75" spans="1:6" ht="14.25" thickBot="1">
      <c r="A75" s="1848" t="s">
        <v>923</v>
      </c>
      <c r="B75" s="1855" t="s">
        <v>2091</v>
      </c>
      <c r="C75" s="1851"/>
      <c r="D75" s="1851"/>
      <c r="E75" s="1851"/>
      <c r="F75" s="1856">
        <v>0.05</v>
      </c>
    </row>
    <row r="76" spans="1:6" ht="14.25" thickBot="1">
      <c r="A76" s="1840" t="s">
        <v>1405</v>
      </c>
      <c r="B76" s="1841" t="s">
        <v>2092</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2093</v>
      </c>
      <c r="C102" s="1854"/>
      <c r="D102" s="1854"/>
      <c r="E102" s="1854"/>
      <c r="F102" s="1846">
        <v>0.05</v>
      </c>
    </row>
    <row r="103" spans="1:6" ht="24.75" thickBot="1">
      <c r="A103" s="1840" t="s">
        <v>1405</v>
      </c>
      <c r="B103" s="1844" t="s">
        <v>2094</v>
      </c>
      <c r="C103" s="1854"/>
      <c r="D103" s="1854"/>
      <c r="E103" s="1854"/>
      <c r="F103" s="1846">
        <v>0.05</v>
      </c>
    </row>
    <row r="104" spans="1:6" ht="14.25" thickBot="1">
      <c r="A104" s="1840" t="s">
        <v>1405</v>
      </c>
      <c r="B104" s="1844" t="s">
        <v>2095</v>
      </c>
      <c r="C104" s="1854"/>
      <c r="D104" s="1854"/>
      <c r="E104" s="1854"/>
      <c r="F104" s="1846">
        <v>0.05</v>
      </c>
    </row>
    <row r="105" spans="1:6" ht="14.25" thickBot="1">
      <c r="A105" s="1840" t="s">
        <v>1405</v>
      </c>
      <c r="B105" s="1844" t="s">
        <v>2096</v>
      </c>
      <c r="C105" s="1854"/>
      <c r="D105" s="1854"/>
      <c r="E105" s="1854"/>
      <c r="F105" s="1846">
        <v>0.05</v>
      </c>
    </row>
    <row r="106" spans="1:6" ht="14.25" thickBot="1">
      <c r="A106" s="1840" t="s">
        <v>1405</v>
      </c>
      <c r="B106" s="1844" t="s">
        <v>2097</v>
      </c>
      <c r="C106" s="1854"/>
      <c r="D106" s="1854"/>
      <c r="E106" s="1854"/>
      <c r="F106" s="1846">
        <v>0.05</v>
      </c>
    </row>
    <row r="107" spans="1:6" ht="24.75" thickBot="1">
      <c r="A107" s="1840" t="s">
        <v>1405</v>
      </c>
      <c r="B107" s="1844" t="s">
        <v>2098</v>
      </c>
      <c r="C107" s="1854"/>
      <c r="D107" s="1854"/>
      <c r="E107" s="1854"/>
      <c r="F107" s="1846">
        <v>0.05</v>
      </c>
    </row>
    <row r="108" spans="1:6" ht="24.75" thickBot="1">
      <c r="A108" s="1840" t="s">
        <v>1405</v>
      </c>
      <c r="B108" s="1844" t="s">
        <v>2099</v>
      </c>
      <c r="C108" s="1854"/>
      <c r="D108" s="1854"/>
      <c r="E108" s="1854"/>
      <c r="F108" s="1846">
        <v>0.05</v>
      </c>
    </row>
    <row r="109" spans="1:6" ht="24.75" thickBot="1">
      <c r="A109" s="1848" t="s">
        <v>1405</v>
      </c>
      <c r="B109" s="1855" t="s">
        <v>2100</v>
      </c>
      <c r="C109" s="1851"/>
      <c r="D109" s="1851"/>
      <c r="E109" s="1851"/>
      <c r="F109" s="1856">
        <v>0.05</v>
      </c>
    </row>
    <row r="110" spans="1:6" ht="14.25" thickBot="1">
      <c r="A110" s="1840" t="s">
        <v>1407</v>
      </c>
      <c r="B110" s="1841" t="s">
        <v>2101</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2102</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2103</v>
      </c>
      <c r="C138" s="1845">
        <v>0.105</v>
      </c>
      <c r="D138" s="1845">
        <v>0.125</v>
      </c>
      <c r="E138" s="1845">
        <v>0.112</v>
      </c>
      <c r="F138" s="1853"/>
    </row>
    <row r="139" spans="1:6" ht="14.25" thickBot="1">
      <c r="A139" s="1840" t="s">
        <v>1407</v>
      </c>
      <c r="B139" s="1844" t="s">
        <v>2104</v>
      </c>
      <c r="C139" s="1845">
        <v>0.127</v>
      </c>
      <c r="D139" s="1845">
        <v>0.127</v>
      </c>
      <c r="E139" s="1845">
        <v>0.122</v>
      </c>
      <c r="F139" s="1846">
        <v>0.13</v>
      </c>
    </row>
    <row r="140" spans="1:6" ht="14.25" thickBot="1">
      <c r="A140" s="1840" t="s">
        <v>1407</v>
      </c>
      <c r="B140" s="1844" t="s">
        <v>2105</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2106</v>
      </c>
      <c r="C144" s="1858">
        <v>0.126</v>
      </c>
      <c r="D144" s="1858">
        <v>0.126</v>
      </c>
      <c r="E144" s="1858">
        <v>0.121</v>
      </c>
      <c r="F144" s="1853"/>
    </row>
    <row r="145" spans="1:6" ht="14.25" thickBot="1">
      <c r="A145" s="1848" t="s">
        <v>1407</v>
      </c>
      <c r="B145" s="1859" t="s">
        <v>2107</v>
      </c>
      <c r="C145" s="1860"/>
      <c r="D145" s="1860"/>
      <c r="E145" s="1860"/>
      <c r="F145" s="1861">
        <v>0.05</v>
      </c>
    </row>
    <row r="146" spans="1:6" ht="24.75" thickBot="1">
      <c r="A146" s="1862" t="s">
        <v>1407</v>
      </c>
      <c r="B146" s="1847" t="s">
        <v>2108</v>
      </c>
      <c r="C146" s="1854"/>
      <c r="D146" s="1854"/>
      <c r="E146" s="1854"/>
      <c r="F146" s="1863">
        <v>0.05</v>
      </c>
    </row>
    <row r="147" spans="1:6" ht="24.75" thickBot="1">
      <c r="A147" s="1840" t="s">
        <v>1407</v>
      </c>
      <c r="B147" s="1844" t="s">
        <v>2109</v>
      </c>
      <c r="C147" s="1854"/>
      <c r="D147" s="1854"/>
      <c r="E147" s="1854"/>
      <c r="F147" s="1846">
        <v>0.05</v>
      </c>
    </row>
    <row r="148" spans="1:6" ht="24.75" thickBot="1">
      <c r="A148" s="1840" t="s">
        <v>1407</v>
      </c>
      <c r="B148" s="1844" t="s">
        <v>2110</v>
      </c>
      <c r="C148" s="1854"/>
      <c r="D148" s="1854"/>
      <c r="E148" s="1854"/>
      <c r="F148" s="1846">
        <v>0.05</v>
      </c>
    </row>
    <row r="149" spans="1:6" ht="24.75" thickBot="1">
      <c r="A149" s="1840" t="s">
        <v>1407</v>
      </c>
      <c r="B149" s="1844" t="s">
        <v>2111</v>
      </c>
      <c r="C149" s="1854"/>
      <c r="D149" s="1854"/>
      <c r="E149" s="1854"/>
      <c r="F149" s="1846">
        <v>0.05</v>
      </c>
    </row>
    <row r="150" spans="1:6" ht="24.75" thickBot="1">
      <c r="A150" s="1840" t="s">
        <v>1407</v>
      </c>
      <c r="B150" s="1844" t="s">
        <v>2112</v>
      </c>
      <c r="C150" s="1854"/>
      <c r="D150" s="1854"/>
      <c r="E150" s="1854"/>
      <c r="F150" s="1846">
        <v>0.05</v>
      </c>
    </row>
    <row r="151" spans="1:6" ht="24.75" thickBot="1">
      <c r="A151" s="1840" t="s">
        <v>1407</v>
      </c>
      <c r="B151" s="1844" t="s">
        <v>2113</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2114</v>
      </c>
      <c r="C153" s="1854"/>
      <c r="D153" s="1854"/>
      <c r="E153" s="1854"/>
      <c r="F153" s="1846">
        <v>0.05</v>
      </c>
    </row>
    <row r="154" spans="1:6" ht="14.25" thickBot="1">
      <c r="A154" s="1840" t="s">
        <v>1407</v>
      </c>
      <c r="B154" s="1844" t="s">
        <v>2115</v>
      </c>
      <c r="C154" s="1854"/>
      <c r="D154" s="1854"/>
      <c r="E154" s="1854"/>
      <c r="F154" s="1846">
        <v>0.05</v>
      </c>
    </row>
    <row r="155" spans="1:6" ht="24.75" thickBot="1">
      <c r="A155" s="1840" t="s">
        <v>1407</v>
      </c>
      <c r="B155" s="1844" t="s">
        <v>2116</v>
      </c>
      <c r="C155" s="1854"/>
      <c r="D155" s="1854"/>
      <c r="E155" s="1854"/>
      <c r="F155" s="1846">
        <v>0.05</v>
      </c>
    </row>
    <row r="156" spans="1:6" ht="24.75" thickBot="1">
      <c r="A156" s="1840" t="s">
        <v>1407</v>
      </c>
      <c r="B156" s="1844" t="s">
        <v>2117</v>
      </c>
      <c r="C156" s="1854"/>
      <c r="D156" s="1854"/>
      <c r="E156" s="1854"/>
      <c r="F156" s="1846">
        <v>0.05</v>
      </c>
    </row>
    <row r="157" spans="1:6" ht="14.25" thickBot="1">
      <c r="A157" s="1848" t="s">
        <v>1407</v>
      </c>
      <c r="B157" s="1855" t="s">
        <v>2118</v>
      </c>
      <c r="C157" s="1851"/>
      <c r="D157" s="1851"/>
      <c r="E157" s="1851"/>
      <c r="F157" s="1856">
        <v>0.05</v>
      </c>
    </row>
    <row r="158" spans="1:6" ht="14.25" thickBot="1">
      <c r="A158" s="1840" t="s">
        <v>1409</v>
      </c>
      <c r="B158" s="1841" t="s">
        <v>2119</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2120</v>
      </c>
      <c r="C171" s="1845">
        <v>0.127</v>
      </c>
      <c r="D171" s="1845">
        <v>0.126</v>
      </c>
      <c r="E171" s="1845">
        <v>0.126</v>
      </c>
      <c r="F171" s="1846">
        <v>0.11799999999999999</v>
      </c>
    </row>
    <row r="172" spans="1:6" ht="14.25" thickBot="1">
      <c r="A172" s="1840" t="s">
        <v>1409</v>
      </c>
      <c r="B172" s="1844" t="s">
        <v>2121</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2122</v>
      </c>
      <c r="C174" s="1845">
        <v>0.13</v>
      </c>
      <c r="D174" s="1845">
        <v>0.13</v>
      </c>
      <c r="E174" s="1845">
        <v>0.13</v>
      </c>
      <c r="F174" s="1846">
        <v>0.13</v>
      </c>
    </row>
    <row r="175" spans="1:6" ht="14.25" thickBot="1">
      <c r="A175" s="1840" t="s">
        <v>1409</v>
      </c>
      <c r="B175" s="1844" t="s">
        <v>2123</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2124</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2125</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2126</v>
      </c>
      <c r="C185" s="1845">
        <v>0.127</v>
      </c>
      <c r="D185" s="1845">
        <v>0.127</v>
      </c>
      <c r="E185" s="1845">
        <v>0.128</v>
      </c>
      <c r="F185" s="1846">
        <v>0.13</v>
      </c>
    </row>
    <row r="186" spans="1:6" ht="24.75" thickBot="1">
      <c r="A186" s="1840" t="s">
        <v>1409</v>
      </c>
      <c r="B186" s="1844" t="s">
        <v>2127</v>
      </c>
      <c r="C186" s="1854"/>
      <c r="D186" s="1854"/>
      <c r="E186" s="1854"/>
      <c r="F186" s="1846">
        <v>0.05</v>
      </c>
    </row>
    <row r="187" spans="1:6" ht="14.25" thickBot="1">
      <c r="A187" s="1840" t="s">
        <v>1409</v>
      </c>
      <c r="B187" s="1844" t="s">
        <v>2128</v>
      </c>
      <c r="C187" s="1854"/>
      <c r="D187" s="1854"/>
      <c r="E187" s="1854"/>
      <c r="F187" s="1846">
        <v>0.05</v>
      </c>
    </row>
    <row r="188" spans="1:6" ht="14.25" thickBot="1">
      <c r="A188" s="1840" t="s">
        <v>1409</v>
      </c>
      <c r="B188" s="1844" t="s">
        <v>2129</v>
      </c>
      <c r="C188" s="1854"/>
      <c r="D188" s="1854"/>
      <c r="E188" s="1854"/>
      <c r="F188" s="1846">
        <v>0.05</v>
      </c>
    </row>
    <row r="189" spans="1:6" ht="24.75" thickBot="1">
      <c r="A189" s="1840" t="s">
        <v>1409</v>
      </c>
      <c r="B189" s="1844" t="s">
        <v>2130</v>
      </c>
      <c r="C189" s="1854"/>
      <c r="D189" s="1854"/>
      <c r="E189" s="1854"/>
      <c r="F189" s="1846">
        <v>0.05</v>
      </c>
    </row>
    <row r="190" spans="1:6" ht="24.75" thickBot="1">
      <c r="A190" s="1840" t="s">
        <v>1409</v>
      </c>
      <c r="B190" s="1844" t="s">
        <v>2131</v>
      </c>
      <c r="C190" s="1854"/>
      <c r="D190" s="1854"/>
      <c r="E190" s="1854"/>
      <c r="F190" s="1846">
        <v>0.05</v>
      </c>
    </row>
    <row r="191" spans="1:6" ht="24.75" thickBot="1">
      <c r="A191" s="1840" t="s">
        <v>1409</v>
      </c>
      <c r="B191" s="1844" t="s">
        <v>2132</v>
      </c>
      <c r="C191" s="1854"/>
      <c r="D191" s="1854"/>
      <c r="E191" s="1854"/>
      <c r="F191" s="1846">
        <v>0.05</v>
      </c>
    </row>
    <row r="192" spans="1:6" ht="24.75" thickBot="1">
      <c r="A192" s="1840" t="s">
        <v>1409</v>
      </c>
      <c r="B192" s="1844" t="s">
        <v>2133</v>
      </c>
      <c r="C192" s="1854"/>
      <c r="D192" s="1854"/>
      <c r="E192" s="1854"/>
      <c r="F192" s="1846">
        <v>0.05</v>
      </c>
    </row>
    <row r="193" spans="1:6" ht="24.75" thickBot="1">
      <c r="A193" s="1840" t="s">
        <v>1409</v>
      </c>
      <c r="B193" s="1844" t="s">
        <v>2134</v>
      </c>
      <c r="C193" s="1854"/>
      <c r="D193" s="1854"/>
      <c r="E193" s="1854"/>
      <c r="F193" s="1846">
        <v>0.05</v>
      </c>
    </row>
    <row r="194" spans="1:6" ht="24.75" thickBot="1">
      <c r="A194" s="1840" t="s">
        <v>1409</v>
      </c>
      <c r="B194" s="1844" t="s">
        <v>2135</v>
      </c>
      <c r="C194" s="1854"/>
      <c r="D194" s="1854"/>
      <c r="E194" s="1854"/>
      <c r="F194" s="1846">
        <v>0.05</v>
      </c>
    </row>
    <row r="195" spans="1:6" ht="14.25" thickBot="1">
      <c r="A195" s="1840" t="s">
        <v>1409</v>
      </c>
      <c r="B195" s="1844" t="s">
        <v>2136</v>
      </c>
      <c r="C195" s="1854"/>
      <c r="D195" s="1854"/>
      <c r="E195" s="1854"/>
      <c r="F195" s="1846">
        <v>0.05</v>
      </c>
    </row>
    <row r="196" spans="1:6" ht="24.75" thickBot="1">
      <c r="A196" s="1840" t="s">
        <v>1409</v>
      </c>
      <c r="B196" s="1844" t="s">
        <v>2137</v>
      </c>
      <c r="C196" s="1854"/>
      <c r="D196" s="1854"/>
      <c r="E196" s="1854"/>
      <c r="F196" s="1846">
        <v>0.05</v>
      </c>
    </row>
    <row r="197" spans="1:6" ht="24.75" thickBot="1">
      <c r="A197" s="1840" t="s">
        <v>1409</v>
      </c>
      <c r="B197" s="1844" t="s">
        <v>2138</v>
      </c>
      <c r="C197" s="1854"/>
      <c r="D197" s="1854"/>
      <c r="E197" s="1854"/>
      <c r="F197" s="1846">
        <v>0.05</v>
      </c>
    </row>
    <row r="198" spans="1:6" ht="24.75" thickBot="1">
      <c r="A198" s="1840" t="s">
        <v>1409</v>
      </c>
      <c r="B198" s="1844" t="s">
        <v>2139</v>
      </c>
      <c r="C198" s="1854"/>
      <c r="D198" s="1854"/>
      <c r="E198" s="1854"/>
      <c r="F198" s="1846">
        <v>0.05</v>
      </c>
    </row>
    <row r="199" spans="1:6" ht="24.75" thickBot="1">
      <c r="A199" s="1840" t="s">
        <v>1409</v>
      </c>
      <c r="B199" s="1844" t="s">
        <v>2140</v>
      </c>
      <c r="C199" s="1854"/>
      <c r="D199" s="1854"/>
      <c r="E199" s="1854"/>
      <c r="F199" s="1846">
        <v>0.05</v>
      </c>
    </row>
    <row r="200" spans="1:6" ht="24.75" thickBot="1">
      <c r="A200" s="1840" t="s">
        <v>1409</v>
      </c>
      <c r="B200" s="1844" t="s">
        <v>2141</v>
      </c>
      <c r="C200" s="1854"/>
      <c r="D200" s="1854"/>
      <c r="E200" s="1854"/>
      <c r="F200" s="1846">
        <v>0.05</v>
      </c>
    </row>
    <row r="201" spans="1:6" ht="24.75" thickBot="1">
      <c r="A201" s="1840" t="s">
        <v>1409</v>
      </c>
      <c r="B201" s="1844" t="s">
        <v>2142</v>
      </c>
      <c r="C201" s="1854"/>
      <c r="D201" s="1854"/>
      <c r="E201" s="1854"/>
      <c r="F201" s="1846">
        <v>0.05</v>
      </c>
    </row>
    <row r="202" spans="1:6" ht="24.75" thickBot="1">
      <c r="A202" s="1840" t="s">
        <v>1409</v>
      </c>
      <c r="B202" s="1844" t="s">
        <v>2143</v>
      </c>
      <c r="C202" s="1854"/>
      <c r="D202" s="1854"/>
      <c r="E202" s="1854"/>
      <c r="F202" s="1846">
        <v>0.05</v>
      </c>
    </row>
    <row r="203" spans="1:6" ht="24.75" thickBot="1">
      <c r="A203" s="1840" t="s">
        <v>1409</v>
      </c>
      <c r="B203" s="1844" t="s">
        <v>2144</v>
      </c>
      <c r="C203" s="1854"/>
      <c r="D203" s="1854"/>
      <c r="E203" s="1854"/>
      <c r="F203" s="1846">
        <v>0.05</v>
      </c>
    </row>
    <row r="204" spans="1:6" ht="14.25" thickBot="1">
      <c r="A204" s="1840" t="s">
        <v>1409</v>
      </c>
      <c r="B204" s="1844" t="s">
        <v>2145</v>
      </c>
      <c r="C204" s="1854"/>
      <c r="D204" s="1854"/>
      <c r="E204" s="1854"/>
      <c r="F204" s="1846">
        <v>0.05</v>
      </c>
    </row>
    <row r="205" spans="1:6" ht="14.25" thickBot="1">
      <c r="A205" s="1848" t="s">
        <v>1409</v>
      </c>
      <c r="B205" s="1855" t="s">
        <v>2146</v>
      </c>
      <c r="C205" s="1851"/>
      <c r="D205" s="1851"/>
      <c r="E205" s="1851"/>
      <c r="F205" s="1856">
        <v>0.05</v>
      </c>
    </row>
    <row r="206" spans="1:6" ht="14.25" thickBot="1">
      <c r="A206" s="1840" t="s">
        <v>1411</v>
      </c>
      <c r="B206" s="1841" t="s">
        <v>2147</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2148</v>
      </c>
      <c r="C210" s="1845">
        <v>0.15</v>
      </c>
      <c r="D210" s="1845">
        <v>0.15</v>
      </c>
      <c r="E210" s="1845">
        <v>0.15</v>
      </c>
      <c r="F210" s="1846">
        <v>0.13800000000000001</v>
      </c>
    </row>
    <row r="211" spans="1:6" ht="14.25" thickBot="1">
      <c r="A211" s="1840" t="s">
        <v>1411</v>
      </c>
      <c r="B211" s="1844" t="s">
        <v>2149</v>
      </c>
      <c r="C211" s="1845">
        <v>0.13700000000000001</v>
      </c>
      <c r="D211" s="1845">
        <v>0.13500000000000001</v>
      </c>
      <c r="E211" s="1845">
        <v>0.13600000000000001</v>
      </c>
      <c r="F211" s="1846">
        <v>0.1</v>
      </c>
    </row>
    <row r="212" spans="1:6" ht="14.25" thickBot="1">
      <c r="A212" s="1840" t="s">
        <v>1411</v>
      </c>
      <c r="B212" s="1844" t="s">
        <v>2150</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2151</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2152</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2153</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2154</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2155</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2156</v>
      </c>
      <c r="C231" s="1845">
        <v>0.128</v>
      </c>
      <c r="D231" s="1845">
        <v>0.125</v>
      </c>
      <c r="E231" s="1845">
        <v>0.13200000000000001</v>
      </c>
      <c r="F231" s="1853"/>
    </row>
    <row r="232" spans="1:6" ht="14.25" thickBot="1">
      <c r="A232" s="1840" t="s">
        <v>1411</v>
      </c>
      <c r="B232" s="1844" t="s">
        <v>2157</v>
      </c>
      <c r="C232" s="1845">
        <v>0.14499999999999999</v>
      </c>
      <c r="D232" s="1845">
        <v>0.14399999999999999</v>
      </c>
      <c r="E232" s="1845">
        <v>0.14599999999999999</v>
      </c>
      <c r="F232" s="1846">
        <v>0.13800000000000001</v>
      </c>
    </row>
    <row r="233" spans="1:6" ht="14.25" thickBot="1">
      <c r="A233" s="1840" t="s">
        <v>1411</v>
      </c>
      <c r="B233" s="1844" t="s">
        <v>2158</v>
      </c>
      <c r="C233" s="1845">
        <v>0.14499999999999999</v>
      </c>
      <c r="D233" s="1845">
        <v>0.14299999999999999</v>
      </c>
      <c r="E233" s="1845">
        <v>0.14199999999999999</v>
      </c>
      <c r="F233" s="1853"/>
    </row>
    <row r="234" spans="1:6" ht="14.25" thickBot="1">
      <c r="A234" s="1840" t="s">
        <v>1411</v>
      </c>
      <c r="B234" s="1844" t="s">
        <v>2159</v>
      </c>
      <c r="C234" s="1845">
        <v>0.14000000000000001</v>
      </c>
      <c r="D234" s="1845">
        <v>0.14000000000000001</v>
      </c>
      <c r="E234" s="1845">
        <v>0.14399999999999999</v>
      </c>
      <c r="F234" s="1853"/>
    </row>
    <row r="235" spans="1:6" ht="14.25" thickBot="1">
      <c r="A235" s="1840" t="s">
        <v>1411</v>
      </c>
      <c r="B235" s="1844" t="s">
        <v>2160</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2161</v>
      </c>
      <c r="C237" s="1854"/>
      <c r="D237" s="1854"/>
      <c r="E237" s="1854"/>
      <c r="F237" s="1846">
        <v>0.05</v>
      </c>
    </row>
    <row r="238" spans="1:6" ht="24.75" thickBot="1">
      <c r="A238" s="1840" t="s">
        <v>1411</v>
      </c>
      <c r="B238" s="1844" t="s">
        <v>2162</v>
      </c>
      <c r="C238" s="1854"/>
      <c r="D238" s="1854"/>
      <c r="E238" s="1854"/>
      <c r="F238" s="1846">
        <v>0.05</v>
      </c>
    </row>
    <row r="239" spans="1:6" ht="24.75" thickBot="1">
      <c r="A239" s="1840" t="s">
        <v>1411</v>
      </c>
      <c r="B239" s="1844" t="s">
        <v>2163</v>
      </c>
      <c r="C239" s="1854"/>
      <c r="D239" s="1854"/>
      <c r="E239" s="1854"/>
      <c r="F239" s="1846">
        <v>0.05</v>
      </c>
    </row>
    <row r="240" spans="1:6" ht="24.75" thickBot="1">
      <c r="A240" s="1840" t="s">
        <v>1411</v>
      </c>
      <c r="B240" s="1844" t="s">
        <v>2164</v>
      </c>
      <c r="C240" s="1854"/>
      <c r="D240" s="1854"/>
      <c r="E240" s="1854"/>
      <c r="F240" s="1846">
        <v>0.05</v>
      </c>
    </row>
    <row r="241" spans="1:6" ht="24.75" thickBot="1">
      <c r="A241" s="1840" t="s">
        <v>1411</v>
      </c>
      <c r="B241" s="1844" t="s">
        <v>2165</v>
      </c>
      <c r="C241" s="1854"/>
      <c r="D241" s="1854"/>
      <c r="E241" s="1854"/>
      <c r="F241" s="1846">
        <v>0.05</v>
      </c>
    </row>
    <row r="242" spans="1:6" ht="24.75" thickBot="1">
      <c r="A242" s="1840" t="s">
        <v>1411</v>
      </c>
      <c r="B242" s="1844" t="s">
        <v>2166</v>
      </c>
      <c r="C242" s="1854"/>
      <c r="D242" s="1854"/>
      <c r="E242" s="1854"/>
      <c r="F242" s="1846">
        <v>0.05</v>
      </c>
    </row>
    <row r="243" spans="1:6" ht="24.75" thickBot="1">
      <c r="A243" s="1840" t="s">
        <v>1411</v>
      </c>
      <c r="B243" s="1844" t="s">
        <v>2167</v>
      </c>
      <c r="C243" s="1854"/>
      <c r="D243" s="1854"/>
      <c r="E243" s="1854"/>
      <c r="F243" s="1846">
        <v>0.05</v>
      </c>
    </row>
    <row r="244" spans="1:6" ht="24.75" thickBot="1">
      <c r="A244" s="1848" t="s">
        <v>1411</v>
      </c>
      <c r="B244" s="1855" t="s">
        <v>2168</v>
      </c>
      <c r="C244" s="1851"/>
      <c r="D244" s="1851"/>
      <c r="E244" s="1851"/>
      <c r="F244" s="1856">
        <v>0.05</v>
      </c>
    </row>
    <row r="245" spans="1:6" ht="14.25" thickBot="1">
      <c r="A245" s="1840" t="s">
        <v>1413</v>
      </c>
      <c r="B245" s="1841" t="s">
        <v>2169</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2170</v>
      </c>
      <c r="C247" s="1845">
        <v>0.15</v>
      </c>
      <c r="D247" s="1845">
        <v>0.15</v>
      </c>
      <c r="E247" s="1845">
        <v>0.15</v>
      </c>
      <c r="F247" s="1846">
        <v>0.15</v>
      </c>
    </row>
    <row r="248" spans="1:6" ht="14.25" thickBot="1">
      <c r="A248" s="1840" t="s">
        <v>1413</v>
      </c>
      <c r="B248" s="1844" t="s">
        <v>2171</v>
      </c>
      <c r="C248" s="1845">
        <v>0.15</v>
      </c>
      <c r="D248" s="1845">
        <v>0.15</v>
      </c>
      <c r="E248" s="1845">
        <v>0.15</v>
      </c>
      <c r="F248" s="1846">
        <v>0.14000000000000001</v>
      </c>
    </row>
    <row r="249" spans="1:6" ht="14.25" thickBot="1">
      <c r="A249" s="1840" t="s">
        <v>1413</v>
      </c>
      <c r="B249" s="1844" t="s">
        <v>2172</v>
      </c>
      <c r="C249" s="1845">
        <v>0.15</v>
      </c>
      <c r="D249" s="1845">
        <v>0.14899999999999999</v>
      </c>
      <c r="E249" s="1845">
        <v>0.15</v>
      </c>
      <c r="F249" s="1846">
        <v>0.1</v>
      </c>
    </row>
    <row r="250" spans="1:6" ht="14.25" thickBot="1">
      <c r="A250" s="1840" t="s">
        <v>1413</v>
      </c>
      <c r="B250" s="1844" t="s">
        <v>2173</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2174</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2175</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2176</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2177</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2178</v>
      </c>
      <c r="C273" s="1845">
        <v>0.14199999999999999</v>
      </c>
      <c r="D273" s="1845">
        <v>0.14299999999999999</v>
      </c>
      <c r="E273" s="1845">
        <v>0.15</v>
      </c>
      <c r="F273" s="1846">
        <v>0.1</v>
      </c>
    </row>
    <row r="274" spans="1:6" ht="14.25" thickBot="1">
      <c r="A274" s="1840" t="s">
        <v>1413</v>
      </c>
      <c r="B274" s="1844" t="s">
        <v>2179</v>
      </c>
      <c r="C274" s="1845">
        <v>0.14799999999999999</v>
      </c>
      <c r="D274" s="1845">
        <v>0.14799999999999999</v>
      </c>
      <c r="E274" s="1845">
        <v>0.15</v>
      </c>
      <c r="F274" s="1846">
        <v>6.7000000000000004E-2</v>
      </c>
    </row>
    <row r="275" spans="1:6" ht="14.25" thickBot="1">
      <c r="A275" s="1840" t="s">
        <v>1413</v>
      </c>
      <c r="B275" s="1844" t="s">
        <v>2180</v>
      </c>
      <c r="C275" s="1845">
        <v>0.15</v>
      </c>
      <c r="D275" s="1845">
        <v>0.15</v>
      </c>
      <c r="E275" s="1845">
        <v>0.15</v>
      </c>
      <c r="F275" s="1846">
        <v>0.15</v>
      </c>
    </row>
    <row r="276" spans="1:6" ht="14.25" thickBot="1">
      <c r="A276" s="1840" t="s">
        <v>1413</v>
      </c>
      <c r="B276" s="1844" t="s">
        <v>2181</v>
      </c>
      <c r="C276" s="1845">
        <v>0.14499999999999999</v>
      </c>
      <c r="D276" s="1845">
        <v>0.14299999999999999</v>
      </c>
      <c r="E276" s="1845">
        <v>0.15</v>
      </c>
      <c r="F276" s="1846">
        <v>5.8999999999999997E-2</v>
      </c>
    </row>
    <row r="277" spans="1:6" ht="14.25" thickBot="1">
      <c r="A277" s="1840" t="s">
        <v>1413</v>
      </c>
      <c r="B277" s="1844" t="s">
        <v>2182</v>
      </c>
      <c r="C277" s="1845">
        <v>0.15</v>
      </c>
      <c r="D277" s="1845">
        <v>0.15</v>
      </c>
      <c r="E277" s="1845">
        <v>0.15</v>
      </c>
      <c r="F277" s="1846">
        <v>0.121</v>
      </c>
    </row>
    <row r="278" spans="1:6" ht="14.25" thickBot="1">
      <c r="A278" s="1840" t="s">
        <v>1413</v>
      </c>
      <c r="B278" s="1844" t="s">
        <v>2183</v>
      </c>
      <c r="C278" s="1845">
        <v>0.15</v>
      </c>
      <c r="D278" s="1845">
        <v>0.15</v>
      </c>
      <c r="E278" s="1845">
        <v>0.15</v>
      </c>
      <c r="F278" s="1846">
        <v>0.13800000000000001</v>
      </c>
    </row>
    <row r="279" spans="1:6" ht="24.75" thickBot="1">
      <c r="A279" s="1840" t="s">
        <v>1413</v>
      </c>
      <c r="B279" s="1844" t="s">
        <v>2184</v>
      </c>
      <c r="C279" s="1854"/>
      <c r="D279" s="1854"/>
      <c r="E279" s="1854"/>
      <c r="F279" s="1846">
        <v>0.05</v>
      </c>
    </row>
    <row r="280" spans="1:6" ht="24.75" thickBot="1">
      <c r="A280" s="1840" t="s">
        <v>1413</v>
      </c>
      <c r="B280" s="1844" t="s">
        <v>2185</v>
      </c>
      <c r="C280" s="1854"/>
      <c r="D280" s="1854"/>
      <c r="E280" s="1854"/>
      <c r="F280" s="1846">
        <v>0.05</v>
      </c>
    </row>
    <row r="281" spans="1:6" ht="24.75" thickBot="1">
      <c r="A281" s="1840" t="s">
        <v>1413</v>
      </c>
      <c r="B281" s="1844" t="s">
        <v>2186</v>
      </c>
      <c r="C281" s="1854"/>
      <c r="D281" s="1854"/>
      <c r="E281" s="1854"/>
      <c r="F281" s="1846">
        <v>0.05</v>
      </c>
    </row>
    <row r="282" spans="1:6" ht="24.75" thickBot="1">
      <c r="A282" s="1840" t="s">
        <v>1413</v>
      </c>
      <c r="B282" s="1844" t="s">
        <v>2187</v>
      </c>
      <c r="C282" s="1854"/>
      <c r="D282" s="1854"/>
      <c r="E282" s="1854"/>
      <c r="F282" s="1846">
        <v>0.05</v>
      </c>
    </row>
    <row r="283" spans="1:6" ht="24.75" thickBot="1">
      <c r="A283" s="1840" t="s">
        <v>1413</v>
      </c>
      <c r="B283" s="1844" t="s">
        <v>2188</v>
      </c>
      <c r="C283" s="1854"/>
      <c r="D283" s="1854"/>
      <c r="E283" s="1854"/>
      <c r="F283" s="1846">
        <v>0.05</v>
      </c>
    </row>
    <row r="284" spans="1:6" ht="24.75" thickBot="1">
      <c r="A284" s="1840" t="s">
        <v>1413</v>
      </c>
      <c r="B284" s="1844" t="s">
        <v>2189</v>
      </c>
      <c r="C284" s="1854"/>
      <c r="D284" s="1854"/>
      <c r="E284" s="1854"/>
      <c r="F284" s="1846">
        <v>0.05</v>
      </c>
    </row>
    <row r="285" spans="1:6" ht="24.75" thickBot="1">
      <c r="A285" s="1840" t="s">
        <v>1413</v>
      </c>
      <c r="B285" s="1844" t="s">
        <v>2190</v>
      </c>
      <c r="C285" s="1854"/>
      <c r="D285" s="1854"/>
      <c r="E285" s="1854"/>
      <c r="F285" s="1846">
        <v>0.05</v>
      </c>
    </row>
    <row r="286" spans="1:6" ht="24.75" thickBot="1">
      <c r="A286" s="1840" t="s">
        <v>1413</v>
      </c>
      <c r="B286" s="1844" t="s">
        <v>2191</v>
      </c>
      <c r="C286" s="1854"/>
      <c r="D286" s="1854"/>
      <c r="E286" s="1854"/>
      <c r="F286" s="1846">
        <v>0.05</v>
      </c>
    </row>
    <row r="287" spans="1:6" ht="24.75" thickBot="1">
      <c r="A287" s="1840" t="s">
        <v>1413</v>
      </c>
      <c r="B287" s="1844" t="s">
        <v>2192</v>
      </c>
      <c r="C287" s="1854"/>
      <c r="D287" s="1854"/>
      <c r="E287" s="1854"/>
      <c r="F287" s="1846">
        <v>0.05</v>
      </c>
    </row>
    <row r="288" spans="1:6" ht="24.75" thickBot="1">
      <c r="A288" s="1840" t="s">
        <v>1413</v>
      </c>
      <c r="B288" s="1844" t="s">
        <v>2193</v>
      </c>
      <c r="C288" s="1854"/>
      <c r="D288" s="1854"/>
      <c r="E288" s="1854"/>
      <c r="F288" s="1846">
        <v>0.05</v>
      </c>
    </row>
    <row r="289" spans="1:6" ht="24.75" thickBot="1">
      <c r="A289" s="1848" t="s">
        <v>1413</v>
      </c>
      <c r="B289" s="1855" t="s">
        <v>2194</v>
      </c>
      <c r="C289" s="1851"/>
      <c r="D289" s="1851"/>
      <c r="E289" s="1851"/>
      <c r="F289" s="1856">
        <v>0.05</v>
      </c>
    </row>
    <row r="290" spans="1:6" ht="14.25" thickBot="1">
      <c r="A290" s="1840" t="s">
        <v>1417</v>
      </c>
      <c r="B290" s="1841" t="s">
        <v>2195</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2196</v>
      </c>
      <c r="C292" s="1845">
        <v>0.15</v>
      </c>
      <c r="D292" s="1845">
        <v>0.15</v>
      </c>
      <c r="E292" s="1845">
        <v>0.15</v>
      </c>
      <c r="F292" s="1846">
        <v>0.14699999999999999</v>
      </c>
    </row>
    <row r="293" spans="1:6" ht="14.25" thickBot="1">
      <c r="A293" s="1840" t="s">
        <v>1417</v>
      </c>
      <c r="B293" s="1844" t="s">
        <v>2197</v>
      </c>
      <c r="C293" s="1854"/>
      <c r="D293" s="1854"/>
      <c r="E293" s="1854"/>
      <c r="F293" s="1846">
        <v>0.1</v>
      </c>
    </row>
    <row r="294" spans="1:6" ht="14.25" thickBot="1">
      <c r="A294" s="1840" t="s">
        <v>1417</v>
      </c>
      <c r="B294" s="1844" t="s">
        <v>2198</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2199</v>
      </c>
      <c r="C296" s="1845">
        <v>0.15</v>
      </c>
      <c r="D296" s="1845">
        <v>0.15</v>
      </c>
      <c r="E296" s="1845">
        <v>0.15</v>
      </c>
      <c r="F296" s="1846">
        <v>0.15</v>
      </c>
    </row>
    <row r="297" spans="1:6" ht="14.25" thickBot="1">
      <c r="A297" s="1840" t="s">
        <v>1417</v>
      </c>
      <c r="B297" s="1844" t="s">
        <v>2200</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2201</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2202</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2203</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2204</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2205</v>
      </c>
      <c r="C310" s="1845">
        <v>0.15</v>
      </c>
      <c r="D310" s="1845">
        <v>0.15</v>
      </c>
      <c r="E310" s="1845">
        <v>0.15</v>
      </c>
      <c r="F310" s="1846">
        <v>0.13700000000000001</v>
      </c>
    </row>
    <row r="311" spans="1:6" ht="14.25" thickBot="1">
      <c r="A311" s="1840" t="s">
        <v>1417</v>
      </c>
      <c r="B311" s="1844" t="s">
        <v>2206</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2207</v>
      </c>
      <c r="C313" s="1845">
        <v>0.15</v>
      </c>
      <c r="D313" s="1845">
        <v>0.15</v>
      </c>
      <c r="E313" s="1845">
        <v>0.15</v>
      </c>
      <c r="F313" s="1846">
        <v>0.15</v>
      </c>
    </row>
    <row r="314" spans="1:6" ht="24.75" thickBot="1">
      <c r="A314" s="1840" t="s">
        <v>1417</v>
      </c>
      <c r="B314" s="1844" t="s">
        <v>2208</v>
      </c>
      <c r="C314" s="1854"/>
      <c r="D314" s="1854"/>
      <c r="E314" s="1854"/>
      <c r="F314" s="1846">
        <v>0.05</v>
      </c>
    </row>
    <row r="315" spans="1:6" ht="24.75" thickBot="1">
      <c r="A315" s="1840" t="s">
        <v>1417</v>
      </c>
      <c r="B315" s="1844" t="s">
        <v>2209</v>
      </c>
      <c r="C315" s="1854"/>
      <c r="D315" s="1854"/>
      <c r="E315" s="1854"/>
      <c r="F315" s="1846">
        <v>0.05</v>
      </c>
    </row>
    <row r="316" spans="1:6" ht="24.75" thickBot="1">
      <c r="A316" s="1848" t="s">
        <v>1417</v>
      </c>
      <c r="B316" s="1855" t="s">
        <v>2210</v>
      </c>
      <c r="C316" s="1851"/>
      <c r="D316" s="1851"/>
      <c r="E316" s="1851"/>
      <c r="F316" s="1856">
        <v>0.05</v>
      </c>
    </row>
    <row r="317" spans="1:6" ht="14.25" thickBot="1">
      <c r="A317" s="1840" t="s">
        <v>2211</v>
      </c>
      <c r="B317" s="1841" t="s">
        <v>2212</v>
      </c>
      <c r="C317" s="1842">
        <v>0.15</v>
      </c>
      <c r="D317" s="1842">
        <v>0.15</v>
      </c>
      <c r="E317" s="1842">
        <v>0.15</v>
      </c>
      <c r="F317" s="1843">
        <v>0.15</v>
      </c>
    </row>
    <row r="318" spans="1:6" ht="14.25" thickBot="1">
      <c r="A318" s="1840" t="s">
        <v>2211</v>
      </c>
      <c r="B318" s="1844" t="s">
        <v>2213</v>
      </c>
      <c r="C318" s="1845">
        <v>0.107</v>
      </c>
      <c r="D318" s="1845">
        <v>0.11</v>
      </c>
      <c r="E318" s="1845">
        <v>0.112</v>
      </c>
      <c r="F318" s="1853"/>
    </row>
    <row r="319" spans="1:6" ht="14.25" thickBot="1">
      <c r="A319" s="1840" t="s">
        <v>2211</v>
      </c>
      <c r="B319" s="1844" t="s">
        <v>2214</v>
      </c>
      <c r="C319" s="1845">
        <v>0.15</v>
      </c>
      <c r="D319" s="1845">
        <v>0.15</v>
      </c>
      <c r="E319" s="1845">
        <v>0.15</v>
      </c>
      <c r="F319" s="1846">
        <v>0.15</v>
      </c>
    </row>
    <row r="320" spans="1:6" ht="14.25" thickBot="1">
      <c r="A320" s="1840" t="s">
        <v>2211</v>
      </c>
      <c r="B320" s="1844" t="s">
        <v>1105</v>
      </c>
      <c r="C320" s="1845">
        <v>0.15</v>
      </c>
      <c r="D320" s="1845">
        <v>0.15</v>
      </c>
      <c r="E320" s="1845">
        <v>0.15</v>
      </c>
      <c r="F320" s="1853"/>
    </row>
    <row r="321" spans="1:6" ht="14.25" thickBot="1">
      <c r="A321" s="1840" t="s">
        <v>2211</v>
      </c>
      <c r="B321" s="1844" t="s">
        <v>2215</v>
      </c>
      <c r="C321" s="1845">
        <v>0.15</v>
      </c>
      <c r="D321" s="1845">
        <v>0.15</v>
      </c>
      <c r="E321" s="1845">
        <v>0.15</v>
      </c>
      <c r="F321" s="1853"/>
    </row>
    <row r="322" spans="1:6" ht="14.25" thickBot="1">
      <c r="A322" s="1840" t="s">
        <v>2211</v>
      </c>
      <c r="B322" s="1844" t="s">
        <v>2216</v>
      </c>
      <c r="C322" s="1845">
        <v>0.15</v>
      </c>
      <c r="D322" s="1845">
        <v>0.15</v>
      </c>
      <c r="E322" s="1845">
        <v>0.15</v>
      </c>
      <c r="F322" s="1846">
        <v>0.15</v>
      </c>
    </row>
    <row r="323" spans="1:6" ht="14.25" thickBot="1">
      <c r="A323" s="1840" t="s">
        <v>2211</v>
      </c>
      <c r="B323" s="1844" t="s">
        <v>2217</v>
      </c>
      <c r="C323" s="1845">
        <v>0.15</v>
      </c>
      <c r="D323" s="1845">
        <v>0.15</v>
      </c>
      <c r="E323" s="1845">
        <v>0.15</v>
      </c>
      <c r="F323" s="1853"/>
    </row>
    <row r="324" spans="1:6" ht="14.25" thickBot="1">
      <c r="A324" s="1840" t="s">
        <v>2211</v>
      </c>
      <c r="B324" s="1844" t="s">
        <v>2218</v>
      </c>
      <c r="C324" s="1845">
        <v>0.15</v>
      </c>
      <c r="D324" s="1845">
        <v>0.15</v>
      </c>
      <c r="E324" s="1845">
        <v>0.15</v>
      </c>
      <c r="F324" s="1853"/>
    </row>
    <row r="325" spans="1:6" ht="14.25" thickBot="1">
      <c r="A325" s="1840" t="s">
        <v>2211</v>
      </c>
      <c r="B325" s="1844" t="s">
        <v>2219</v>
      </c>
      <c r="C325" s="1845">
        <v>0.15</v>
      </c>
      <c r="D325" s="1845">
        <v>0.15</v>
      </c>
      <c r="E325" s="1845">
        <v>0.15</v>
      </c>
      <c r="F325" s="1846">
        <v>0.14699999999999999</v>
      </c>
    </row>
    <row r="326" spans="1:6" ht="14.25" thickBot="1">
      <c r="A326" s="1840" t="s">
        <v>2211</v>
      </c>
      <c r="B326" s="1844" t="s">
        <v>1174</v>
      </c>
      <c r="C326" s="1845">
        <v>0.15</v>
      </c>
      <c r="D326" s="1845">
        <v>0.15</v>
      </c>
      <c r="E326" s="1845">
        <v>0.15</v>
      </c>
      <c r="F326" s="1853"/>
    </row>
    <row r="327" spans="1:6" ht="14.25" thickBot="1">
      <c r="A327" s="1840" t="s">
        <v>2211</v>
      </c>
      <c r="B327" s="1844" t="s">
        <v>2220</v>
      </c>
      <c r="C327" s="1845">
        <v>0.15</v>
      </c>
      <c r="D327" s="1845">
        <v>0.15</v>
      </c>
      <c r="E327" s="1845">
        <v>0.15</v>
      </c>
      <c r="F327" s="1846">
        <v>0.15</v>
      </c>
    </row>
    <row r="328" spans="1:6" ht="14.25" thickBot="1">
      <c r="A328" s="1840" t="s">
        <v>2211</v>
      </c>
      <c r="B328" s="1844" t="s">
        <v>1194</v>
      </c>
      <c r="C328" s="1845">
        <v>0.15</v>
      </c>
      <c r="D328" s="1845">
        <v>0.15</v>
      </c>
      <c r="E328" s="1845">
        <v>0.15</v>
      </c>
      <c r="F328" s="1846">
        <v>0.14099999999999999</v>
      </c>
    </row>
    <row r="329" spans="1:6" ht="14.25" thickBot="1">
      <c r="A329" s="1840" t="s">
        <v>2211</v>
      </c>
      <c r="B329" s="1844" t="s">
        <v>1204</v>
      </c>
      <c r="C329" s="1845">
        <v>0.15</v>
      </c>
      <c r="D329" s="1845">
        <v>0.15</v>
      </c>
      <c r="E329" s="1845">
        <v>0.15</v>
      </c>
      <c r="F329" s="1846">
        <v>0.15</v>
      </c>
    </row>
    <row r="330" spans="1:6" ht="14.25" thickBot="1">
      <c r="A330" s="1840" t="s">
        <v>2211</v>
      </c>
      <c r="B330" s="1844" t="s">
        <v>1214</v>
      </c>
      <c r="C330" s="1845">
        <v>0.15</v>
      </c>
      <c r="D330" s="1845">
        <v>0.15</v>
      </c>
      <c r="E330" s="1845">
        <v>0.15</v>
      </c>
      <c r="F330" s="1853"/>
    </row>
    <row r="331" spans="1:6" ht="14.25" thickBot="1">
      <c r="A331" s="1840" t="s">
        <v>2211</v>
      </c>
      <c r="B331" s="1844" t="s">
        <v>2221</v>
      </c>
      <c r="C331" s="1845">
        <v>0.15</v>
      </c>
      <c r="D331" s="1845">
        <v>0.15</v>
      </c>
      <c r="E331" s="1845">
        <v>0.15</v>
      </c>
      <c r="F331" s="1846">
        <v>0.15</v>
      </c>
    </row>
    <row r="332" spans="1:6" ht="14.25" thickBot="1">
      <c r="A332" s="1840" t="s">
        <v>2211</v>
      </c>
      <c r="B332" s="1844" t="s">
        <v>1234</v>
      </c>
      <c r="C332" s="1845">
        <v>0.15</v>
      </c>
      <c r="D332" s="1845">
        <v>0.15</v>
      </c>
      <c r="E332" s="1845">
        <v>0.15</v>
      </c>
      <c r="F332" s="1846">
        <v>0.15</v>
      </c>
    </row>
    <row r="333" spans="1:6" ht="14.25" thickBot="1">
      <c r="A333" s="1840" t="s">
        <v>2211</v>
      </c>
      <c r="B333" s="1844" t="s">
        <v>2222</v>
      </c>
      <c r="C333" s="1845">
        <v>0.15</v>
      </c>
      <c r="D333" s="1845">
        <v>0.15</v>
      </c>
      <c r="E333" s="1845">
        <v>0.15</v>
      </c>
      <c r="F333" s="1846">
        <v>0.14099999999999999</v>
      </c>
    </row>
    <row r="334" spans="1:6" ht="14.25" thickBot="1">
      <c r="A334" s="1840" t="s">
        <v>2211</v>
      </c>
      <c r="B334" s="1844" t="s">
        <v>1254</v>
      </c>
      <c r="C334" s="1845">
        <v>0.15</v>
      </c>
      <c r="D334" s="1845">
        <v>0.15</v>
      </c>
      <c r="E334" s="1845">
        <v>0.15</v>
      </c>
      <c r="F334" s="1846">
        <v>0.15</v>
      </c>
    </row>
    <row r="335" spans="1:6" ht="14.25" thickBot="1">
      <c r="A335" s="1840" t="s">
        <v>2211</v>
      </c>
      <c r="B335" s="1844" t="s">
        <v>1264</v>
      </c>
      <c r="C335" s="1845">
        <v>0.15</v>
      </c>
      <c r="D335" s="1845">
        <v>0.15</v>
      </c>
      <c r="E335" s="1845">
        <v>0.15</v>
      </c>
      <c r="F335" s="1853"/>
    </row>
    <row r="336" spans="1:6" ht="14.25" thickBot="1">
      <c r="A336" s="1840" t="s">
        <v>2211</v>
      </c>
      <c r="B336" s="1844" t="s">
        <v>2223</v>
      </c>
      <c r="C336" s="1845">
        <v>0.15</v>
      </c>
      <c r="D336" s="1845">
        <v>0.15</v>
      </c>
      <c r="E336" s="1845">
        <v>0.15</v>
      </c>
      <c r="F336" s="1846">
        <v>0.11799999999999999</v>
      </c>
    </row>
    <row r="337" spans="1:6" ht="14.25" thickBot="1">
      <c r="A337" s="1848" t="s">
        <v>2211</v>
      </c>
      <c r="B337" s="1855" t="s">
        <v>1282</v>
      </c>
      <c r="C337" s="1851"/>
      <c r="D337" s="1851"/>
      <c r="E337" s="1851"/>
      <c r="F337" s="1856">
        <v>0.14299999999999999</v>
      </c>
    </row>
    <row r="338" spans="1:6" ht="14.25" thickBot="1">
      <c r="A338" s="1840" t="s">
        <v>2224</v>
      </c>
      <c r="B338" s="1841" t="s">
        <v>2225</v>
      </c>
      <c r="C338" s="1842">
        <v>0.15</v>
      </c>
      <c r="D338" s="1842">
        <v>0.15</v>
      </c>
      <c r="E338" s="1842">
        <v>0.15</v>
      </c>
      <c r="F338" s="1864"/>
    </row>
    <row r="339" spans="1:6" ht="14.25" thickBot="1">
      <c r="A339" s="1840" t="s">
        <v>2224</v>
      </c>
      <c r="B339" s="1844" t="s">
        <v>2226</v>
      </c>
      <c r="C339" s="1845">
        <v>0.15</v>
      </c>
      <c r="D339" s="1845">
        <v>0.15</v>
      </c>
      <c r="E339" s="1845">
        <v>0.15</v>
      </c>
      <c r="F339" s="1853"/>
    </row>
    <row r="340" spans="1:6" ht="14.25" thickBot="1">
      <c r="A340" s="1840" t="s">
        <v>2224</v>
      </c>
      <c r="B340" s="1844" t="s">
        <v>2227</v>
      </c>
      <c r="C340" s="1845">
        <v>0.15</v>
      </c>
      <c r="D340" s="1845">
        <v>0.15</v>
      </c>
      <c r="E340" s="1845">
        <v>0.15</v>
      </c>
      <c r="F340" s="1853"/>
    </row>
    <row r="341" spans="1:6" ht="14.25" thickBot="1">
      <c r="A341" s="1840" t="s">
        <v>2228</v>
      </c>
      <c r="B341" s="1844" t="s">
        <v>2229</v>
      </c>
      <c r="C341" s="1845">
        <v>0.15</v>
      </c>
      <c r="D341" s="1845">
        <v>0.15</v>
      </c>
      <c r="E341" s="1845">
        <v>0.15</v>
      </c>
      <c r="F341" s="1846">
        <v>0.15</v>
      </c>
    </row>
    <row r="342" spans="1:6" ht="14.25" thickBot="1">
      <c r="A342" s="1840" t="s">
        <v>2224</v>
      </c>
      <c r="B342" s="1844" t="s">
        <v>2230</v>
      </c>
      <c r="C342" s="1845">
        <v>0.15</v>
      </c>
      <c r="D342" s="1845">
        <v>0.15</v>
      </c>
      <c r="E342" s="1845">
        <v>0.15</v>
      </c>
      <c r="F342" s="1846">
        <v>0.15</v>
      </c>
    </row>
    <row r="343" spans="1:6" ht="14.25" thickBot="1">
      <c r="A343" s="1840" t="s">
        <v>2224</v>
      </c>
      <c r="B343" s="1844" t="s">
        <v>2231</v>
      </c>
      <c r="C343" s="1845">
        <v>0.15</v>
      </c>
      <c r="D343" s="1845">
        <v>0.15</v>
      </c>
      <c r="E343" s="1845">
        <v>0.15</v>
      </c>
      <c r="F343" s="1846">
        <v>0.15</v>
      </c>
    </row>
    <row r="344" spans="1:6" ht="14.25" thickBot="1">
      <c r="A344" s="1848" t="s">
        <v>2224</v>
      </c>
      <c r="B344" s="1855" t="s">
        <v>2232</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56.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估价对象为使用的、位于出让国有建设用地使用权。根据，估价对象（分摊）出让国有建设用地使用权面积为49011平方米。根据，估价对象规划建筑面积为62924.7平方米。</v>
      </c>
    </row>
    <row r="7" spans="1:4" ht="56.25">
      <c r="A7" s="1780" t="s">
        <v>2740</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2020年6月12日（评估专业人员勘察现场之日）</v>
      </c>
    </row>
    <row r="12" spans="1:4" ht="18.75">
      <c r="A12" s="1782" t="s">
        <v>2020</v>
      </c>
    </row>
    <row r="13" spans="1:4" ht="18.75">
      <c r="A13" s="1776" t="s">
        <v>2929</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2068</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根据，估价对象（分摊）出让国有建设用地使用权面积为49011平方米。根据，估价对象规划建筑面积为62924.7平方米。</v>
      </c>
    </row>
    <row r="21" spans="1:1" ht="18.75">
      <c r="A21" s="1776" t="s">
        <v>2069</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本次估价对象为出让国有建设用地使用权，依据、，土地终止日期为住宅2067年4月26日、商业2057年4月26日地下车库2057年4月26日。截至估价期日，出让国有建设用地使用权剩余土地使用年限为。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2070</v>
      </c>
    </row>
    <row r="25" spans="1:1" ht="75">
      <c r="A25" s="1776"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39" sqref="I39"/>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6" t="s">
        <v>2569</v>
      </c>
      <c r="C1" s="3476"/>
      <c r="D1" s="3476"/>
      <c r="E1" s="3476"/>
      <c r="F1" s="3476"/>
      <c r="G1" s="3475" t="s">
        <v>2570</v>
      </c>
      <c r="H1" s="3475"/>
      <c r="I1" s="3475"/>
      <c r="J1" s="3475"/>
      <c r="K1" s="3475"/>
      <c r="L1" s="3475"/>
      <c r="N1" s="3475" t="s">
        <v>2571</v>
      </c>
      <c r="O1" s="3475"/>
      <c r="P1" s="3475"/>
      <c r="Q1" s="3475"/>
      <c r="R1" s="2618"/>
      <c r="S1" s="3475" t="s">
        <v>2572</v>
      </c>
      <c r="T1" s="3475"/>
      <c r="U1" s="3475"/>
      <c r="V1" s="3475"/>
      <c r="X1" s="3474" t="s">
        <v>2632</v>
      </c>
      <c r="Y1" s="3475"/>
      <c r="Z1" s="3475"/>
      <c r="AA1" s="3475"/>
      <c r="AB1" s="3475"/>
      <c r="AD1" s="3474" t="s">
        <v>2636</v>
      </c>
      <c r="AE1" s="3475"/>
      <c r="AF1" s="3475"/>
      <c r="AG1" s="3475"/>
      <c r="AH1" s="3475"/>
    </row>
    <row r="2" spans="1:34" s="2719" customFormat="1" ht="14.25" thickBot="1">
      <c r="B2" s="2727" t="s">
        <v>2573</v>
      </c>
      <c r="C2" s="2727" t="s">
        <v>2634</v>
      </c>
      <c r="D2" s="2720" t="s">
        <v>1642</v>
      </c>
      <c r="E2" s="2720" t="s">
        <v>1945</v>
      </c>
      <c r="F2" s="2727" t="s">
        <v>2635</v>
      </c>
      <c r="G2" s="2723"/>
      <c r="H2" s="2722"/>
      <c r="I2" s="2727" t="s">
        <v>2943</v>
      </c>
      <c r="J2" s="2720" t="s">
        <v>2945</v>
      </c>
      <c r="K2" s="2720" t="s">
        <v>2946</v>
      </c>
      <c r="L2" s="2727" t="s">
        <v>2947</v>
      </c>
      <c r="N2" s="2727" t="s">
        <v>2573</v>
      </c>
      <c r="O2" s="2720" t="s">
        <v>2944</v>
      </c>
      <c r="P2" s="2720" t="s">
        <v>1945</v>
      </c>
      <c r="Q2" s="2727" t="s">
        <v>2635</v>
      </c>
      <c r="R2" s="2721"/>
      <c r="S2" s="2727" t="s">
        <v>2573</v>
      </c>
      <c r="T2" s="2720" t="s">
        <v>2944</v>
      </c>
      <c r="U2" s="2720" t="s">
        <v>1945</v>
      </c>
      <c r="V2" s="2727" t="s">
        <v>2635</v>
      </c>
      <c r="X2" s="2727" t="s">
        <v>2573</v>
      </c>
      <c r="Y2" s="2727" t="s">
        <v>2634</v>
      </c>
      <c r="Z2" s="2720" t="s">
        <v>1642</v>
      </c>
      <c r="AA2" s="2720" t="s">
        <v>1945</v>
      </c>
      <c r="AB2" s="2727" t="s">
        <v>2635</v>
      </c>
      <c r="AD2" s="2727" t="s">
        <v>2573</v>
      </c>
      <c r="AE2" s="2727" t="s">
        <v>2634</v>
      </c>
      <c r="AF2" s="2720" t="s">
        <v>1642</v>
      </c>
      <c r="AG2" s="2720" t="s">
        <v>1945</v>
      </c>
      <c r="AH2" s="2727" t="s">
        <v>2635</v>
      </c>
    </row>
    <row r="3" spans="1:34" s="3076" customFormat="1" ht="14.25">
      <c r="A3" s="3088" t="s">
        <v>2956</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2" customFormat="1" ht="14.25">
      <c r="B4" s="2713"/>
      <c r="C4" s="2713"/>
      <c r="D4" s="2714"/>
      <c r="E4" s="2714"/>
      <c r="F4" s="2713"/>
      <c r="G4" s="2718"/>
      <c r="H4" s="2715"/>
      <c r="I4" s="3072"/>
      <c r="J4" s="3072"/>
      <c r="K4" s="3072"/>
      <c r="L4" s="3072"/>
      <c r="N4" s="2718"/>
      <c r="O4" s="2716"/>
      <c r="P4" s="2716"/>
      <c r="Q4" s="2716"/>
      <c r="R4" s="2716"/>
      <c r="S4" s="2718"/>
      <c r="T4" s="2716"/>
      <c r="U4" s="2716"/>
      <c r="V4" s="2716"/>
      <c r="W4" s="3085"/>
      <c r="X4" s="2717"/>
      <c r="Y4" s="2717"/>
      <c r="Z4" s="2717"/>
      <c r="AA4" s="2717"/>
      <c r="AB4" s="2717"/>
      <c r="AD4" s="2637"/>
      <c r="AE4" s="2637"/>
      <c r="AF4" s="2637"/>
      <c r="AG4" s="2637"/>
      <c r="AH4" s="2637"/>
    </row>
    <row r="5" spans="1:34" s="3060" customFormat="1">
      <c r="A5" s="3058" t="s">
        <v>2986</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59">
        <v>2</v>
      </c>
      <c r="I5" s="3073">
        <v>0</v>
      </c>
      <c r="J5" s="3073">
        <v>0</v>
      </c>
      <c r="K5" s="3073">
        <v>0</v>
      </c>
      <c r="L5" s="3073">
        <v>0</v>
      </c>
      <c r="N5" s="2725">
        <f t="shared" ref="N5" si="7">I5/100</f>
        <v>0</v>
      </c>
      <c r="O5" s="2725">
        <f t="shared" ref="O5" si="8">J5/100</f>
        <v>0</v>
      </c>
      <c r="P5" s="2725">
        <f t="shared" ref="P5" si="9">K5/100</f>
        <v>0</v>
      </c>
      <c r="Q5" s="2725">
        <f t="shared" ref="Q5" si="10">L5/100</f>
        <v>0</v>
      </c>
      <c r="R5" s="3061"/>
      <c r="S5" s="3062"/>
      <c r="T5" s="3061"/>
      <c r="U5" s="3061"/>
      <c r="V5" s="3061"/>
      <c r="W5" s="3086" t="s">
        <v>2957</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4" customFormat="1">
      <c r="A6" s="2619" t="s">
        <v>2985</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5">
        <v>0.12</v>
      </c>
      <c r="J6" s="3175">
        <v>-0.4</v>
      </c>
      <c r="K6" s="3175">
        <v>0.21</v>
      </c>
      <c r="L6" s="3176">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2981</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5" thickBot="1">
      <c r="A8" s="2619" t="s">
        <v>2980</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2977</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5" thickBot="1">
      <c r="A10" s="2619" t="s">
        <v>2976</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2973</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478">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5" customHeight="1">
      <c r="A12" s="2619" t="s">
        <v>2966</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78"/>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5" customHeight="1">
      <c r="A13" s="2619" t="s">
        <v>2967</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78"/>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2963</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84"/>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2954</v>
      </c>
      <c r="B15" s="3090">
        <v>439</v>
      </c>
      <c r="C15" s="3090">
        <v>327</v>
      </c>
      <c r="D15" s="3090">
        <f t="shared" si="98"/>
        <v>327</v>
      </c>
      <c r="E15" s="3090">
        <v>627</v>
      </c>
      <c r="F15" s="3091">
        <v>283</v>
      </c>
      <c r="G15" s="3483">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2958</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78"/>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2574</v>
      </c>
      <c r="B17" s="2632">
        <f t="shared" si="110"/>
        <v>419.31181600000002</v>
      </c>
      <c r="C17" s="2632">
        <f t="shared" si="110"/>
        <v>313.95436800000004</v>
      </c>
      <c r="D17" s="2632">
        <f t="shared" si="98"/>
        <v>313.95436800000004</v>
      </c>
      <c r="E17" s="2632">
        <f t="shared" si="111"/>
        <v>596.63028431999999</v>
      </c>
      <c r="F17" s="2632">
        <f t="shared" si="111"/>
        <v>274.74220703999998</v>
      </c>
      <c r="G17" s="3478"/>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2575</v>
      </c>
      <c r="B18" s="2632">
        <f t="shared" si="110"/>
        <v>405.524</v>
      </c>
      <c r="C18" s="2632">
        <f t="shared" si="110"/>
        <v>307.79840000000002</v>
      </c>
      <c r="D18" s="2632">
        <f t="shared" si="98"/>
        <v>307.79840000000002</v>
      </c>
      <c r="E18" s="2632">
        <f t="shared" si="111"/>
        <v>574.67759999999998</v>
      </c>
      <c r="F18" s="2632">
        <f t="shared" si="111"/>
        <v>270.20280000000002</v>
      </c>
      <c r="G18" s="3484"/>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83">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78"/>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78"/>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79"/>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965</v>
      </c>
      <c r="B23" s="2624">
        <v>333</v>
      </c>
      <c r="C23" s="2624">
        <v>277</v>
      </c>
      <c r="D23" s="2624">
        <f t="shared" si="120"/>
        <v>277</v>
      </c>
      <c r="E23" s="2624">
        <v>459</v>
      </c>
      <c r="F23" s="2625">
        <v>249</v>
      </c>
      <c r="G23" s="3477">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78"/>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78"/>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79"/>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961</v>
      </c>
      <c r="B27" s="2646">
        <v>318</v>
      </c>
      <c r="C27" s="2646">
        <v>268</v>
      </c>
      <c r="D27" s="2646">
        <f t="shared" si="120"/>
        <v>268</v>
      </c>
      <c r="E27" s="2646">
        <v>437</v>
      </c>
      <c r="F27" s="2647">
        <v>237</v>
      </c>
      <c r="G27" s="3477">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78"/>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78"/>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5"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79"/>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2633</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2576</v>
      </c>
      <c r="B31" s="2624">
        <v>299</v>
      </c>
      <c r="C31" s="2624">
        <v>252</v>
      </c>
      <c r="D31" s="2624">
        <f t="shared" si="120"/>
        <v>252</v>
      </c>
      <c r="E31" s="2624">
        <v>409</v>
      </c>
      <c r="F31" s="2625">
        <v>227</v>
      </c>
      <c r="G31" s="3480">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2577</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81"/>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2578</v>
      </c>
      <c r="B33" s="2632">
        <f t="shared" si="129"/>
        <v>288.2649053828776</v>
      </c>
      <c r="C33" s="2632">
        <f t="shared" si="129"/>
        <v>243.64564425013293</v>
      </c>
      <c r="D33" s="2632">
        <f t="shared" si="120"/>
        <v>243.64564425013293</v>
      </c>
      <c r="E33" s="2632">
        <f t="shared" si="130"/>
        <v>393.31080825986544</v>
      </c>
      <c r="F33" s="2632">
        <f t="shared" si="130"/>
        <v>223.07903790551154</v>
      </c>
      <c r="G33" s="3481"/>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2579</v>
      </c>
      <c r="B34" s="2632">
        <f t="shared" si="129"/>
        <v>282.50186729015837</v>
      </c>
      <c r="C34" s="2632">
        <f t="shared" si="129"/>
        <v>238.09796174155468</v>
      </c>
      <c r="D34" s="2632">
        <f t="shared" si="120"/>
        <v>238.09796174155468</v>
      </c>
      <c r="E34" s="2632">
        <f t="shared" si="130"/>
        <v>385.33438646014054</v>
      </c>
      <c r="F34" s="2632">
        <f t="shared" si="130"/>
        <v>221.55034055567739</v>
      </c>
      <c r="G34" s="3482"/>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2580</v>
      </c>
      <c r="B35" s="2662">
        <v>278</v>
      </c>
      <c r="C35" s="2662">
        <v>234</v>
      </c>
      <c r="D35" s="2662">
        <f t="shared" si="120"/>
        <v>234</v>
      </c>
      <c r="E35" s="2662">
        <v>379</v>
      </c>
      <c r="F35" s="2663">
        <v>220</v>
      </c>
      <c r="G35" s="3477">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2581</v>
      </c>
      <c r="B36" s="2632">
        <f>B35/(1+N35)</f>
        <v>275.49301357645425</v>
      </c>
      <c r="C36" s="2632">
        <f>C35/(1+O35)</f>
        <v>232.41954707985698</v>
      </c>
      <c r="D36" s="2632">
        <f t="shared" si="120"/>
        <v>232.41954707985698</v>
      </c>
      <c r="E36" s="2632">
        <f t="shared" ref="E36:F38" si="131">E35/(1+P35)</f>
        <v>375.32184591008121</v>
      </c>
      <c r="F36" s="2632">
        <f t="shared" si="131"/>
        <v>218.03766105054513</v>
      </c>
      <c r="G36" s="3478"/>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2582</v>
      </c>
      <c r="B37" s="2632">
        <f>B36/(1+N36)</f>
        <v>275.24529281292263</v>
      </c>
      <c r="C37" s="2632">
        <f>C36/(1+O36)</f>
        <v>231.74747938962707</v>
      </c>
      <c r="D37" s="2632">
        <f t="shared" si="120"/>
        <v>231.74747938962707</v>
      </c>
      <c r="E37" s="2632">
        <f t="shared" si="131"/>
        <v>375.35938184826603</v>
      </c>
      <c r="F37" s="2632">
        <f t="shared" si="131"/>
        <v>216.78033510692495</v>
      </c>
      <c r="G37" s="3478"/>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5" thickBot="1">
      <c r="A38" s="2619" t="s">
        <v>2583</v>
      </c>
      <c r="B38" s="2632">
        <f>B37/(1+N37)</f>
        <v>275.19025476197027</v>
      </c>
      <c r="C38" s="2664">
        <v>232</v>
      </c>
      <c r="D38" s="2664">
        <f t="shared" si="120"/>
        <v>232</v>
      </c>
      <c r="E38" s="2632">
        <f t="shared" si="131"/>
        <v>375.65990977608692</v>
      </c>
      <c r="F38" s="2632">
        <f t="shared" si="131"/>
        <v>214.12518283971252</v>
      </c>
      <c r="G38" s="3479"/>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2584</v>
      </c>
      <c r="B39" s="2624">
        <v>275</v>
      </c>
      <c r="C39" s="2624">
        <v>232</v>
      </c>
      <c r="D39" s="2624">
        <f t="shared" si="120"/>
        <v>232</v>
      </c>
      <c r="E39" s="2624">
        <v>376</v>
      </c>
      <c r="F39" s="2625">
        <v>213</v>
      </c>
      <c r="G39" s="3477">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2585</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78">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2586</v>
      </c>
      <c r="B41" s="2632">
        <f t="shared" si="132"/>
        <v>275.19335084830601</v>
      </c>
      <c r="C41" s="2632">
        <f t="shared" si="132"/>
        <v>230.18088050139744</v>
      </c>
      <c r="D41" s="2632">
        <f t="shared" si="120"/>
        <v>230.18088050139744</v>
      </c>
      <c r="E41" s="2632">
        <f t="shared" si="133"/>
        <v>377.58482925212331</v>
      </c>
      <c r="F41" s="2632">
        <f t="shared" si="133"/>
        <v>210.90687997847917</v>
      </c>
      <c r="G41" s="3478">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5" thickBot="1">
      <c r="A42" s="2619" t="s">
        <v>2587</v>
      </c>
      <c r="B42" s="2632">
        <f t="shared" si="132"/>
        <v>276.29854502841971</v>
      </c>
      <c r="C42" s="2632">
        <f t="shared" si="132"/>
        <v>229.79023709833027</v>
      </c>
      <c r="D42" s="2632">
        <f t="shared" si="120"/>
        <v>229.79023709833027</v>
      </c>
      <c r="E42" s="2632">
        <f t="shared" si="133"/>
        <v>379.78759731655936</v>
      </c>
      <c r="F42" s="2632">
        <f t="shared" si="133"/>
        <v>211.32953905659235</v>
      </c>
      <c r="G42" s="3479">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2588</v>
      </c>
      <c r="B43" s="2624">
        <v>269</v>
      </c>
      <c r="C43" s="2624">
        <v>221</v>
      </c>
      <c r="D43" s="2624">
        <f t="shared" si="120"/>
        <v>221</v>
      </c>
      <c r="E43" s="2624">
        <v>373</v>
      </c>
      <c r="F43" s="2625">
        <v>196</v>
      </c>
      <c r="G43" s="3477">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2589</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78">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2590</v>
      </c>
      <c r="B45" s="2632">
        <f t="shared" si="134"/>
        <v>242.95398227588385</v>
      </c>
      <c r="C45" s="2632">
        <f t="shared" si="134"/>
        <v>199.59137053614126</v>
      </c>
      <c r="D45" s="2632">
        <f t="shared" si="120"/>
        <v>199.59137053614126</v>
      </c>
      <c r="E45" s="2632">
        <f t="shared" si="135"/>
        <v>335.92189522342125</v>
      </c>
      <c r="F45" s="2632">
        <f t="shared" si="135"/>
        <v>183.10139991109489</v>
      </c>
      <c r="G45" s="3478">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5" thickBot="1">
      <c r="A46" s="2619" t="s">
        <v>2591</v>
      </c>
      <c r="B46" s="2632">
        <f t="shared" si="134"/>
        <v>232.06990378821649</v>
      </c>
      <c r="C46" s="2632">
        <f t="shared" si="134"/>
        <v>192.74878854286936</v>
      </c>
      <c r="D46" s="2632">
        <f t="shared" si="120"/>
        <v>192.74878854286936</v>
      </c>
      <c r="E46" s="2632">
        <f t="shared" si="135"/>
        <v>319.71247284992984</v>
      </c>
      <c r="F46" s="2632">
        <f t="shared" si="135"/>
        <v>175.67053622862409</v>
      </c>
      <c r="G46" s="3479">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2592</v>
      </c>
      <c r="B47" s="2624">
        <v>220</v>
      </c>
      <c r="C47" s="2624">
        <v>187</v>
      </c>
      <c r="D47" s="2624">
        <f t="shared" si="120"/>
        <v>187</v>
      </c>
      <c r="E47" s="2624">
        <v>301</v>
      </c>
      <c r="F47" s="2625">
        <v>168</v>
      </c>
      <c r="G47" s="3477">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2593</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78">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2594</v>
      </c>
      <c r="B49" s="2632">
        <f t="shared" si="136"/>
        <v>210.630522469011</v>
      </c>
      <c r="C49" s="2632">
        <f t="shared" si="136"/>
        <v>181.69567812247232</v>
      </c>
      <c r="D49" s="2632">
        <f t="shared" si="120"/>
        <v>181.69567812247232</v>
      </c>
      <c r="E49" s="2632">
        <f t="shared" si="137"/>
        <v>286.13517466736738</v>
      </c>
      <c r="F49" s="2632">
        <f t="shared" si="137"/>
        <v>165.47535084591149</v>
      </c>
      <c r="G49" s="3478">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2595</v>
      </c>
      <c r="B50" s="2632">
        <f t="shared" si="136"/>
        <v>208.83454537875372</v>
      </c>
      <c r="C50" s="2632">
        <f t="shared" si="136"/>
        <v>183.77230517090351</v>
      </c>
      <c r="D50" s="2632">
        <f t="shared" si="120"/>
        <v>183.77230517090351</v>
      </c>
      <c r="E50" s="2632">
        <f t="shared" si="137"/>
        <v>281.10342338870947</v>
      </c>
      <c r="F50" s="2632">
        <f t="shared" si="137"/>
        <v>168.97309388942256</v>
      </c>
      <c r="G50" s="3479">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2596</v>
      </c>
      <c r="B51" s="2662">
        <v>214</v>
      </c>
      <c r="C51" s="2662">
        <v>188</v>
      </c>
      <c r="D51" s="2662">
        <f t="shared" si="120"/>
        <v>188</v>
      </c>
      <c r="E51" s="2662">
        <v>289</v>
      </c>
      <c r="F51" s="2663">
        <v>166</v>
      </c>
      <c r="G51" s="3477">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2597</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78">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2598</v>
      </c>
      <c r="B53" s="2632">
        <f t="shared" si="138"/>
        <v>206.31694671589116</v>
      </c>
      <c r="C53" s="2632">
        <f t="shared" si="138"/>
        <v>183.61041121036101</v>
      </c>
      <c r="D53" s="2632">
        <f t="shared" si="120"/>
        <v>183.61041121036101</v>
      </c>
      <c r="E53" s="2632">
        <f t="shared" si="139"/>
        <v>276.66850301795557</v>
      </c>
      <c r="F53" s="2632">
        <f t="shared" si="139"/>
        <v>165.1360938278614</v>
      </c>
      <c r="G53" s="3478">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5" thickBot="1">
      <c r="A54" s="2619" t="s">
        <v>2599</v>
      </c>
      <c r="B54" s="2665">
        <f t="shared" si="138"/>
        <v>196.62341248059772</v>
      </c>
      <c r="C54" s="2665">
        <f t="shared" si="138"/>
        <v>170.99125648199012</v>
      </c>
      <c r="D54" s="2665">
        <f t="shared" si="120"/>
        <v>170.99125648199012</v>
      </c>
      <c r="E54" s="2665">
        <f t="shared" si="139"/>
        <v>266.07857570490052</v>
      </c>
      <c r="F54" s="2665">
        <f t="shared" si="139"/>
        <v>154.53499328828505</v>
      </c>
      <c r="G54" s="3479">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2600</v>
      </c>
      <c r="B55" s="2624">
        <v>188</v>
      </c>
      <c r="C55" s="2624">
        <v>165</v>
      </c>
      <c r="D55" s="2624">
        <f t="shared" si="120"/>
        <v>165</v>
      </c>
      <c r="E55" s="2624">
        <v>254</v>
      </c>
      <c r="F55" s="2625">
        <v>148</v>
      </c>
      <c r="G55" s="3477">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2601</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78">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2602</v>
      </c>
      <c r="B57" s="2632">
        <f t="shared" si="142"/>
        <v>168.82017748715555</v>
      </c>
      <c r="C57" s="2632">
        <f t="shared" si="142"/>
        <v>148.06267029972753</v>
      </c>
      <c r="D57" s="2632">
        <f t="shared" si="120"/>
        <v>148.06267029972753</v>
      </c>
      <c r="E57" s="2632">
        <f t="shared" si="143"/>
        <v>216.46288379323747</v>
      </c>
      <c r="F57" s="2632">
        <f t="shared" si="143"/>
        <v>134.23529411764704</v>
      </c>
      <c r="G57" s="3478">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2603</v>
      </c>
      <c r="B58" s="2632">
        <f t="shared" si="142"/>
        <v>163.84913591779542</v>
      </c>
      <c r="C58" s="2632">
        <f t="shared" si="142"/>
        <v>145.0283378746594</v>
      </c>
      <c r="D58" s="2632">
        <f t="shared" si="120"/>
        <v>145.0283378746594</v>
      </c>
      <c r="E58" s="2632">
        <f t="shared" si="143"/>
        <v>204.95180722891567</v>
      </c>
      <c r="F58" s="2632">
        <f t="shared" si="143"/>
        <v>125.95920303605313</v>
      </c>
      <c r="G58" s="3479">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2604</v>
      </c>
      <c r="B59" s="2646">
        <v>159</v>
      </c>
      <c r="C59" s="2646">
        <v>141</v>
      </c>
      <c r="D59" s="2646">
        <f t="shared" si="120"/>
        <v>141</v>
      </c>
      <c r="E59" s="2646">
        <v>195</v>
      </c>
      <c r="F59" s="2647">
        <v>122</v>
      </c>
      <c r="G59" s="3477">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2605</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78">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2606</v>
      </c>
      <c r="B61" s="2632">
        <f t="shared" si="146"/>
        <v>146.57412060301507</v>
      </c>
      <c r="C61" s="2632">
        <f t="shared" si="146"/>
        <v>136.46831955922866</v>
      </c>
      <c r="D61" s="2632">
        <f t="shared" si="120"/>
        <v>136.46831955922866</v>
      </c>
      <c r="E61" s="2632">
        <f t="shared" si="147"/>
        <v>166.73864894795128</v>
      </c>
      <c r="F61" s="2632">
        <f t="shared" si="147"/>
        <v>115.05882352941177</v>
      </c>
      <c r="G61" s="3478">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2607</v>
      </c>
      <c r="B62" s="2632">
        <f t="shared" si="146"/>
        <v>144.04145728643215</v>
      </c>
      <c r="C62" s="2632">
        <f t="shared" si="146"/>
        <v>136.12396694214877</v>
      </c>
      <c r="D62" s="2632">
        <f t="shared" si="120"/>
        <v>136.12396694214877</v>
      </c>
      <c r="E62" s="2632">
        <f t="shared" si="147"/>
        <v>158.32225913621264</v>
      </c>
      <c r="F62" s="2632">
        <f t="shared" si="147"/>
        <v>114.04278074866311</v>
      </c>
      <c r="G62" s="3479">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2608</v>
      </c>
      <c r="B63" s="2646">
        <v>138</v>
      </c>
      <c r="C63" s="2646">
        <v>131</v>
      </c>
      <c r="D63" s="2646">
        <f t="shared" si="120"/>
        <v>131</v>
      </c>
      <c r="E63" s="2646">
        <v>155</v>
      </c>
      <c r="F63" s="2647">
        <v>114</v>
      </c>
      <c r="G63" s="3477">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2609</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78">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2610</v>
      </c>
      <c r="B65" s="2632">
        <f t="shared" si="150"/>
        <v>124.29032258064517</v>
      </c>
      <c r="C65" s="2632">
        <f t="shared" si="150"/>
        <v>123.8968609865471</v>
      </c>
      <c r="D65" s="2632">
        <f t="shared" si="120"/>
        <v>123.8968609865471</v>
      </c>
      <c r="E65" s="2632">
        <f t="shared" si="151"/>
        <v>138.00507614213197</v>
      </c>
      <c r="F65" s="2632">
        <f t="shared" si="151"/>
        <v>107.96106557377048</v>
      </c>
      <c r="G65" s="3478">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2611</v>
      </c>
      <c r="B66" s="2632">
        <f t="shared" si="150"/>
        <v>122.57204301075269</v>
      </c>
      <c r="C66" s="2632">
        <f t="shared" si="150"/>
        <v>123.4932735426009</v>
      </c>
      <c r="D66" s="2632">
        <f t="shared" si="120"/>
        <v>123.4932735426009</v>
      </c>
      <c r="E66" s="2632">
        <f t="shared" si="151"/>
        <v>129.82233502538071</v>
      </c>
      <c r="F66" s="2632">
        <f t="shared" si="151"/>
        <v>107.39446721311475</v>
      </c>
      <c r="G66" s="3479">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2612</v>
      </c>
      <c r="B67" s="2662">
        <v>121</v>
      </c>
      <c r="C67" s="2662">
        <v>122</v>
      </c>
      <c r="D67" s="2662">
        <f t="shared" si="120"/>
        <v>122</v>
      </c>
      <c r="E67" s="2662">
        <v>124</v>
      </c>
      <c r="F67" s="2663">
        <v>107</v>
      </c>
      <c r="G67" s="3477">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2613</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78">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2614</v>
      </c>
      <c r="B69" s="2632">
        <f t="shared" si="154"/>
        <v>116.99099099099099</v>
      </c>
      <c r="C69" s="2632">
        <f t="shared" si="154"/>
        <v>118.84848484848486</v>
      </c>
      <c r="D69" s="2632">
        <f t="shared" si="120"/>
        <v>118.84848484848486</v>
      </c>
      <c r="E69" s="2632">
        <f t="shared" si="155"/>
        <v>117.60960960960961</v>
      </c>
      <c r="F69" s="2632">
        <f t="shared" si="155"/>
        <v>104</v>
      </c>
      <c r="G69" s="3478">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5" thickBot="1">
      <c r="A70" s="2619" t="s">
        <v>2615</v>
      </c>
      <c r="B70" s="2665">
        <f t="shared" si="154"/>
        <v>112.48648648648648</v>
      </c>
      <c r="C70" s="2665">
        <f t="shared" si="154"/>
        <v>115.21212121212122</v>
      </c>
      <c r="D70" s="2665">
        <f t="shared" si="120"/>
        <v>115.21212121212122</v>
      </c>
      <c r="E70" s="2665">
        <f t="shared" si="155"/>
        <v>110.4024024024024</v>
      </c>
      <c r="F70" s="2665">
        <f t="shared" si="155"/>
        <v>104</v>
      </c>
      <c r="G70" s="3479">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2616</v>
      </c>
      <c r="B71" s="2683">
        <v>111</v>
      </c>
      <c r="C71" s="2683">
        <v>114</v>
      </c>
      <c r="D71" s="2683">
        <f t="shared" si="120"/>
        <v>114</v>
      </c>
      <c r="E71" s="2683">
        <v>108</v>
      </c>
      <c r="F71" s="2684">
        <v>104</v>
      </c>
      <c r="G71" s="3477">
        <v>2003</v>
      </c>
      <c r="H71" s="2673">
        <v>4</v>
      </c>
      <c r="I71" s="2685"/>
      <c r="J71" s="2685"/>
      <c r="K71" s="2685"/>
      <c r="L71" s="2685"/>
      <c r="N71" s="2686"/>
      <c r="O71" s="2685"/>
      <c r="P71" s="2685"/>
      <c r="Q71" s="2685"/>
      <c r="S71" s="2686"/>
      <c r="T71" s="2685"/>
      <c r="U71" s="2685"/>
      <c r="V71" s="2685"/>
      <c r="X71" s="2677"/>
      <c r="Y71" s="2677"/>
      <c r="Z71" s="2677"/>
    </row>
    <row r="72" spans="1:26">
      <c r="A72" s="2619" t="s">
        <v>2617</v>
      </c>
      <c r="B72" s="2687">
        <f t="shared" ref="B72:C74" si="156">B73+(B$71-B$75)/4</f>
        <v>109.75</v>
      </c>
      <c r="C72" s="2687">
        <f t="shared" si="156"/>
        <v>112.25</v>
      </c>
      <c r="D72" s="2687">
        <f t="shared" si="120"/>
        <v>112.25</v>
      </c>
      <c r="E72" s="2687">
        <f t="shared" ref="E72:F74" si="157">E73+(E$71-E$75)/4</f>
        <v>107.25</v>
      </c>
      <c r="F72" s="2687">
        <f t="shared" si="157"/>
        <v>103.5</v>
      </c>
      <c r="G72" s="3478">
        <v>2003</v>
      </c>
      <c r="H72" s="2643">
        <v>3</v>
      </c>
      <c r="I72" s="2685"/>
      <c r="J72" s="2685"/>
      <c r="K72" s="2685"/>
      <c r="L72" s="2685"/>
      <c r="X72" s="2677"/>
      <c r="Y72" s="2677"/>
      <c r="Z72" s="2677"/>
    </row>
    <row r="73" spans="1:26">
      <c r="A73" s="2619" t="s">
        <v>2618</v>
      </c>
      <c r="B73" s="2687">
        <f t="shared" si="156"/>
        <v>108.5</v>
      </c>
      <c r="C73" s="2687">
        <f t="shared" si="156"/>
        <v>110.5</v>
      </c>
      <c r="D73" s="2687">
        <f t="shared" si="120"/>
        <v>110.5</v>
      </c>
      <c r="E73" s="2687">
        <f t="shared" si="157"/>
        <v>106.5</v>
      </c>
      <c r="F73" s="2687">
        <f t="shared" si="157"/>
        <v>103</v>
      </c>
      <c r="G73" s="3478">
        <v>2003</v>
      </c>
      <c r="H73" s="2623">
        <v>2</v>
      </c>
      <c r="I73" s="2685"/>
      <c r="J73" s="2685"/>
      <c r="K73" s="2685"/>
      <c r="L73" s="2685"/>
      <c r="X73" s="2677"/>
      <c r="Y73" s="2677"/>
      <c r="Z73" s="2677"/>
    </row>
    <row r="74" spans="1:26" ht="13.5" thickBot="1">
      <c r="A74" s="2619" t="s">
        <v>2619</v>
      </c>
      <c r="B74" s="2687">
        <f t="shared" si="156"/>
        <v>107.25</v>
      </c>
      <c r="C74" s="2687">
        <f t="shared" si="156"/>
        <v>108.75</v>
      </c>
      <c r="D74" s="2687">
        <f t="shared" si="120"/>
        <v>108.75</v>
      </c>
      <c r="E74" s="2687">
        <f t="shared" si="157"/>
        <v>105.75</v>
      </c>
      <c r="F74" s="2687">
        <f t="shared" si="157"/>
        <v>102.5</v>
      </c>
      <c r="G74" s="3479">
        <v>2003</v>
      </c>
      <c r="H74" s="2688">
        <v>1</v>
      </c>
      <c r="I74" s="2685"/>
      <c r="J74" s="2685"/>
      <c r="K74" s="2685"/>
      <c r="L74" s="2685"/>
      <c r="S74" s="2627"/>
      <c r="T74" s="2628"/>
      <c r="U74" s="2628"/>
      <c r="X74" s="2677"/>
      <c r="Y74" s="2677"/>
      <c r="Z74" s="2677"/>
    </row>
    <row r="75" spans="1:26" ht="13.5" thickBot="1">
      <c r="A75" s="2619" t="s">
        <v>2620</v>
      </c>
      <c r="B75" s="2689">
        <v>106</v>
      </c>
      <c r="C75" s="2689">
        <v>107</v>
      </c>
      <c r="D75" s="2689">
        <f t="shared" si="120"/>
        <v>107</v>
      </c>
      <c r="E75" s="2689">
        <v>105</v>
      </c>
      <c r="F75" s="2690">
        <v>102</v>
      </c>
      <c r="G75" s="3477">
        <v>2002</v>
      </c>
      <c r="H75" s="2638">
        <v>4</v>
      </c>
      <c r="I75" s="2685"/>
      <c r="J75" s="2685"/>
      <c r="K75" s="2685"/>
      <c r="L75" s="2685"/>
      <c r="N75" s="2686"/>
      <c r="O75" s="2685"/>
      <c r="P75" s="2685"/>
      <c r="Q75" s="2685"/>
      <c r="S75" s="2686"/>
      <c r="T75" s="2685"/>
      <c r="U75" s="2685"/>
      <c r="V75" s="2685"/>
      <c r="X75" s="2677"/>
      <c r="Y75" s="2677"/>
      <c r="Z75" s="2677"/>
    </row>
    <row r="76" spans="1:26">
      <c r="A76" s="2619" t="s">
        <v>2621</v>
      </c>
      <c r="B76" s="2687">
        <f t="shared" ref="B76:C78" si="158">B77+(B$75-B$79)/4</f>
        <v>105</v>
      </c>
      <c r="C76" s="2687">
        <f t="shared" si="158"/>
        <v>106</v>
      </c>
      <c r="D76" s="2687">
        <f t="shared" si="120"/>
        <v>106</v>
      </c>
      <c r="E76" s="2687">
        <f t="shared" ref="E76:F78" si="159">E77+(E$75-E$79)/4</f>
        <v>104.5</v>
      </c>
      <c r="F76" s="2687">
        <f t="shared" si="159"/>
        <v>101.5</v>
      </c>
      <c r="G76" s="3478">
        <v>2002</v>
      </c>
      <c r="H76" s="2643">
        <v>3</v>
      </c>
      <c r="I76" s="2685"/>
      <c r="J76" s="2685"/>
      <c r="K76" s="2685"/>
      <c r="L76" s="2685"/>
      <c r="X76" s="2677"/>
      <c r="Y76" s="2677"/>
      <c r="Z76" s="2677"/>
    </row>
    <row r="77" spans="1:26">
      <c r="A77" s="2619" t="s">
        <v>2622</v>
      </c>
      <c r="B77" s="2687">
        <f t="shared" si="158"/>
        <v>104</v>
      </c>
      <c r="C77" s="2687">
        <f t="shared" si="158"/>
        <v>105</v>
      </c>
      <c r="D77" s="2687">
        <f t="shared" si="120"/>
        <v>105</v>
      </c>
      <c r="E77" s="2687">
        <f t="shared" si="159"/>
        <v>104</v>
      </c>
      <c r="F77" s="2687">
        <f t="shared" si="159"/>
        <v>101</v>
      </c>
      <c r="G77" s="3478">
        <v>2002</v>
      </c>
      <c r="H77" s="2623">
        <v>2</v>
      </c>
      <c r="I77" s="2685"/>
      <c r="J77" s="2685"/>
      <c r="K77" s="2685"/>
      <c r="L77" s="2685"/>
      <c r="X77" s="2677"/>
      <c r="Y77" s="2677"/>
      <c r="Z77" s="2677"/>
    </row>
    <row r="78" spans="1:26" s="2654" customFormat="1" ht="13.5" thickBot="1">
      <c r="A78" s="2650" t="s">
        <v>2623</v>
      </c>
      <c r="B78" s="2691">
        <f t="shared" si="158"/>
        <v>103</v>
      </c>
      <c r="C78" s="2691">
        <f t="shared" si="158"/>
        <v>104</v>
      </c>
      <c r="D78" s="2691">
        <f t="shared" si="120"/>
        <v>104</v>
      </c>
      <c r="E78" s="2691">
        <f t="shared" si="159"/>
        <v>103.5</v>
      </c>
      <c r="F78" s="2691">
        <f t="shared" si="159"/>
        <v>100.5</v>
      </c>
      <c r="G78" s="3479">
        <v>2002</v>
      </c>
      <c r="H78" s="2692">
        <v>1</v>
      </c>
      <c r="I78" s="2693"/>
      <c r="J78" s="2693"/>
      <c r="K78" s="2693"/>
      <c r="L78" s="2693"/>
      <c r="N78" s="2694"/>
      <c r="S78" s="2694"/>
      <c r="X78" s="2695"/>
      <c r="Y78" s="2695"/>
      <c r="Z78" s="2695"/>
    </row>
    <row r="79" spans="1:26" ht="13.5"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2624</v>
      </c>
      <c r="G81" s="2701"/>
      <c r="N81" s="2701"/>
      <c r="S81" s="2701"/>
    </row>
    <row r="82" spans="1:22" s="2700" customFormat="1">
      <c r="A82" s="2700" t="s">
        <v>2625</v>
      </c>
      <c r="G82" s="2701"/>
      <c r="N82" s="2701"/>
      <c r="S82" s="2701"/>
    </row>
    <row r="83" spans="1:22" s="2700" customFormat="1">
      <c r="A83" s="2700" t="s">
        <v>2626</v>
      </c>
      <c r="G83" s="2701"/>
      <c r="I83" s="2702"/>
      <c r="J83" s="2702"/>
      <c r="K83" s="2702"/>
      <c r="L83" s="2702"/>
      <c r="N83" s="2703"/>
      <c r="O83" s="2702"/>
      <c r="P83" s="2702"/>
      <c r="Q83" s="2702"/>
      <c r="S83" s="2703"/>
      <c r="T83" s="2702"/>
      <c r="U83" s="2702"/>
      <c r="V83" s="2702"/>
    </row>
    <row r="84" spans="1:22" s="2700" customFormat="1">
      <c r="A84" s="2700" t="s">
        <v>2627</v>
      </c>
      <c r="G84" s="2701"/>
      <c r="N84" s="2701"/>
      <c r="S84" s="2701"/>
    </row>
    <row r="91" spans="1:22" ht="13.5" thickBot="1"/>
    <row r="92" spans="1:22">
      <c r="G92" s="2626"/>
      <c r="S92" s="2704" t="s">
        <v>2628</v>
      </c>
      <c r="T92" s="2705" t="s">
        <v>2629</v>
      </c>
      <c r="U92" s="2705" t="s">
        <v>2630</v>
      </c>
      <c r="V92" s="2705" t="s">
        <v>2631</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2936</v>
      </c>
      <c r="B1" s="3050"/>
      <c r="C1" s="3050"/>
      <c r="D1" s="3050"/>
      <c r="E1" s="3050"/>
      <c r="F1" s="3050"/>
    </row>
    <row r="2" spans="1:6" ht="14.25">
      <c r="A2" s="3051" t="s">
        <v>2931</v>
      </c>
      <c r="B2" s="3052" t="e">
        <f ca="1">SUMIF(B7:B14,"&lt;&gt;#ref!",B7:B14)</f>
        <v>#DIV/0!</v>
      </c>
      <c r="C2" s="3051" t="s">
        <v>2932</v>
      </c>
      <c r="D2" s="3050"/>
      <c r="E2" s="3050"/>
      <c r="F2" s="3050"/>
    </row>
    <row r="3" spans="1:6" ht="14.25">
      <c r="A3" s="3051" t="s">
        <v>2964</v>
      </c>
      <c r="B3" s="3052" t="e">
        <f ca="1">ROUND(B2*10000/E3,0)</f>
        <v>#DIV/0!</v>
      </c>
      <c r="C3" s="3051" t="s">
        <v>2073</v>
      </c>
      <c r="D3" s="3051" t="s">
        <v>2933</v>
      </c>
      <c r="E3" s="3052">
        <f ca="1">SUMIF(E7:E14,"&lt;&gt;#ref!",E7:E14)</f>
        <v>0</v>
      </c>
      <c r="F3" s="3050"/>
    </row>
    <row r="4" spans="1:6" ht="14.25">
      <c r="A4" s="3051" t="s">
        <v>2940</v>
      </c>
      <c r="B4" s="3052" t="e">
        <f ca="1">ROUND(B2*10000/E4,0)</f>
        <v>#DIV/0!</v>
      </c>
      <c r="C4" s="3051" t="s">
        <v>2073</v>
      </c>
      <c r="D4" s="3051" t="s">
        <v>2941</v>
      </c>
      <c r="E4" s="3052">
        <f ca="1">SUMIF(F7:F14,"&lt;&gt;#ref!",F7:F14)</f>
        <v>0</v>
      </c>
      <c r="F4" s="3050"/>
    </row>
    <row r="5" spans="1:6" ht="14.25">
      <c r="A5" s="3053"/>
      <c r="B5" s="1866"/>
      <c r="C5" s="1866"/>
      <c r="D5" s="1866"/>
      <c r="E5" s="1866"/>
      <c r="F5" s="3050"/>
    </row>
    <row r="6" spans="1:6" ht="28.5">
      <c r="A6" s="3054" t="s">
        <v>2937</v>
      </c>
      <c r="B6" s="3051" t="s">
        <v>2934</v>
      </c>
      <c r="C6" s="3052"/>
      <c r="D6" s="1866"/>
      <c r="E6" s="3051" t="s">
        <v>2935</v>
      </c>
      <c r="F6" s="3051" t="s">
        <v>2939</v>
      </c>
    </row>
    <row r="7" spans="1:6" ht="14.25">
      <c r="A7" s="260" t="s">
        <v>2938</v>
      </c>
      <c r="B7" s="3055" t="e">
        <f ca="1">SUMIF(INDIRECT("'"&amp;A7&amp;"'"&amp;"!A:A"),"总价",INDIRECT("'"&amp;A7&amp;"'"&amp;"!B:B"))</f>
        <v>#DIV/0!</v>
      </c>
      <c r="C7" s="3051" t="s">
        <v>2932</v>
      </c>
      <c r="D7" s="1866"/>
      <c r="E7" s="3056">
        <f ca="1">SUMIF(INDIRECT("'"&amp;A7&amp;"'"&amp;"!C:C"),"建筑面积",INDIRECT("'"&amp;A7&amp;"'"&amp;"!D:D"))</f>
        <v>0</v>
      </c>
      <c r="F7" s="3056">
        <f ca="1">SUMIF(INDIRECT("'"&amp;A7&amp;"'"&amp;"!E:E"),"土地面积",INDIRECT("'"&amp;A7&amp;"'"&amp;"!F:F"))</f>
        <v>0</v>
      </c>
    </row>
    <row r="8" spans="1:6" ht="14.25">
      <c r="A8" s="260"/>
      <c r="B8" s="3055" t="e">
        <f t="shared" ref="B8:B14" ca="1" si="0">SUMIF(INDIRECT("'"&amp;A8&amp;"'"&amp;"!A:A"),"总价",INDIRECT("'"&amp;A8&amp;"'"&amp;"!B:B"))</f>
        <v>#REF!</v>
      </c>
      <c r="C8" s="3051" t="s">
        <v>2932</v>
      </c>
      <c r="D8" s="1866"/>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2932</v>
      </c>
      <c r="D9" s="1866"/>
      <c r="E9" s="3056" t="e">
        <f t="shared" ca="1" si="1"/>
        <v>#REF!</v>
      </c>
      <c r="F9" s="3056" t="e">
        <f t="shared" ca="1" si="2"/>
        <v>#REF!</v>
      </c>
    </row>
    <row r="10" spans="1:6" ht="14.25">
      <c r="A10" s="260"/>
      <c r="B10" s="3055" t="e">
        <f t="shared" ca="1" si="0"/>
        <v>#REF!</v>
      </c>
      <c r="C10" s="3051" t="s">
        <v>2932</v>
      </c>
      <c r="D10" s="1866"/>
      <c r="E10" s="3056" t="e">
        <f t="shared" ca="1" si="1"/>
        <v>#REF!</v>
      </c>
      <c r="F10" s="3056" t="e">
        <f t="shared" ca="1" si="2"/>
        <v>#REF!</v>
      </c>
    </row>
    <row r="11" spans="1:6" ht="14.25">
      <c r="A11" s="260"/>
      <c r="B11" s="3055" t="e">
        <f t="shared" ca="1" si="0"/>
        <v>#REF!</v>
      </c>
      <c r="C11" s="3051" t="s">
        <v>2932</v>
      </c>
      <c r="D11" s="1866"/>
      <c r="E11" s="3056" t="e">
        <f t="shared" ca="1" si="1"/>
        <v>#REF!</v>
      </c>
      <c r="F11" s="3056" t="e">
        <f t="shared" ca="1" si="2"/>
        <v>#REF!</v>
      </c>
    </row>
    <row r="12" spans="1:6" ht="14.25">
      <c r="A12" s="260"/>
      <c r="B12" s="3055" t="e">
        <f t="shared" ca="1" si="0"/>
        <v>#REF!</v>
      </c>
      <c r="C12" s="3051" t="s">
        <v>2932</v>
      </c>
      <c r="D12" s="1866"/>
      <c r="E12" s="3056" t="e">
        <f t="shared" ca="1" si="1"/>
        <v>#REF!</v>
      </c>
      <c r="F12" s="3056" t="e">
        <f t="shared" ca="1" si="2"/>
        <v>#REF!</v>
      </c>
    </row>
    <row r="13" spans="1:6" ht="14.25">
      <c r="A13" s="260"/>
      <c r="B13" s="3055" t="e">
        <f t="shared" ca="1" si="0"/>
        <v>#REF!</v>
      </c>
      <c r="C13" s="3051" t="s">
        <v>2932</v>
      </c>
      <c r="D13" s="1866"/>
      <c r="E13" s="3056" t="e">
        <f t="shared" ca="1" si="1"/>
        <v>#REF!</v>
      </c>
      <c r="F13" s="3056" t="e">
        <f t="shared" ca="1" si="2"/>
        <v>#REF!</v>
      </c>
    </row>
    <row r="14" spans="1:6" ht="14.25">
      <c r="A14" s="3049"/>
      <c r="B14" s="3055" t="e">
        <f t="shared" ca="1" si="0"/>
        <v>#REF!</v>
      </c>
      <c r="C14" s="3051" t="s">
        <v>2932</v>
      </c>
      <c r="D14" s="1866"/>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K53" sqref="K53: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2368</v>
      </c>
      <c r="F1" s="2352">
        <f ca="1">J54</f>
        <v>-1</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2452</v>
      </c>
      <c r="C7" s="53">
        <f ca="1">C8+C12+C14</f>
        <v>0</v>
      </c>
      <c r="D7" s="2460" t="s">
        <v>2455</v>
      </c>
      <c r="E7" s="2454"/>
      <c r="F7" s="2455"/>
      <c r="G7" s="1578"/>
      <c r="H7" s="781">
        <v>1</v>
      </c>
      <c r="I7" s="782" t="s">
        <v>2452</v>
      </c>
      <c r="J7" s="53">
        <f ca="1">J8+J12+J14</f>
        <v>0</v>
      </c>
      <c r="K7" s="2460" t="s">
        <v>2455</v>
      </c>
      <c r="L7" s="2454"/>
      <c r="M7" s="2455"/>
    </row>
    <row r="8" spans="1:25" ht="18" customHeight="1">
      <c r="A8" s="1815" t="s">
        <v>1822</v>
      </c>
      <c r="B8" s="3486" t="s">
        <v>2457</v>
      </c>
      <c r="C8" s="1810">
        <f ca="1">ROUND(F8*F10*F9*(1-F11)/10000,0)</f>
        <v>0</v>
      </c>
      <c r="D8" s="1807" t="s">
        <v>2528</v>
      </c>
      <c r="E8" s="61" t="s">
        <v>637</v>
      </c>
      <c r="F8" s="785">
        <f ca="1">INDIRECT("'数据-取费表'!u"&amp;$G$1)</f>
        <v>0</v>
      </c>
      <c r="G8" s="1578"/>
      <c r="H8" s="2468" t="s">
        <v>1822</v>
      </c>
      <c r="I8" s="3486" t="s">
        <v>2457</v>
      </c>
      <c r="J8" s="783">
        <f ca="1">ROUND(M8*M10*M9*(1-M11)/10000,0)</f>
        <v>0</v>
      </c>
      <c r="K8" s="341" t="s">
        <v>2528</v>
      </c>
      <c r="L8" s="784" t="s">
        <v>1736</v>
      </c>
      <c r="M8" s="785">
        <f ca="1">INDIRECT("'数据-取费表'!z"&amp;$G$1)</f>
        <v>0</v>
      </c>
    </row>
    <row r="9" spans="1:25" ht="18" customHeight="1">
      <c r="A9" s="2464"/>
      <c r="B9" s="3487"/>
      <c r="C9" s="1811"/>
      <c r="D9" s="1808"/>
      <c r="E9" s="61" t="s">
        <v>638</v>
      </c>
      <c r="F9" s="785">
        <f ca="1">IF(INDIRECT("'数据-取费表'!ah"&amp;$G$1)="",INDIRECT("'数据-取费表'!k"&amp;$G$1),INDIRECT("'数据-取费表'!ah"&amp;$G$1))</f>
        <v>0</v>
      </c>
      <c r="G9" s="1578"/>
      <c r="H9" s="2453"/>
      <c r="I9" s="3487"/>
      <c r="J9" s="788"/>
      <c r="K9" s="789"/>
      <c r="L9" s="784" t="s">
        <v>1737</v>
      </c>
      <c r="M9" s="785">
        <f ca="1">F9</f>
        <v>0</v>
      </c>
    </row>
    <row r="10" spans="1:25" ht="18" customHeight="1">
      <c r="A10" s="2457"/>
      <c r="B10" s="3488"/>
      <c r="C10" s="1811"/>
      <c r="D10" s="1808"/>
      <c r="E10" s="61" t="s">
        <v>639</v>
      </c>
      <c r="F10" s="785">
        <f ca="1">INDIRECT("'数据-取费表'!ai"&amp;$G$1)</f>
        <v>0</v>
      </c>
      <c r="G10" s="1578"/>
      <c r="H10" s="2453"/>
      <c r="I10" s="3488"/>
      <c r="J10" s="788"/>
      <c r="K10" s="789"/>
      <c r="L10" s="784" t="s">
        <v>1738</v>
      </c>
      <c r="M10" s="785">
        <f ca="1">INDIRECT("'数据-取费表'!ai"&amp;$G$1)</f>
        <v>0</v>
      </c>
    </row>
    <row r="11" spans="1:25" ht="18" customHeight="1">
      <c r="A11" s="786"/>
      <c r="B11" s="3489"/>
      <c r="C11" s="1811"/>
      <c r="D11" s="1808"/>
      <c r="E11" s="61" t="s">
        <v>640</v>
      </c>
      <c r="F11" s="794">
        <f ca="1">INDIRECT("'数据-取费表'!w"&amp;$G$1)</f>
        <v>0</v>
      </c>
      <c r="G11" s="1578"/>
      <c r="H11" s="2469"/>
      <c r="I11" s="3488"/>
      <c r="J11" s="788"/>
      <c r="K11" s="789"/>
      <c r="L11" s="795" t="s">
        <v>1739</v>
      </c>
      <c r="M11" s="796">
        <f ca="1">INDIRECT("'数据-取费表'!ab"&amp;$G$1)</f>
        <v>0</v>
      </c>
    </row>
    <row r="12" spans="1:25" ht="18" customHeight="1">
      <c r="A12" s="1815" t="s">
        <v>1823</v>
      </c>
      <c r="B12" s="2458" t="s">
        <v>2453</v>
      </c>
      <c r="C12" s="799">
        <f ca="1">ROUND(IF(F12="押一",C8/12*F13,IF(F12="押二",C8/12*2*F13,IF(F12="押三",C8/12*3*F13,C13*F13))),0)</f>
        <v>0</v>
      </c>
      <c r="D12" s="2465" t="s">
        <v>2961</v>
      </c>
      <c r="E12" s="2462" t="s">
        <v>2458</v>
      </c>
      <c r="F12" s="2585"/>
      <c r="G12" s="1578"/>
      <c r="H12" s="2525" t="s">
        <v>1823</v>
      </c>
      <c r="I12" s="2530" t="s">
        <v>2453</v>
      </c>
      <c r="J12" s="783">
        <f ca="1">ROUND(IF(M12="押一",J8/12*M13,IF(M12="押二",J8/12*2*M13,IF(M12="押三",J8/12*3*M13,J13*M13))),0)</f>
        <v>0</v>
      </c>
      <c r="K12" s="2465" t="s">
        <v>2961</v>
      </c>
      <c r="L12" s="2462" t="s">
        <v>2458</v>
      </c>
      <c r="M12" s="2585"/>
    </row>
    <row r="13" spans="1:25" ht="18" customHeight="1">
      <c r="A13" s="790"/>
      <c r="B13" s="2459" t="s">
        <v>2567</v>
      </c>
      <c r="C13" s="2463"/>
      <c r="D13" s="789"/>
      <c r="E13" s="2462" t="s">
        <v>2450</v>
      </c>
      <c r="F13" s="796">
        <f ca="1">'数据-取费表'!B39</f>
        <v>1.4999999999999999E-2</v>
      </c>
      <c r="G13" s="1578"/>
      <c r="H13" s="2526"/>
      <c r="I13" s="2459" t="s">
        <v>2567</v>
      </c>
      <c r="J13" s="2463"/>
      <c r="K13" s="2527"/>
      <c r="L13" s="2462" t="s">
        <v>2450</v>
      </c>
      <c r="M13" s="2456">
        <f ca="1">'数据-取费表'!B39</f>
        <v>1.4999999999999999E-2</v>
      </c>
    </row>
    <row r="14" spans="1:25" ht="18" customHeight="1" thickBot="1">
      <c r="A14" s="2501" t="s">
        <v>2461</v>
      </c>
      <c r="B14" s="2502" t="s">
        <v>2454</v>
      </c>
      <c r="C14" s="2503"/>
      <c r="D14" s="2504"/>
      <c r="E14" s="2505"/>
      <c r="F14" s="2506"/>
      <c r="G14" s="1578"/>
      <c r="H14" s="2515" t="s">
        <v>2461</v>
      </c>
      <c r="I14" s="2528" t="s">
        <v>2454</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2064</v>
      </c>
      <c r="I16" s="2216" t="s">
        <v>2818</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2065</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2064</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单利计息。建造成本、管理费用、销售费用产生的利息。</v>
      </c>
      <c r="E24" s="1967"/>
      <c r="F24" s="56"/>
      <c r="G24" s="1578"/>
      <c r="H24" s="1816" t="s">
        <v>2065</v>
      </c>
      <c r="I24" s="784" t="s">
        <v>676</v>
      </c>
      <c r="J24" s="53">
        <f ca="1">ROUND(J16*M24,0)</f>
        <v>0</v>
      </c>
      <c r="K24" s="1962" t="s">
        <v>677</v>
      </c>
      <c r="L24" s="784" t="s">
        <v>649</v>
      </c>
      <c r="M24" s="817">
        <f ca="1">INDIRECT("'数据-取费表'!Ak"&amp;$G$1)</f>
        <v>0</v>
      </c>
    </row>
    <row r="25" spans="1:25" s="2049" customFormat="1" ht="18" customHeight="1">
      <c r="A25" s="803" t="s">
        <v>1873</v>
      </c>
      <c r="B25" s="784" t="s">
        <v>2431</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2815</v>
      </c>
      <c r="J27" s="799">
        <f ca="1">J7-J18</f>
        <v>0</v>
      </c>
      <c r="K27" s="1964" t="s">
        <v>700</v>
      </c>
      <c r="L27" s="1966"/>
      <c r="M27" s="820"/>
    </row>
    <row r="28" spans="1:25" ht="18" customHeight="1">
      <c r="A28" s="803" t="s">
        <v>1873</v>
      </c>
      <c r="B28" s="784" t="s">
        <v>2432</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f ca="1">ROUND((C21+C22+C25+C28)/(1-F23-C26-C29-C30),0)</f>
        <v>0</v>
      </c>
      <c r="D31" s="2509"/>
      <c r="E31" s="2510"/>
      <c r="F31" s="2511"/>
      <c r="G31" s="1579"/>
      <c r="H31" s="823" t="s">
        <v>1870</v>
      </c>
      <c r="I31" s="2964"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10</v>
      </c>
      <c r="G36" s="2047"/>
      <c r="H36" s="2050"/>
      <c r="I36" s="3485"/>
      <c r="J36" s="2064"/>
      <c r="K36" s="2065"/>
      <c r="L36" s="2064"/>
      <c r="M36" s="2064"/>
    </row>
    <row r="37" spans="1:18" ht="18" customHeight="1">
      <c r="A37" s="815"/>
      <c r="B37" s="793"/>
      <c r="C37" s="69"/>
      <c r="D37" s="816"/>
      <c r="E37" s="784" t="s">
        <v>674</v>
      </c>
      <c r="F37" s="785">
        <f ca="1">INDIRECT("'数据-取费表'!r"&amp;$G$1)</f>
        <v>0</v>
      </c>
      <c r="G37" s="2047"/>
      <c r="H37" s="2050"/>
      <c r="I37" s="3485"/>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7" t="s">
        <v>2949</v>
      </c>
      <c r="F43" s="3068">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69" t="s">
        <v>2952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2337</v>
      </c>
      <c r="J47" s="2343"/>
      <c r="K47" s="2344"/>
      <c r="L47" s="3101" t="str">
        <f ca="1">IF(M48="住宅",0,IF(L49&gt;J52,L61,J61))</f>
        <v>0</v>
      </c>
      <c r="O47" s="2358" t="s">
        <v>2404</v>
      </c>
      <c r="P47" s="1578"/>
      <c r="Q47" s="1589"/>
      <c r="R47" s="1578"/>
    </row>
    <row r="48" spans="1:18" s="2044" customFormat="1" ht="18" customHeight="1" thickBot="1">
      <c r="A48" s="2069"/>
      <c r="C48" s="2072"/>
      <c r="D48" s="2073"/>
      <c r="E48" s="2073"/>
      <c r="F48" s="2074"/>
      <c r="G48" s="2075"/>
      <c r="I48" s="3092" t="s">
        <v>2338</v>
      </c>
      <c r="J48" s="2345"/>
      <c r="K48" s="3098" t="s">
        <v>2343</v>
      </c>
      <c r="L48" s="3102">
        <f ca="1">INDIRECT("'数据-取费表'!d"&amp;$G$1)</f>
        <v>0</v>
      </c>
      <c r="M48" s="3066" t="str">
        <f>IF(ISNUMBER(FIND("住宅",C1)),"住宅","非住宅")</f>
        <v>非住宅</v>
      </c>
      <c r="O48" s="2359" t="s">
        <v>2369</v>
      </c>
      <c r="P48" s="2360" t="s">
        <v>2370</v>
      </c>
      <c r="Q48" s="2361" t="s">
        <v>2371</v>
      </c>
      <c r="R48" s="2360" t="s">
        <v>2372</v>
      </c>
    </row>
    <row r="49" spans="1:18" s="2044" customFormat="1" ht="18" customHeight="1" thickBot="1">
      <c r="A49" s="2069"/>
      <c r="D49" s="2076"/>
      <c r="E49" s="2077"/>
      <c r="F49" s="2074"/>
      <c r="G49" s="2075"/>
      <c r="H49" s="2078"/>
      <c r="I49" s="3071" t="s">
        <v>2339</v>
      </c>
      <c r="J49" s="2346"/>
      <c r="K49" s="3099" t="s">
        <v>2345</v>
      </c>
      <c r="L49" s="1893">
        <f ca="1">INDIRECT("'数据-取费表'!f"&amp;$G$1)</f>
        <v>0</v>
      </c>
      <c r="O49" s="2362" t="s">
        <v>2373</v>
      </c>
      <c r="P49" s="2363" t="s">
        <v>2399</v>
      </c>
      <c r="Q49" s="2364">
        <f ca="1">C41+J31</f>
        <v>0</v>
      </c>
      <c r="R49" s="2363" t="s">
        <v>2374</v>
      </c>
    </row>
    <row r="50" spans="1:18" s="2044" customFormat="1" ht="18" customHeight="1" thickBot="1">
      <c r="A50" s="2069"/>
      <c r="D50" s="2079"/>
      <c r="E50" s="2079"/>
      <c r="F50" s="2073"/>
      <c r="G50" s="2080"/>
      <c r="H50" s="2078"/>
      <c r="I50" s="3071" t="s">
        <v>2340</v>
      </c>
      <c r="J50" s="2347"/>
      <c r="K50" s="3100" t="s">
        <v>2346</v>
      </c>
      <c r="L50" s="2348"/>
      <c r="O50" s="2362" t="s">
        <v>2375</v>
      </c>
      <c r="P50" s="2363" t="s">
        <v>2400</v>
      </c>
      <c r="Q50" s="2364" t="str">
        <f ca="1">J61</f>
        <v>0</v>
      </c>
      <c r="R50" s="2363" t="s">
        <v>2376</v>
      </c>
    </row>
    <row r="51" spans="1:18" s="2044" customFormat="1" ht="18" customHeight="1" thickBot="1">
      <c r="A51" s="2081"/>
      <c r="D51" s="2079"/>
      <c r="E51" s="2079"/>
      <c r="F51" s="2070"/>
      <c r="H51" s="2078"/>
      <c r="I51" s="3071" t="s">
        <v>2341</v>
      </c>
      <c r="J51" s="3096">
        <f>SUMPRODUCT((I64:I66=J48)*(J63:L63=J49)*(J64:L66))</f>
        <v>0</v>
      </c>
      <c r="K51" s="3100" t="s">
        <v>2347</v>
      </c>
      <c r="L51" s="2348"/>
      <c r="O51" s="2365" t="s">
        <v>2377</v>
      </c>
      <c r="P51" s="2363" t="s">
        <v>2401</v>
      </c>
      <c r="Q51" s="2364">
        <f ca="1">C31</f>
        <v>0</v>
      </c>
      <c r="R51" s="2363" t="s">
        <v>2374</v>
      </c>
    </row>
    <row r="52" spans="1:18" s="2044" customFormat="1" ht="18" customHeight="1" thickBot="1">
      <c r="A52" s="2081"/>
      <c r="F52" s="2070"/>
      <c r="I52" s="3093" t="s">
        <v>2342</v>
      </c>
      <c r="J52" s="3097">
        <f>IF(J50="",J51,J50+J51-YEAR('数据-取费表'!B3))</f>
        <v>0</v>
      </c>
      <c r="K52" s="3071" t="s">
        <v>2348</v>
      </c>
      <c r="L52" s="3103">
        <f ca="1">C45</f>
        <v>0</v>
      </c>
      <c r="O52" s="2365" t="s">
        <v>2378</v>
      </c>
      <c r="P52" s="2363" t="s">
        <v>2379</v>
      </c>
      <c r="Q52" s="2366" t="e">
        <f ca="1">J59</f>
        <v>#VALUE!</v>
      </c>
      <c r="R52" s="2367"/>
    </row>
    <row r="53" spans="1:18" s="2044" customFormat="1" ht="18" customHeight="1" thickBot="1">
      <c r="A53" s="2081"/>
      <c r="F53" s="2070"/>
      <c r="I53" s="3094" t="s">
        <v>2415</v>
      </c>
      <c r="J53" s="2349"/>
      <c r="K53" s="3094" t="s">
        <v>2414</v>
      </c>
      <c r="L53" s="2349"/>
      <c r="O53" s="2365" t="s">
        <v>2380</v>
      </c>
      <c r="P53" s="2363" t="s">
        <v>2381</v>
      </c>
      <c r="Q53" s="2366">
        <f>J53</f>
        <v>0</v>
      </c>
      <c r="R53" s="2367"/>
    </row>
    <row r="54" spans="1:18" s="2044" customFormat="1" ht="29.25" thickBot="1">
      <c r="A54" s="2081"/>
      <c r="I54" s="3095" t="s">
        <v>2965</v>
      </c>
      <c r="J54" s="3174">
        <f ca="1">IF(M48="住宅",MAX(J52,L49-'数据-取费表'!B20),MIN(J52,L49-'数据-取费表'!B20))</f>
        <v>-1</v>
      </c>
      <c r="K54" s="3490"/>
      <c r="L54" s="3491"/>
      <c r="O54" s="2365" t="s">
        <v>2382</v>
      </c>
      <c r="P54" s="2363" t="s">
        <v>2383</v>
      </c>
      <c r="Q54" s="2364">
        <f ca="1">J54</f>
        <v>-1</v>
      </c>
      <c r="R54" s="2363" t="s">
        <v>2384</v>
      </c>
    </row>
    <row r="55" spans="1:18" s="2044" customFormat="1" ht="18" customHeight="1" thickBot="1">
      <c r="A55" s="2081"/>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2" t="s">
        <v>2385</v>
      </c>
      <c r="P55" s="2363" t="s">
        <v>2402</v>
      </c>
      <c r="Q55" s="2364">
        <f ca="1">Q49+Q50</f>
        <v>0</v>
      </c>
      <c r="R55" s="2367" t="s">
        <v>2386</v>
      </c>
    </row>
    <row r="56" spans="1:18" s="2044" customFormat="1" ht="16.5" thickBot="1">
      <c r="A56" s="2081"/>
      <c r="B56" s="2082"/>
      <c r="C56" s="2082"/>
      <c r="I56" s="3106" t="s">
        <v>2349</v>
      </c>
      <c r="J56" s="3046" t="e">
        <f ca="1">ROUND(IF(J48="钢混",J58/J51,1-(1-2%)*(J51-J58)/J51),3)</f>
        <v>#VALUE!</v>
      </c>
      <c r="K56" s="3107" t="s">
        <v>2350</v>
      </c>
      <c r="L56" s="2350"/>
      <c r="O56" s="2368" t="s">
        <v>2405</v>
      </c>
      <c r="P56" s="1578"/>
      <c r="Q56" s="1589"/>
      <c r="R56" s="1578"/>
    </row>
    <row r="57" spans="1:18" s="2044" customFormat="1" ht="43.5" thickBot="1">
      <c r="A57" s="2081"/>
      <c r="B57" s="2082"/>
      <c r="C57" s="2082"/>
      <c r="I57" s="3108" t="s">
        <v>2351</v>
      </c>
      <c r="J57" s="3118" t="s">
        <v>1676</v>
      </c>
      <c r="K57" s="3071" t="s">
        <v>2356</v>
      </c>
      <c r="L57" s="1893">
        <f ca="1">IF(L49&lt;J52,"——",L49-J52)</f>
        <v>0</v>
      </c>
      <c r="O57" s="2359" t="s">
        <v>2369</v>
      </c>
      <c r="P57" s="2360" t="s">
        <v>2370</v>
      </c>
      <c r="Q57" s="2361" t="s">
        <v>2371</v>
      </c>
      <c r="R57" s="2360" t="s">
        <v>2372</v>
      </c>
    </row>
    <row r="58" spans="1:18" s="2044" customFormat="1" ht="29.25" thickBot="1">
      <c r="A58" s="2081"/>
      <c r="B58" s="2082"/>
      <c r="C58" s="2082"/>
      <c r="I58" s="3109" t="s">
        <v>2352</v>
      </c>
      <c r="J58" s="3110" t="str">
        <f ca="1">IF(OR(M48="住宅",J52&lt;L49,J57="是"),"——",J52-L49)</f>
        <v>——</v>
      </c>
      <c r="K58" s="3071" t="s">
        <v>2357</v>
      </c>
      <c r="L58" s="1893">
        <f ca="1">IF(L49&lt;J52,"——",IF(L56="比较法",L50,IF(L56="基准地价",L51,L52)))</f>
        <v>0</v>
      </c>
      <c r="O58" s="2362" t="s">
        <v>2373</v>
      </c>
      <c r="P58" s="2363" t="s">
        <v>2399</v>
      </c>
      <c r="Q58" s="2364">
        <f ca="1">C41+J31</f>
        <v>0</v>
      </c>
      <c r="R58" s="2363" t="s">
        <v>2374</v>
      </c>
    </row>
    <row r="59" spans="1:18" s="2044" customFormat="1" ht="29.25" thickBot="1">
      <c r="A59" s="2081"/>
      <c r="B59" s="2082"/>
      <c r="C59" s="2082"/>
      <c r="I59" s="3109" t="s">
        <v>2353</v>
      </c>
      <c r="J59" s="3047" t="e">
        <f ca="1">IF(J56&lt;0.4,0.4,J56)</f>
        <v>#VALUE!</v>
      </c>
      <c r="K59" s="3071" t="s">
        <v>2358</v>
      </c>
      <c r="L59" s="1893">
        <f ca="1">IF(ISERROR(POWER(1+L53,L48-L49)*(POWER(1+L53,L49)-1)/(POWER(1+L53,L48)-1)),0,POWER(1+L53,L48-L49)*(POWER(1+L53,L49)-1)/(POWER(1+L53,L48)-1))</f>
        <v>0</v>
      </c>
      <c r="O59" s="2362" t="s">
        <v>2375</v>
      </c>
      <c r="P59" s="2363" t="s">
        <v>2406</v>
      </c>
      <c r="Q59" s="2364" t="e">
        <f ca="1">L61</f>
        <v>#DIV/0!</v>
      </c>
      <c r="R59" s="2367" t="s">
        <v>2408</v>
      </c>
    </row>
    <row r="60" spans="1:18" s="2044" customFormat="1" ht="29.25" thickBot="1">
      <c r="A60" s="2081"/>
      <c r="B60" s="2082"/>
      <c r="C60" s="2082"/>
      <c r="I60" s="3109" t="s">
        <v>2354</v>
      </c>
      <c r="J60" s="3110" t="str">
        <f ca="1">IF(OR(M48="住宅",J52&lt;L49,J57="是"),"——",ROUND(C30*J59,0))</f>
        <v>——</v>
      </c>
      <c r="K60" s="3071" t="s">
        <v>2359</v>
      </c>
      <c r="L60" s="1893">
        <f ca="1">IF(ISERROR(POWER(1+L53,L48-J52)*(POWER(1+L53,J52)-1)/(POWER(1+L53,L48)-1)),0,POWER(1+L53,L48-J52)*(POWER(1+L53,J52)-1)/(POWER(1+L53,L48)-1))</f>
        <v>0</v>
      </c>
      <c r="O60" s="2365" t="s">
        <v>2377</v>
      </c>
      <c r="P60" s="2363" t="s">
        <v>2407</v>
      </c>
      <c r="Q60" s="2364">
        <f>IF(L56="比较法",L50,IF(L56="基准地价",L51,0))</f>
        <v>0</v>
      </c>
      <c r="R60" s="2363" t="s">
        <v>2374</v>
      </c>
    </row>
    <row r="61" spans="1:18" s="2044" customFormat="1" ht="15.75" thickBot="1">
      <c r="A61" s="2081"/>
      <c r="B61" s="2082"/>
      <c r="C61" s="2082"/>
      <c r="I61" s="3111" t="s">
        <v>2355</v>
      </c>
      <c r="J61" s="3112" t="str">
        <f ca="1">IF(OR(M48="住宅",J52&lt;L49,J57="是"),"0",ROUND(J60/(1+J53)^J54,0))</f>
        <v>0</v>
      </c>
      <c r="K61" s="3113" t="s">
        <v>2360</v>
      </c>
      <c r="L61" s="3112" t="e">
        <f ca="1">IF(OR(M48="住宅",L49&lt;J52),0,ROUND(L58*(L59/L60-1),0))</f>
        <v>#DIV/0!</v>
      </c>
      <c r="O61" s="2365" t="s">
        <v>2378</v>
      </c>
      <c r="P61" s="2363" t="s">
        <v>2387</v>
      </c>
      <c r="Q61" s="2366">
        <f>L53</f>
        <v>0</v>
      </c>
      <c r="R61" s="2367"/>
    </row>
    <row r="62" spans="1:18" s="2044" customFormat="1" ht="20.25" thickBot="1">
      <c r="A62" s="2081"/>
      <c r="B62" s="2082"/>
      <c r="C62" s="2082"/>
      <c r="K62" s="2071"/>
      <c r="O62" s="2365" t="s">
        <v>2380</v>
      </c>
      <c r="P62" s="2363" t="s">
        <v>2388</v>
      </c>
      <c r="Q62" s="2364">
        <f ca="1">L59</f>
        <v>0</v>
      </c>
      <c r="R62" s="2367" t="s">
        <v>2389</v>
      </c>
    </row>
    <row r="63" spans="1:18" s="2044" customFormat="1" ht="20.25" thickBot="1">
      <c r="A63" s="2081"/>
      <c r="B63" s="2082"/>
      <c r="C63" s="2082"/>
      <c r="I63" s="3114" t="s">
        <v>2361</v>
      </c>
      <c r="J63" s="3115" t="s">
        <v>2362</v>
      </c>
      <c r="K63" s="3115" t="s">
        <v>2363</v>
      </c>
      <c r="L63" s="3115" t="s">
        <v>2344</v>
      </c>
      <c r="M63" s="3116" t="s">
        <v>2930</v>
      </c>
      <c r="O63" s="2365" t="s">
        <v>2382</v>
      </c>
      <c r="P63" s="2363" t="s">
        <v>2390</v>
      </c>
      <c r="Q63" s="2364">
        <f ca="1">L60</f>
        <v>0</v>
      </c>
      <c r="R63" s="2367" t="s">
        <v>2391</v>
      </c>
    </row>
    <row r="64" spans="1:18" s="2044" customFormat="1" ht="15.75" thickBot="1">
      <c r="A64" s="2081"/>
      <c r="B64" s="2082"/>
      <c r="C64" s="2082"/>
      <c r="I64" s="3114" t="s">
        <v>2364</v>
      </c>
      <c r="J64" s="3115">
        <v>70</v>
      </c>
      <c r="K64" s="3115">
        <v>50</v>
      </c>
      <c r="L64" s="3115">
        <v>80</v>
      </c>
      <c r="M64" s="3117">
        <v>0.02</v>
      </c>
      <c r="O64" s="2362" t="s">
        <v>2385</v>
      </c>
      <c r="P64" s="2363" t="s">
        <v>2402</v>
      </c>
      <c r="Q64" s="2364" t="e">
        <f ca="1">Q58+Q59</f>
        <v>#DIV/0!</v>
      </c>
      <c r="R64" s="2367" t="s">
        <v>2386</v>
      </c>
    </row>
    <row r="65" spans="1:18" s="2044" customFormat="1" ht="16.5" thickBot="1">
      <c r="A65" s="2081"/>
      <c r="B65" s="2082"/>
      <c r="C65" s="2082"/>
      <c r="I65" s="3114" t="s">
        <v>2365</v>
      </c>
      <c r="J65" s="3115">
        <v>50</v>
      </c>
      <c r="K65" s="3115">
        <v>35</v>
      </c>
      <c r="L65" s="3115">
        <v>60</v>
      </c>
      <c r="M65" s="846">
        <v>0</v>
      </c>
      <c r="O65" s="2368" t="s">
        <v>2409</v>
      </c>
      <c r="P65" s="1578"/>
      <c r="Q65" s="1589"/>
      <c r="R65" s="1578"/>
    </row>
    <row r="66" spans="1:18" s="2044" customFormat="1" ht="15.75" thickBot="1">
      <c r="A66" s="2081"/>
      <c r="B66" s="2082"/>
      <c r="C66" s="2082"/>
      <c r="I66" s="3114" t="s">
        <v>2366</v>
      </c>
      <c r="J66" s="3115">
        <v>40</v>
      </c>
      <c r="K66" s="3115">
        <v>30</v>
      </c>
      <c r="L66" s="3115">
        <v>50</v>
      </c>
      <c r="M66" s="3117">
        <v>0.02</v>
      </c>
      <c r="O66" s="2359" t="s">
        <v>2369</v>
      </c>
      <c r="P66" s="2360" t="s">
        <v>2370</v>
      </c>
      <c r="Q66" s="2361" t="s">
        <v>2371</v>
      </c>
      <c r="R66" s="2360" t="s">
        <v>2372</v>
      </c>
    </row>
    <row r="67" spans="1:18" s="2044" customFormat="1" ht="15.75" thickBot="1">
      <c r="A67" s="2081"/>
      <c r="B67" s="2082"/>
      <c r="C67" s="2082"/>
      <c r="K67" s="2071"/>
      <c r="O67" s="2362" t="s">
        <v>2373</v>
      </c>
      <c r="P67" s="2363" t="s">
        <v>2399</v>
      </c>
      <c r="Q67" s="2364">
        <f ca="1">C41+J31</f>
        <v>0</v>
      </c>
      <c r="R67" s="2363" t="s">
        <v>2374</v>
      </c>
    </row>
    <row r="68" spans="1:18" s="2044" customFormat="1" ht="20.25" thickBot="1">
      <c r="A68" s="2081"/>
      <c r="B68" s="2082"/>
      <c r="C68" s="2082"/>
      <c r="K68" s="2071"/>
      <c r="O68" s="2362" t="s">
        <v>2375</v>
      </c>
      <c r="P68" s="2363" t="s">
        <v>2406</v>
      </c>
      <c r="Q68" s="2364" t="e">
        <f ca="1">L61</f>
        <v>#DIV/0!</v>
      </c>
      <c r="R68" s="2367" t="s">
        <v>2408</v>
      </c>
    </row>
    <row r="69" spans="1:18" s="2044" customFormat="1" ht="21.75" thickBot="1">
      <c r="A69" s="2081"/>
      <c r="B69" s="2082"/>
      <c r="C69" s="2082"/>
      <c r="K69" s="2071"/>
      <c r="O69" s="2365" t="s">
        <v>2377</v>
      </c>
      <c r="P69" s="2363" t="s">
        <v>2407</v>
      </c>
      <c r="Q69" s="2369">
        <f ca="1">L52</f>
        <v>0</v>
      </c>
      <c r="R69" s="2370" t="s">
        <v>2410</v>
      </c>
    </row>
    <row r="70" spans="1:18" s="2044" customFormat="1" ht="20.25" thickBot="1">
      <c r="A70" s="2081"/>
      <c r="B70" s="2082"/>
      <c r="C70" s="2082"/>
      <c r="K70" s="2071"/>
      <c r="O70" s="2365" t="s">
        <v>2378</v>
      </c>
      <c r="P70" s="2371" t="s">
        <v>2392</v>
      </c>
      <c r="Q70" s="2364">
        <f ca="1">ROUND(Q71-Q72*Q73,0)</f>
        <v>0</v>
      </c>
      <c r="R70" s="2367"/>
    </row>
    <row r="71" spans="1:18" s="2044" customFormat="1" ht="15.75" thickBot="1">
      <c r="A71" s="2081"/>
      <c r="B71" s="2082"/>
      <c r="C71" s="2082"/>
      <c r="K71" s="2071"/>
      <c r="O71" s="2365" t="s">
        <v>2393</v>
      </c>
      <c r="P71" s="2371" t="s">
        <v>2394</v>
      </c>
      <c r="Q71" s="2364">
        <f ca="1">C42</f>
        <v>0</v>
      </c>
      <c r="R71" s="2363" t="s">
        <v>2374</v>
      </c>
    </row>
    <row r="72" spans="1:18" s="2044" customFormat="1" ht="15.75" thickBot="1">
      <c r="A72" s="2081"/>
      <c r="B72" s="2082"/>
      <c r="C72" s="2082"/>
      <c r="K72" s="2071"/>
      <c r="O72" s="2365" t="s">
        <v>2395</v>
      </c>
      <c r="P72" s="2371" t="s">
        <v>2396</v>
      </c>
      <c r="Q72" s="2364">
        <f ca="1">C15</f>
        <v>0</v>
      </c>
      <c r="R72" s="2363" t="s">
        <v>2374</v>
      </c>
    </row>
    <row r="73" spans="1:18" s="2044" customFormat="1" ht="15.75" thickBot="1">
      <c r="A73" s="2081"/>
      <c r="B73" s="2082"/>
      <c r="C73" s="2082"/>
      <c r="K73" s="2071"/>
      <c r="O73" s="2365" t="s">
        <v>2397</v>
      </c>
      <c r="P73" s="2371" t="s">
        <v>2398</v>
      </c>
      <c r="Q73" s="2366">
        <f ca="1">F43</f>
        <v>0</v>
      </c>
      <c r="R73" s="2367"/>
    </row>
    <row r="74" spans="1:18" s="2044" customFormat="1" ht="15.75" thickBot="1">
      <c r="A74" s="2081"/>
      <c r="B74" s="2082"/>
      <c r="C74" s="2082"/>
      <c r="K74" s="2071"/>
      <c r="O74" s="2365" t="s">
        <v>2380</v>
      </c>
      <c r="P74" s="2363" t="s">
        <v>2387</v>
      </c>
      <c r="Q74" s="2366">
        <f>L53</f>
        <v>0</v>
      </c>
      <c r="R74" s="2367"/>
    </row>
    <row r="75" spans="1:18" s="2044" customFormat="1" ht="20.25" thickBot="1">
      <c r="A75" s="2081"/>
      <c r="B75" s="2082"/>
      <c r="C75" s="2082"/>
      <c r="K75" s="2071"/>
      <c r="O75" s="2365" t="s">
        <v>2382</v>
      </c>
      <c r="P75" s="2363" t="s">
        <v>2388</v>
      </c>
      <c r="Q75" s="2364">
        <f ca="1">L59</f>
        <v>0</v>
      </c>
      <c r="R75" s="2367" t="s">
        <v>2389</v>
      </c>
    </row>
    <row r="76" spans="1:18" s="2044" customFormat="1" ht="20.25" thickBot="1">
      <c r="A76" s="2081"/>
      <c r="B76" s="2082"/>
      <c r="C76" s="2082"/>
      <c r="K76" s="2071"/>
      <c r="O76" s="2365" t="s">
        <v>2411</v>
      </c>
      <c r="P76" s="2363" t="s">
        <v>2390</v>
      </c>
      <c r="Q76" s="2364">
        <f ca="1">L60</f>
        <v>0</v>
      </c>
      <c r="R76" s="2367" t="s">
        <v>2391</v>
      </c>
    </row>
    <row r="77" spans="1:18" s="2044" customFormat="1" ht="15.75" thickBot="1">
      <c r="A77" s="2081"/>
      <c r="B77" s="2082"/>
      <c r="C77" s="2082"/>
      <c r="K77" s="2071"/>
      <c r="O77" s="2362" t="s">
        <v>2385</v>
      </c>
      <c r="P77" s="2363" t="s">
        <v>2402</v>
      </c>
      <c r="Q77" s="2364" t="e">
        <f ca="1">Q67+Q68</f>
        <v>#DIV/0!</v>
      </c>
      <c r="R77" s="2367" t="s">
        <v>2386</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K53" sqref="K53:L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c r="D1" s="3070" t="s">
        <v>950</v>
      </c>
      <c r="E1" s="2351" t="s">
        <v>2368</v>
      </c>
      <c r="F1" s="2352">
        <f ca="1">J53</f>
        <v>0</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#DIV/0!</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2452</v>
      </c>
      <c r="C5" s="55">
        <f ca="1">C6+C10+C12</f>
        <v>0</v>
      </c>
      <c r="D5" s="2460" t="s">
        <v>2455</v>
      </c>
      <c r="E5" s="2454"/>
      <c r="F5" s="2455"/>
      <c r="G5" s="1578"/>
      <c r="H5" s="781">
        <v>1</v>
      </c>
      <c r="I5" s="782" t="s">
        <v>2452</v>
      </c>
      <c r="J5" s="55">
        <f ca="1">J6+J10+J12</f>
        <v>0</v>
      </c>
      <c r="K5" s="2460" t="s">
        <v>2455</v>
      </c>
      <c r="L5" s="2454"/>
      <c r="M5" s="2455"/>
    </row>
    <row r="6" spans="1:33" ht="18" customHeight="1">
      <c r="A6" s="1815" t="s">
        <v>1822</v>
      </c>
      <c r="B6" s="3486" t="s">
        <v>2457</v>
      </c>
      <c r="C6" s="783">
        <f ca="1">ROUND(F6*F8*F7*(1-F9)/10000,0)</f>
        <v>0</v>
      </c>
      <c r="D6" s="2461" t="s">
        <v>2456</v>
      </c>
      <c r="E6" s="784" t="s">
        <v>1736</v>
      </c>
      <c r="F6" s="785">
        <f ca="1">INDIRECT("'数据-取费表'!u"&amp;$G$1)</f>
        <v>0</v>
      </c>
      <c r="G6" s="1578"/>
      <c r="H6" s="2468" t="s">
        <v>2462</v>
      </c>
      <c r="I6" s="3486" t="s">
        <v>2457</v>
      </c>
      <c r="J6" s="783">
        <f ca="1">ROUND(M6*M8*M7*(1-M9)/10000,0)</f>
        <v>0</v>
      </c>
      <c r="K6" s="341" t="s">
        <v>1735</v>
      </c>
      <c r="L6" s="784" t="s">
        <v>1736</v>
      </c>
      <c r="M6" s="785">
        <f ca="1">INDIRECT("'数据-取费表'!z"&amp;$G$1)</f>
        <v>0</v>
      </c>
    </row>
    <row r="7" spans="1:33" ht="18" customHeight="1">
      <c r="A7" s="2464"/>
      <c r="B7" s="3487"/>
      <c r="C7" s="788"/>
      <c r="D7" s="789"/>
      <c r="E7" s="784" t="s">
        <v>1737</v>
      </c>
      <c r="F7" s="785">
        <f ca="1">IF(INDIRECT("'数据-取费表'!ah"&amp;$G$1)="",INDIRECT("'数据-取费表'!k"&amp;$G$1),INDIRECT("'数据-取费表'!ah"&amp;$G$1))</f>
        <v>0</v>
      </c>
      <c r="G7" s="1578"/>
      <c r="H7" s="2453"/>
      <c r="I7" s="3487"/>
      <c r="J7" s="788"/>
      <c r="K7" s="789"/>
      <c r="L7" s="784" t="s">
        <v>1737</v>
      </c>
      <c r="M7" s="785">
        <f ca="1">F7</f>
        <v>0</v>
      </c>
    </row>
    <row r="8" spans="1:33" ht="18" customHeight="1">
      <c r="A8" s="2457"/>
      <c r="B8" s="3488"/>
      <c r="C8" s="788"/>
      <c r="D8" s="789"/>
      <c r="E8" s="784" t="s">
        <v>1738</v>
      </c>
      <c r="F8" s="785">
        <f ca="1">INDIRECT("'数据-取费表'!ai"&amp;$G$1)</f>
        <v>0</v>
      </c>
      <c r="G8" s="1578"/>
      <c r="H8" s="2453"/>
      <c r="I8" s="3488"/>
      <c r="J8" s="788"/>
      <c r="K8" s="789"/>
      <c r="L8" s="784" t="s">
        <v>1738</v>
      </c>
      <c r="M8" s="785">
        <f ca="1">INDIRECT("'数据-取费表'!ai"&amp;$G$1)</f>
        <v>0</v>
      </c>
    </row>
    <row r="9" spans="1:33" ht="18" customHeight="1">
      <c r="A9" s="786"/>
      <c r="B9" s="3489"/>
      <c r="C9" s="788"/>
      <c r="D9" s="789"/>
      <c r="E9" s="784" t="s">
        <v>1739</v>
      </c>
      <c r="F9" s="794">
        <f ca="1">INDIRECT("'数据-取费表'!w"&amp;$G$1)</f>
        <v>0</v>
      </c>
      <c r="G9" s="1578"/>
      <c r="H9" s="2469"/>
      <c r="I9" s="3488"/>
      <c r="J9" s="788"/>
      <c r="K9" s="789"/>
      <c r="L9" s="795" t="s">
        <v>1739</v>
      </c>
      <c r="M9" s="796">
        <f ca="1">INDIRECT("'数据-取费表'!ab"&amp;$G$1)</f>
        <v>0</v>
      </c>
    </row>
    <row r="10" spans="1:33" ht="18" customHeight="1">
      <c r="A10" s="1815" t="s">
        <v>2460</v>
      </c>
      <c r="B10" s="2458" t="s">
        <v>2453</v>
      </c>
      <c r="C10" s="799">
        <f ca="1">ROUND(IF(F10="押一",C6/12*F11,IF(F10="押二",C6/12*2*F11,IF(F10="押三",C6/12*3*F11,C11*F11))),0)</f>
        <v>0</v>
      </c>
      <c r="D10" s="2465" t="s">
        <v>2961</v>
      </c>
      <c r="E10" s="2462" t="s">
        <v>2458</v>
      </c>
      <c r="F10" s="2585"/>
      <c r="G10" s="1578"/>
      <c r="H10" s="2525" t="s">
        <v>2463</v>
      </c>
      <c r="I10" s="2530" t="s">
        <v>2453</v>
      </c>
      <c r="J10" s="783">
        <f ca="1">ROUND(IF(M10="押一",J6/12*M11,IF(M10="押二",J6/12*2*M11,IF(M10="押三",J6/12*3*M11,J11*M11))),0)</f>
        <v>0</v>
      </c>
      <c r="K10" s="2465" t="s">
        <v>2961</v>
      </c>
      <c r="L10" s="2462" t="s">
        <v>2458</v>
      </c>
      <c r="M10" s="2585"/>
    </row>
    <row r="11" spans="1:33" ht="18" customHeight="1">
      <c r="A11" s="790"/>
      <c r="B11" s="2459" t="s">
        <v>2567</v>
      </c>
      <c r="C11" s="2463"/>
      <c r="D11" s="789"/>
      <c r="E11" s="2462" t="s">
        <v>2459</v>
      </c>
      <c r="F11" s="796">
        <f ca="1">'数据-取费表'!B39</f>
        <v>1.4999999999999999E-2</v>
      </c>
      <c r="G11" s="1578"/>
      <c r="H11" s="2526"/>
      <c r="I11" s="2459" t="s">
        <v>2567</v>
      </c>
      <c r="J11" s="2463"/>
      <c r="K11" s="2527"/>
      <c r="L11" s="2462" t="s">
        <v>2459</v>
      </c>
      <c r="M11" s="2456">
        <f ca="1">'数据-取费表'!B39</f>
        <v>1.4999999999999999E-2</v>
      </c>
    </row>
    <row r="12" spans="1:33" ht="18" customHeight="1" thickBot="1">
      <c r="A12" s="2501" t="s">
        <v>2461</v>
      </c>
      <c r="B12" s="2502" t="s">
        <v>2454</v>
      </c>
      <c r="C12" s="2503"/>
      <c r="D12" s="2504"/>
      <c r="E12" s="2505"/>
      <c r="F12" s="2506"/>
      <c r="G12" s="1578"/>
      <c r="H12" s="2515" t="s">
        <v>2464</v>
      </c>
      <c r="I12" s="2528" t="s">
        <v>2454</v>
      </c>
      <c r="J12" s="2529"/>
      <c r="K12" s="2504"/>
      <c r="L12" s="2505"/>
      <c r="M12" s="2518"/>
    </row>
    <row r="13" spans="1:33" ht="18" customHeight="1" thickTop="1">
      <c r="A13" s="1814">
        <v>2</v>
      </c>
      <c r="B13" s="1812" t="s">
        <v>1740</v>
      </c>
      <c r="C13" s="792">
        <f ca="1">ROUND(C29*F13,0)</f>
        <v>0</v>
      </c>
      <c r="D13" s="1819" t="s">
        <v>2291</v>
      </c>
      <c r="E13" s="1819" t="s">
        <v>1742</v>
      </c>
      <c r="F13" s="2500">
        <f ca="1">INDIRECT("'数据-取费表'!y"&amp;$G$1)</f>
        <v>0</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0</v>
      </c>
      <c r="D14" s="1964" t="s">
        <v>1743</v>
      </c>
      <c r="E14" s="1965"/>
      <c r="F14" s="805"/>
      <c r="G14" s="1578"/>
      <c r="H14" s="1634" t="s">
        <v>1828</v>
      </c>
      <c r="I14" s="2216" t="s">
        <v>2819</v>
      </c>
      <c r="J14" s="53">
        <f ca="1">C29</f>
        <v>0</v>
      </c>
      <c r="K14" s="26"/>
      <c r="L14" s="801"/>
      <c r="M14" s="802"/>
    </row>
    <row r="15" spans="1:33" s="2049" customFormat="1" ht="18" customHeight="1" thickBot="1">
      <c r="A15" s="1633" t="s">
        <v>1883</v>
      </c>
      <c r="B15" s="784" t="s">
        <v>647</v>
      </c>
      <c r="C15" s="53">
        <f ca="1">ROUND(C14*F15,0)</f>
        <v>0</v>
      </c>
      <c r="D15" s="806" t="s">
        <v>1744</v>
      </c>
      <c r="E15" s="806" t="s">
        <v>1745</v>
      </c>
      <c r="F15" s="807">
        <f>'数据-取费表'!B33</f>
        <v>0.03</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0</v>
      </c>
      <c r="K16" s="1806" t="s">
        <v>1748</v>
      </c>
      <c r="L16" s="2450"/>
      <c r="M16" s="2455"/>
    </row>
    <row r="17" spans="1:33" s="2049" customFormat="1" ht="18" customHeight="1">
      <c r="A17" s="1633" t="s">
        <v>1885</v>
      </c>
      <c r="B17" s="784" t="s">
        <v>653</v>
      </c>
      <c r="C17" s="53">
        <f ca="1">ROUND(F17*(F43+INDIRECT("'数据-取费表'!S"&amp;$G$1))/10000,0)</f>
        <v>0</v>
      </c>
      <c r="D17" s="784" t="s">
        <v>1749</v>
      </c>
      <c r="E17" s="784" t="s">
        <v>1750</v>
      </c>
      <c r="F17" s="56">
        <f>'数据-取费表'!B35</f>
        <v>200</v>
      </c>
      <c r="G17" s="1579"/>
      <c r="H17" s="1634" t="s">
        <v>1828</v>
      </c>
      <c r="I17" s="784" t="s">
        <v>656</v>
      </c>
      <c r="J17" s="53">
        <f ca="1">ROUND(IF(项目基本情况!B11="自然人",J6*M17/(1+'数据-取费表'!C42),J18+J19+J20),0)</f>
        <v>0</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0</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0</v>
      </c>
      <c r="D19" s="261" t="s">
        <v>1755</v>
      </c>
      <c r="E19" s="1967"/>
      <c r="F19" s="56"/>
      <c r="G19" s="1578"/>
      <c r="H19" s="1633" t="s">
        <v>1883</v>
      </c>
      <c r="I19" s="784" t="s">
        <v>1756</v>
      </c>
      <c r="J19" s="53">
        <f ca="1">IF(K19="按租金收入计税",ROUND(J6*M19/(1+'数据-取费表'!C42),1),ROUND(C29*F33*0.7,1))</f>
        <v>0</v>
      </c>
      <c r="K19" s="811" t="s">
        <v>665</v>
      </c>
      <c r="L19" s="784" t="s">
        <v>1745</v>
      </c>
      <c r="M19" s="809">
        <f>IF(K19="按租金收入计税",'数据-取费表'!B51,'数据-取费表'!B50)</f>
        <v>1.2E-2</v>
      </c>
    </row>
    <row r="20" spans="1:33" s="2049" customFormat="1" ht="18" customHeight="1">
      <c r="A20" s="1634" t="s">
        <v>1887</v>
      </c>
      <c r="B20" s="784" t="s">
        <v>666</v>
      </c>
      <c r="C20" s="53">
        <f ca="1">ROUND(C19*F20,0)</f>
        <v>0</v>
      </c>
      <c r="D20" s="812" t="s">
        <v>1757</v>
      </c>
      <c r="E20" s="784" t="s">
        <v>1745</v>
      </c>
      <c r="F20" s="809">
        <f>'数据-取费表'!B37</f>
        <v>0.02</v>
      </c>
      <c r="G20" s="1579"/>
      <c r="H20" s="1636" t="s">
        <v>1878</v>
      </c>
      <c r="I20" s="341" t="s">
        <v>1758</v>
      </c>
      <c r="J20" s="54">
        <f ca="1">ROUND(M20*M21/10000,0)</f>
        <v>0</v>
      </c>
      <c r="K20" s="814" t="s">
        <v>1759</v>
      </c>
      <c r="L20" s="784" t="s">
        <v>1760</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2292</v>
      </c>
      <c r="E21" s="784" t="s">
        <v>1763</v>
      </c>
      <c r="F21" s="809">
        <f>'数据-取费表'!B38</f>
        <v>0.02</v>
      </c>
      <c r="G21" s="1579"/>
      <c r="H21" s="2470"/>
      <c r="I21" s="793"/>
      <c r="J21" s="69"/>
      <c r="K21" s="816"/>
      <c r="L21" s="784" t="s">
        <v>1764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单利计息。建造成本、管理费用、销售费用产生的利息。</v>
      </c>
      <c r="E22" s="1967"/>
      <c r="F22" s="56"/>
      <c r="G22" s="1578"/>
      <c r="H22" s="1634" t="s">
        <v>1887</v>
      </c>
      <c r="I22" s="784" t="s">
        <v>1766</v>
      </c>
      <c r="J22" s="53">
        <f ca="1">ROUND(J14*M22,0)</f>
        <v>0</v>
      </c>
      <c r="K22" s="2448" t="s">
        <v>1767</v>
      </c>
      <c r="L22" s="784" t="s">
        <v>1745</v>
      </c>
      <c r="M22" s="817">
        <f ca="1">INDIRECT("'数据-取费表'!Ak"&amp;$G$1)</f>
        <v>0</v>
      </c>
    </row>
    <row r="23" spans="1:33" s="2049" customFormat="1" ht="18" customHeight="1">
      <c r="A23" s="1633" t="s">
        <v>1829</v>
      </c>
      <c r="B23" s="784" t="s">
        <v>2529</v>
      </c>
      <c r="C23" s="53">
        <f ca="1">ROUND(IF('数据-取费表'!B22&lt;=1,(C19+C20)*F24*F23/2,(C19+C20)*(POWER((1+F24),F23/2)-1)),0)</f>
        <v>0</v>
      </c>
      <c r="D23" s="2535" t="str">
        <f>IF(F23&lt;=1,"(建造成本+管理费用)×利率×(建设周期÷2)","(建造成本+管理费用)×((1+利率)^(建设周期÷2)-1)")</f>
        <v>(建造成本+管理费用)×利率×(建设周期÷2)</v>
      </c>
      <c r="E23" s="784" t="s">
        <v>1768</v>
      </c>
      <c r="F23" s="640">
        <f>'数据-取费表'!B20</f>
        <v>1</v>
      </c>
      <c r="G23" s="1579"/>
      <c r="H23" s="1634" t="s">
        <v>1888</v>
      </c>
      <c r="I23" s="784" t="s">
        <v>679</v>
      </c>
      <c r="J23" s="53">
        <f ca="1">ROUND(J13*M23,0)</f>
        <v>0</v>
      </c>
      <c r="K23" s="2448" t="s">
        <v>1769</v>
      </c>
      <c r="L23" s="784" t="s">
        <v>1745</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4.0000000000000002E-4</v>
      </c>
      <c r="D24" s="2535" t="str">
        <f>IF(F23&lt;=1,"销售费用×利率×(建设周期÷2)","销售费用×((1+利率)^(建设周期÷2)-1)")</f>
        <v>销售费用×利率×(建设周期÷2)</v>
      </c>
      <c r="E24" s="784" t="s">
        <v>1771</v>
      </c>
      <c r="F24" s="819">
        <f ca="1">'数据-取费表'!B40</f>
        <v>4.3499999999999997E-2</v>
      </c>
      <c r="G24" s="1579"/>
      <c r="H24" s="2515" t="s">
        <v>1889</v>
      </c>
      <c r="I24" s="2510" t="s">
        <v>666</v>
      </c>
      <c r="J24" s="2508">
        <f ca="1">ROUND(J5*M24,0)</f>
        <v>0</v>
      </c>
      <c r="K24" s="2509" t="s">
        <v>1772</v>
      </c>
      <c r="L24" s="2510" t="s">
        <v>1745</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2815</v>
      </c>
      <c r="J25" s="792">
        <f ca="1">J5-J16</f>
        <v>0</v>
      </c>
      <c r="K25" s="2512" t="s">
        <v>1775</v>
      </c>
      <c r="L25" s="2513"/>
      <c r="M25" s="2514"/>
    </row>
    <row r="26" spans="1:33" ht="18" customHeight="1">
      <c r="A26" s="1633" t="s">
        <v>1829</v>
      </c>
      <c r="B26" s="784" t="s">
        <v>2432</v>
      </c>
      <c r="C26" s="53">
        <f ca="1">ROUND((C19+C20)*F26,0)</f>
        <v>0</v>
      </c>
      <c r="D26" s="812" t="s">
        <v>1776</v>
      </c>
      <c r="E26" s="795" t="s">
        <v>1777</v>
      </c>
      <c r="F26" s="794">
        <f ca="1">INDIRECT("'数据-取费表'!q"&amp;$G$1)</f>
        <v>0</v>
      </c>
      <c r="G26" s="1578"/>
      <c r="H26" s="2466" t="s">
        <v>1778</v>
      </c>
      <c r="I26" s="2217" t="s">
        <v>2820</v>
      </c>
      <c r="J26" s="783">
        <f ca="1">IF(J5&lt;&gt;0,ROUND(J25*(1-((1+M28)/(1+M26))^M27)/(M26-M28),0),0)</f>
        <v>0</v>
      </c>
      <c r="K26" s="814" t="s">
        <v>1779</v>
      </c>
      <c r="L26" s="784" t="s">
        <v>2413</v>
      </c>
      <c r="M26" s="794">
        <f ca="1">INDIRECT("'数据-取费表'!I"&amp;$G$1)</f>
        <v>0</v>
      </c>
    </row>
    <row r="27" spans="1:33" ht="18" customHeight="1">
      <c r="A27" s="1633" t="s">
        <v>1830</v>
      </c>
      <c r="B27" s="784" t="s">
        <v>686</v>
      </c>
      <c r="C27" s="53">
        <f ca="1">ROUND(F21*F26,4)</f>
        <v>0</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5.33E-2</v>
      </c>
      <c r="D28" s="812" t="s">
        <v>2293</v>
      </c>
      <c r="E28" s="784" t="s">
        <v>1783</v>
      </c>
      <c r="F28" s="809">
        <f>'数据-取费表'!B41</f>
        <v>5.6000000000000001E-2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2294</v>
      </c>
      <c r="C29" s="2508">
        <f ca="1">ROUND((C19+C20+C23+C26)/(1-F21-C24-C27-C28),0)</f>
        <v>0</v>
      </c>
      <c r="D29" s="2509"/>
      <c r="E29" s="2510"/>
      <c r="F29" s="2511"/>
      <c r="G29" s="1579"/>
      <c r="H29" s="823" t="s">
        <v>1785</v>
      </c>
      <c r="I29" s="824" t="s">
        <v>1786</v>
      </c>
      <c r="J29" s="825">
        <f ca="1">ROUND(J26/(1+F40)^F41,0)</f>
        <v>0</v>
      </c>
      <c r="K29" s="826" t="s">
        <v>1787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0</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0</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0</v>
      </c>
      <c r="D32" s="1962" t="s">
        <v>1793</v>
      </c>
      <c r="E32" s="784" t="s">
        <v>1794</v>
      </c>
      <c r="F32" s="809">
        <f>'数据-取费表'!B41</f>
        <v>5.6000000000000001E-2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0</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10</v>
      </c>
      <c r="G34" s="2047"/>
      <c r="H34" s="2050"/>
      <c r="I34" s="835" t="s">
        <v>1811</v>
      </c>
      <c r="J34" s="836"/>
      <c r="K34" s="2065"/>
      <c r="L34" s="2064"/>
      <c r="M34" s="2064"/>
    </row>
    <row r="35" spans="1:18" ht="18" customHeight="1">
      <c r="A35" s="815"/>
      <c r="B35" s="793"/>
      <c r="C35" s="69"/>
      <c r="D35" s="816"/>
      <c r="E35" s="784" t="s">
        <v>1799</v>
      </c>
      <c r="F35" s="785">
        <f ca="1">INDIRECT("'数据-取费表'!r"&amp;$G$1)</f>
        <v>0</v>
      </c>
      <c r="G35" s="2047"/>
      <c r="H35" s="2050"/>
      <c r="I35" s="837" t="s">
        <v>1812</v>
      </c>
      <c r="J35" s="838">
        <f ca="1">ROUND(C13*J36,0)</f>
        <v>0</v>
      </c>
      <c r="K35" s="2063"/>
      <c r="L35" s="2062"/>
      <c r="M35" s="2062"/>
    </row>
    <row r="36" spans="1:18" ht="18" customHeight="1">
      <c r="A36" s="1634" t="s">
        <v>1887</v>
      </c>
      <c r="B36" s="784" t="s">
        <v>1800</v>
      </c>
      <c r="C36" s="53">
        <f ca="1">ROUND(C29*F36,1)</f>
        <v>0</v>
      </c>
      <c r="D36" s="1962" t="s">
        <v>1801</v>
      </c>
      <c r="E36" s="784" t="s">
        <v>1794</v>
      </c>
      <c r="F36" s="817">
        <f ca="1">INDIRECT("'数据-取费表'!Ak"&amp;$G$1)</f>
        <v>0</v>
      </c>
      <c r="G36" s="2047"/>
      <c r="H36" s="2062"/>
      <c r="I36" s="839" t="s">
        <v>1813</v>
      </c>
      <c r="J36" s="840">
        <f ca="1">INDIRECT("'数据-取费表'!j"&amp;$G$1)</f>
        <v>0</v>
      </c>
      <c r="K36" s="2067"/>
      <c r="L36" s="2062"/>
      <c r="M36" s="2062"/>
    </row>
    <row r="37" spans="1:18" ht="18" customHeight="1">
      <c r="A37" s="1634" t="s">
        <v>1888</v>
      </c>
      <c r="B37" s="784" t="s">
        <v>679</v>
      </c>
      <c r="C37" s="53">
        <f ca="1">ROUND(C13*F37,1)</f>
        <v>0</v>
      </c>
      <c r="D37" s="1962" t="s">
        <v>1802</v>
      </c>
      <c r="E37" s="784" t="s">
        <v>1794</v>
      </c>
      <c r="F37" s="818">
        <f ca="1">INDIRECT("'数据-取费表'!Al"&amp;$G$1)</f>
        <v>0</v>
      </c>
      <c r="G37" s="2047"/>
      <c r="H37" s="2062"/>
      <c r="I37" s="841" t="s">
        <v>1814</v>
      </c>
      <c r="J37" s="842"/>
      <c r="K37" s="2067"/>
      <c r="L37" s="2062"/>
      <c r="M37" s="2062"/>
    </row>
    <row r="38" spans="1:18" ht="18" customHeight="1" thickBot="1">
      <c r="A38" s="2515" t="s">
        <v>1889</v>
      </c>
      <c r="B38" s="2510" t="s">
        <v>666</v>
      </c>
      <c r="C38" s="2508">
        <f ca="1">ROUND(C5*F38,1)</f>
        <v>0</v>
      </c>
      <c r="D38" s="2509" t="s">
        <v>1803</v>
      </c>
      <c r="E38" s="2510" t="s">
        <v>1794</v>
      </c>
      <c r="F38" s="2506">
        <f ca="1">INDIRECT("'数据-取费表'!Am"&amp;$G$1)</f>
        <v>0</v>
      </c>
      <c r="G38" s="2047"/>
      <c r="H38" s="2062"/>
      <c r="I38" s="843" t="s">
        <v>1815</v>
      </c>
      <c r="J38" s="844"/>
      <c r="K38" s="2068"/>
      <c r="L38" s="2062"/>
      <c r="M38" s="2062"/>
    </row>
    <row r="39" spans="1:18" ht="24.6" customHeight="1" thickTop="1">
      <c r="A39" s="1814" t="s">
        <v>1892</v>
      </c>
      <c r="B39" s="2962" t="s">
        <v>2815</v>
      </c>
      <c r="C39" s="792">
        <f ca="1">C5-C30</f>
        <v>0</v>
      </c>
      <c r="D39" s="2512" t="s">
        <v>1804</v>
      </c>
      <c r="E39" s="2513"/>
      <c r="F39" s="2514"/>
      <c r="G39" s="2047"/>
      <c r="H39" s="2062"/>
      <c r="I39" s="837" t="s">
        <v>1816</v>
      </c>
      <c r="J39" s="845" t="e">
        <f ca="1">ROUND(J35/C39,3)</f>
        <v>#DIV/0!</v>
      </c>
      <c r="K39" s="2068"/>
      <c r="L39" s="2062"/>
      <c r="M39" s="2062"/>
    </row>
    <row r="40" spans="1:18" ht="18" customHeight="1">
      <c r="A40" s="781" t="s">
        <v>1893</v>
      </c>
      <c r="B40" s="2217" t="s">
        <v>2295</v>
      </c>
      <c r="C40" s="783" t="e">
        <f ca="1">ROUND(C39*(1-((1+F42)/(1+F40))^F41)/(F40-F42),0)</f>
        <v>#DIV/0!</v>
      </c>
      <c r="D40" s="814" t="s">
        <v>1805</v>
      </c>
      <c r="E40" s="784" t="s">
        <v>2413</v>
      </c>
      <c r="F40" s="794">
        <f ca="1">INDIRECT("'数据-取费表'!I"&amp;$G$1)</f>
        <v>0</v>
      </c>
      <c r="G40" s="2047"/>
      <c r="H40" s="2047"/>
      <c r="I40" s="837" t="s">
        <v>1817</v>
      </c>
      <c r="J40" s="845" t="e">
        <f ca="1">1-J39</f>
        <v>#DIV/0!</v>
      </c>
      <c r="K40" s="2068"/>
      <c r="L40" s="2047"/>
      <c r="M40" s="2047"/>
    </row>
    <row r="41" spans="1:18" ht="18" customHeight="1">
      <c r="A41" s="786"/>
      <c r="B41" s="787"/>
      <c r="C41" s="788"/>
      <c r="D41" s="821" t="s">
        <v>1806</v>
      </c>
      <c r="E41" s="784" t="s">
        <v>2951</v>
      </c>
      <c r="F41" s="822">
        <f ca="1">IF(INDIRECT("'数据-取费表'!af"&amp;$G$1)=0,INDIRECT("'数据-取费表'!ae"&amp;$G$1),INDIRECT("'数据-取费表'!af"&amp;$G$1))</f>
        <v>0</v>
      </c>
      <c r="G41" s="2047"/>
      <c r="H41" s="1973"/>
      <c r="I41" s="843" t="s">
        <v>1818</v>
      </c>
      <c r="J41" s="846"/>
      <c r="K41" s="2067"/>
      <c r="L41" s="1973"/>
      <c r="M41" s="1973"/>
    </row>
    <row r="42" spans="1:18" ht="18" customHeight="1">
      <c r="A42" s="790"/>
      <c r="B42" s="791"/>
      <c r="C42" s="792"/>
      <c r="D42" s="816"/>
      <c r="E42" s="784" t="s">
        <v>1807</v>
      </c>
      <c r="F42" s="794">
        <f ca="1">INDIRECT("'数据-取费表'!v"&amp;$G$1)</f>
        <v>0</v>
      </c>
      <c r="G42" s="2047"/>
      <c r="H42" s="1973"/>
      <c r="I42" s="847" t="s">
        <v>1819</v>
      </c>
      <c r="J42" s="845" t="e">
        <f ca="1">ROUND(C13/C40,3)</f>
        <v>#DIV/0!</v>
      </c>
      <c r="K42" s="2067"/>
      <c r="L42" s="1973"/>
      <c r="M42" s="1973"/>
    </row>
    <row r="43" spans="1:18" ht="18" customHeight="1" thickBot="1">
      <c r="A43" s="823" t="s">
        <v>1785</v>
      </c>
      <c r="B43" s="824" t="s">
        <v>1808</v>
      </c>
      <c r="C43" s="825" t="e">
        <f ca="1">ROUND(C40*10000/F43,0)</f>
        <v>#DIV/0!</v>
      </c>
      <c r="D43" s="826" t="s">
        <v>1809</v>
      </c>
      <c r="E43" s="827" t="s">
        <v>1810</v>
      </c>
      <c r="F43" s="828">
        <f ca="1">INDIRECT("'数据-取费表'!k"&amp;$G$1)</f>
        <v>0</v>
      </c>
      <c r="G43" s="2047"/>
      <c r="H43" s="1973"/>
      <c r="I43" s="847" t="s">
        <v>1820</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2289</v>
      </c>
      <c r="B46" s="2070"/>
      <c r="C46" s="2538" t="e">
        <f ca="1">C67-C40</f>
        <v>#DIV/0!</v>
      </c>
      <c r="D46" s="2070"/>
      <c r="E46" s="2070"/>
      <c r="F46" s="2070"/>
      <c r="I46" s="2342" t="s">
        <v>2337</v>
      </c>
      <c r="J46" s="2343"/>
      <c r="K46" s="2344"/>
      <c r="L46" s="3101" t="e">
        <f ca="1">IF(OR(M47="住宅",D1="土地（套用方法）"),0,IF(L48&gt;J51,L60,J60))</f>
        <v>#DIV/0!</v>
      </c>
      <c r="O46" s="2358" t="s">
        <v>2404</v>
      </c>
      <c r="P46" s="1578"/>
      <c r="Q46" s="1589"/>
      <c r="R46" s="1578"/>
    </row>
    <row r="47" spans="1:18" s="2044" customFormat="1" ht="18" customHeight="1" thickBot="1">
      <c r="A47" s="2336">
        <v>1</v>
      </c>
      <c r="B47" s="2337" t="s">
        <v>635</v>
      </c>
      <c r="C47" s="2538">
        <f ca="1">C48+C52+C54</f>
        <v>0</v>
      </c>
      <c r="D47" s="2070"/>
      <c r="E47" s="2070"/>
      <c r="F47" s="2070"/>
      <c r="I47" s="3092" t="s">
        <v>2338</v>
      </c>
      <c r="J47" s="2345"/>
      <c r="K47" s="3098" t="s">
        <v>2343</v>
      </c>
      <c r="L47" s="3102">
        <f ca="1">INDIRECT("'数据-取费表'!d"&amp;$G$1)</f>
        <v>0</v>
      </c>
      <c r="M47" s="1589" t="str">
        <f>IF(ISNUMBER(FIND("住宅",C1)),"住宅","非住宅")</f>
        <v>非住宅</v>
      </c>
      <c r="O47" s="2359" t="s">
        <v>2369</v>
      </c>
      <c r="P47" s="2360" t="s">
        <v>2370</v>
      </c>
      <c r="Q47" s="2361" t="s">
        <v>2371</v>
      </c>
      <c r="R47" s="2360" t="s">
        <v>2372</v>
      </c>
    </row>
    <row r="48" spans="1:18" s="2044" customFormat="1" ht="18" customHeight="1" thickBot="1">
      <c r="A48" s="2606" t="s">
        <v>2531</v>
      </c>
      <c r="B48" s="2607" t="s">
        <v>2532</v>
      </c>
      <c r="C48" s="2338">
        <f ca="1">ROUND(F48*F50*F49*(1-F51)/10000,0)</f>
        <v>0</v>
      </c>
      <c r="D48" s="2339" t="s">
        <v>636</v>
      </c>
      <c r="E48" s="2340" t="s">
        <v>2290</v>
      </c>
      <c r="F48" s="2341"/>
      <c r="G48" s="2075"/>
      <c r="I48" s="3071" t="s">
        <v>2339</v>
      </c>
      <c r="J48" s="2346"/>
      <c r="K48" s="3099" t="s">
        <v>2345</v>
      </c>
      <c r="L48" s="1893">
        <f ca="1">INDIRECT("'数据-取费表'!f"&amp;$G$1)</f>
        <v>0</v>
      </c>
      <c r="O48" s="2362" t="s">
        <v>2373</v>
      </c>
      <c r="P48" s="2363" t="s">
        <v>2399</v>
      </c>
      <c r="Q48" s="2364" t="e">
        <f ca="1">C40+J29</f>
        <v>#DIV/0!</v>
      </c>
      <c r="R48" s="2363" t="s">
        <v>2374</v>
      </c>
    </row>
    <row r="49" spans="1:18" s="2044" customFormat="1" ht="18" customHeight="1" thickBot="1">
      <c r="A49" s="786"/>
      <c r="B49" s="787"/>
      <c r="C49" s="788"/>
      <c r="D49" s="789"/>
      <c r="E49" s="784" t="s">
        <v>1737</v>
      </c>
      <c r="F49" s="785">
        <f ca="1">F7</f>
        <v>0</v>
      </c>
      <c r="G49" s="2075"/>
      <c r="H49" s="2078"/>
      <c r="I49" s="3071" t="s">
        <v>2340</v>
      </c>
      <c r="J49" s="2347"/>
      <c r="K49" s="3100" t="s">
        <v>2346</v>
      </c>
      <c r="L49" s="2348"/>
      <c r="O49" s="2362" t="s">
        <v>2375</v>
      </c>
      <c r="P49" s="2363" t="s">
        <v>2400</v>
      </c>
      <c r="Q49" s="2364" t="e">
        <f ca="1">J60</f>
        <v>#DIV/0!</v>
      </c>
      <c r="R49" s="2363" t="s">
        <v>2376</v>
      </c>
    </row>
    <row r="50" spans="1:18" s="2044" customFormat="1" ht="18" customHeight="1" thickBot="1">
      <c r="A50" s="786"/>
      <c r="B50" s="787"/>
      <c r="C50" s="788"/>
      <c r="D50" s="789"/>
      <c r="E50" s="784" t="s">
        <v>1738</v>
      </c>
      <c r="F50" s="785">
        <f ca="1">F8</f>
        <v>0</v>
      </c>
      <c r="G50" s="2080"/>
      <c r="H50" s="2078"/>
      <c r="I50" s="3071" t="s">
        <v>2341</v>
      </c>
      <c r="J50" s="3096">
        <f>SUMPRODUCT((I63:I65=J47)*(J62:L62=J48)*(J63:L65))</f>
        <v>0</v>
      </c>
      <c r="K50" s="3100" t="s">
        <v>2347</v>
      </c>
      <c r="L50" s="2348"/>
      <c r="O50" s="2365" t="s">
        <v>2377</v>
      </c>
      <c r="P50" s="2363" t="s">
        <v>2401</v>
      </c>
      <c r="Q50" s="2364">
        <f ca="1">C29</f>
        <v>0</v>
      </c>
      <c r="R50" s="2363" t="s">
        <v>2374</v>
      </c>
    </row>
    <row r="51" spans="1:18" s="2044" customFormat="1" ht="18" customHeight="1" thickBot="1">
      <c r="A51" s="786"/>
      <c r="B51" s="787"/>
      <c r="C51" s="788"/>
      <c r="D51" s="789"/>
      <c r="E51" s="784" t="s">
        <v>640</v>
      </c>
      <c r="F51" s="2335"/>
      <c r="H51" s="2078"/>
      <c r="I51" s="3093" t="s">
        <v>2342</v>
      </c>
      <c r="J51" s="3097">
        <f>IF(J49="",J50,J49+J50-YEAR('数据-取费表'!B2))</f>
        <v>0</v>
      </c>
      <c r="K51" s="3071" t="s">
        <v>2348</v>
      </c>
      <c r="L51" s="3103">
        <f ca="1">ROUND(-PV(INDIRECT("'数据-取费表'!h"&amp;$G$1),J51,(C39-C13*J36),0),0)</f>
        <v>0</v>
      </c>
      <c r="O51" s="2365" t="s">
        <v>2378</v>
      </c>
      <c r="P51" s="2363" t="s">
        <v>2379</v>
      </c>
      <c r="Q51" s="2366" t="e">
        <f ca="1">J58</f>
        <v>#DIV/0!</v>
      </c>
      <c r="R51" s="2367"/>
    </row>
    <row r="52" spans="1:18" s="2044" customFormat="1" ht="18" customHeight="1" thickBot="1">
      <c r="A52" s="781" t="s">
        <v>2530</v>
      </c>
      <c r="B52" s="2458" t="s">
        <v>2453</v>
      </c>
      <c r="C52" s="799">
        <f ca="1">ROUND(IF(F52="押一",C48/12*F11,IF(F52="押二",C48/12*2*F11,IF(F52="押三",C48/12*3*F11,C53*F11))),0)</f>
        <v>0</v>
      </c>
      <c r="D52" s="2465" t="s">
        <v>2962</v>
      </c>
      <c r="E52" s="2462" t="s">
        <v>2458</v>
      </c>
      <c r="F52" s="2585"/>
      <c r="I52" s="3094" t="s">
        <v>2415</v>
      </c>
      <c r="J52" s="2349"/>
      <c r="K52" s="3094" t="s">
        <v>2414</v>
      </c>
      <c r="L52" s="2349"/>
      <c r="O52" s="2365" t="s">
        <v>2380</v>
      </c>
      <c r="P52" s="2363" t="s">
        <v>2381</v>
      </c>
      <c r="Q52" s="2366">
        <f>J52</f>
        <v>0</v>
      </c>
      <c r="R52" s="2367"/>
    </row>
    <row r="53" spans="1:18" s="2044" customFormat="1" ht="39.75" customHeight="1" thickBot="1">
      <c r="A53" s="786"/>
      <c r="B53" s="2459" t="s">
        <v>2567</v>
      </c>
      <c r="C53" s="2463"/>
      <c r="D53" s="2465"/>
      <c r="E53" s="2462"/>
      <c r="F53" s="800"/>
      <c r="I53" s="3095" t="s">
        <v>2965</v>
      </c>
      <c r="J53" s="3174">
        <f ca="1">IF(M47="住宅",IF(D1="——",MAX(J51,L48),MAX(J51,L48-'数据-取费表'!B20)),IF(D1="——",MIN(J51,L48),MIN(J51,L48-'数据-取费表'!B20)))</f>
        <v>0</v>
      </c>
      <c r="K53" s="3492" t="s">
        <v>2953</v>
      </c>
      <c r="L53" s="3493"/>
      <c r="O53" s="2365" t="s">
        <v>2382</v>
      </c>
      <c r="P53" s="2363" t="s">
        <v>2383</v>
      </c>
      <c r="Q53" s="2364">
        <f ca="1">J53</f>
        <v>0</v>
      </c>
      <c r="R53" s="2363" t="s">
        <v>2384</v>
      </c>
    </row>
    <row r="54" spans="1:18" s="2044" customFormat="1" ht="18" customHeight="1" thickBot="1">
      <c r="A54" s="2501" t="s">
        <v>2461</v>
      </c>
      <c r="B54" s="2502" t="s">
        <v>2454</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2385</v>
      </c>
      <c r="P54" s="2363" t="s">
        <v>2402</v>
      </c>
      <c r="Q54" s="2364" t="e">
        <f ca="1">Q48+Q49</f>
        <v>#DIV/0!</v>
      </c>
      <c r="R54" s="2367" t="s">
        <v>2386</v>
      </c>
    </row>
    <row r="55" spans="1:18" s="2044" customFormat="1" ht="18" customHeight="1" thickTop="1" thickBot="1">
      <c r="A55" s="797">
        <v>2</v>
      </c>
      <c r="B55" s="798" t="s">
        <v>644</v>
      </c>
      <c r="C55" s="799">
        <f ca="1">C13</f>
        <v>0</v>
      </c>
      <c r="D55" s="795"/>
      <c r="E55" s="795"/>
      <c r="F55" s="800"/>
      <c r="I55" s="3106" t="s">
        <v>2349</v>
      </c>
      <c r="J55" s="3046" t="e">
        <f ca="1">ROUND(IF(J47="钢混",J57/J50,1-(1-2%)*(J50-J57)/J50),3)</f>
        <v>#DIV/0!</v>
      </c>
      <c r="K55" s="3107" t="s">
        <v>2350</v>
      </c>
      <c r="L55" s="2350"/>
      <c r="O55" s="2368" t="s">
        <v>2405</v>
      </c>
      <c r="P55" s="1578"/>
      <c r="Q55" s="1589"/>
      <c r="R55" s="1578"/>
    </row>
    <row r="56" spans="1:18" s="2044" customFormat="1" ht="42.75" customHeight="1" thickBot="1">
      <c r="A56" s="1635"/>
      <c r="B56" s="2216" t="s">
        <v>2296</v>
      </c>
      <c r="C56" s="53">
        <f ca="1">C29</f>
        <v>0</v>
      </c>
      <c r="D56" s="2603"/>
      <c r="E56" s="784"/>
      <c r="F56" s="809"/>
      <c r="I56" s="3108" t="s">
        <v>2351</v>
      </c>
      <c r="J56" s="3118"/>
      <c r="K56" s="3071" t="s">
        <v>2356</v>
      </c>
      <c r="L56" s="1893">
        <f ca="1">IF(L48&lt;J51,"——",L48-J51)</f>
        <v>0</v>
      </c>
      <c r="O56" s="2359" t="s">
        <v>2369</v>
      </c>
      <c r="P56" s="2360" t="s">
        <v>2370</v>
      </c>
      <c r="Q56" s="2361" t="s">
        <v>2371</v>
      </c>
      <c r="R56" s="2360" t="s">
        <v>2372</v>
      </c>
    </row>
    <row r="57" spans="1:18" s="2044" customFormat="1" ht="28.5" customHeight="1" thickBot="1">
      <c r="A57" s="797" t="s">
        <v>1746</v>
      </c>
      <c r="B57" s="798" t="s">
        <v>651</v>
      </c>
      <c r="C57" s="799">
        <f ca="1">ROUND(C58+C63+C64+C65,0)</f>
        <v>0</v>
      </c>
      <c r="D57" s="26" t="s">
        <v>1748</v>
      </c>
      <c r="E57" s="2604"/>
      <c r="F57" s="56"/>
      <c r="I57" s="3109" t="s">
        <v>2352</v>
      </c>
      <c r="J57" s="3110">
        <f ca="1">IF(OR(M47="住宅",J51&lt;L48,J56="是"),"——",J51-L48)</f>
        <v>0</v>
      </c>
      <c r="K57" s="3071" t="s">
        <v>2357</v>
      </c>
      <c r="L57" s="1893">
        <f ca="1">IF(L48&lt;J51,"——",IF(L55="比较法",L49,IF(L55="基准地价",L50,L51)))</f>
        <v>0</v>
      </c>
      <c r="O57" s="2362" t="s">
        <v>2373</v>
      </c>
      <c r="P57" s="2363" t="s">
        <v>2403</v>
      </c>
      <c r="Q57" s="2364" t="e">
        <f ca="1">C40+J29</f>
        <v>#DIV/0!</v>
      </c>
      <c r="R57" s="2363" t="s">
        <v>2374</v>
      </c>
    </row>
    <row r="58" spans="1:18" s="2044" customFormat="1" ht="28.5" customHeight="1" thickBot="1">
      <c r="A58" s="1634" t="s">
        <v>1822</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09" t="s">
        <v>2353</v>
      </c>
      <c r="J58" s="3047" t="e">
        <f ca="1">IF(J55&lt;0.4,0.4,J55)</f>
        <v>#DIV/0!</v>
      </c>
      <c r="K58" s="3071" t="s">
        <v>2358</v>
      </c>
      <c r="L58" s="1893" t="e">
        <f ca="1">ROUND(POWER(1+L52,L47-L48)*(POWER(1+L52,L48)-1)/(POWER(1+L52,L47)-1),4)</f>
        <v>#DIV/0!</v>
      </c>
      <c r="O58" s="2362" t="s">
        <v>2375</v>
      </c>
      <c r="P58" s="2363" t="s">
        <v>2406</v>
      </c>
      <c r="Q58" s="2364" t="e">
        <f ca="1">L60</f>
        <v>#DIV/0!</v>
      </c>
      <c r="R58" s="2367" t="s">
        <v>2408</v>
      </c>
    </row>
    <row r="59" spans="1:18" s="2044" customFormat="1" ht="28.5" customHeight="1" thickBot="1">
      <c r="A59" s="1633" t="s">
        <v>1829</v>
      </c>
      <c r="B59" s="784" t="s">
        <v>660</v>
      </c>
      <c r="C59" s="53">
        <f ca="1">ROUND(C47*F59/1.05,1)</f>
        <v>0</v>
      </c>
      <c r="D59" s="2603" t="s">
        <v>1754</v>
      </c>
      <c r="E59" s="784" t="s">
        <v>1745</v>
      </c>
      <c r="F59" s="809">
        <f t="shared" ref="F59:F65" si="0">F32</f>
        <v>5.6000000000000001E-2</v>
      </c>
      <c r="I59" s="3109" t="s">
        <v>2354</v>
      </c>
      <c r="J59" s="3110" t="e">
        <f ca="1">IF(OR(M47="住宅",J51&lt;L48,J56="是"),"——",ROUND(C29*J58,0))</f>
        <v>#DIV/0!</v>
      </c>
      <c r="K59" s="3071"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2377</v>
      </c>
      <c r="P59" s="2363" t="s">
        <v>2407</v>
      </c>
      <c r="Q59" s="2364">
        <f>IF(L55="比较法",L49,IF(L55="基准地价",L50,0))</f>
        <v>0</v>
      </c>
      <c r="R59" s="2363" t="s">
        <v>2374</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按房产原值计税</v>
      </c>
      <c r="E60" s="784" t="s">
        <v>1745</v>
      </c>
      <c r="F60" s="809">
        <f t="shared" si="0"/>
        <v>1.2E-2</v>
      </c>
      <c r="I60" s="3111" t="s">
        <v>2355</v>
      </c>
      <c r="J60" s="3112" t="e">
        <f ca="1">IF(OR(M47="住宅",J51&lt;L48,J56="是"),"0",ROUND(J59/(1+J52)^J53,0))</f>
        <v>#DIV/0!</v>
      </c>
      <c r="K60" s="3113" t="s">
        <v>2360</v>
      </c>
      <c r="L60" s="3112" t="e">
        <f ca="1">IF(OR(M47="住宅",L48&lt;J51),0,ROUND(L57*(L58/L59-1),0))</f>
        <v>#DIV/0!</v>
      </c>
      <c r="O60" s="2365" t="s">
        <v>2378</v>
      </c>
      <c r="P60" s="2363" t="s">
        <v>2387</v>
      </c>
      <c r="Q60" s="2366">
        <f>L52</f>
        <v>0</v>
      </c>
      <c r="R60" s="2367"/>
    </row>
    <row r="61" spans="1:18" s="2044" customFormat="1" ht="18" customHeight="1" thickBot="1">
      <c r="A61" s="1636" t="s">
        <v>1831</v>
      </c>
      <c r="B61" s="341" t="s">
        <v>668</v>
      </c>
      <c r="C61" s="54">
        <f ca="1">ROUND(F61*F62/10000,1)</f>
        <v>0</v>
      </c>
      <c r="D61" s="814" t="s">
        <v>669</v>
      </c>
      <c r="E61" s="784" t="s">
        <v>670</v>
      </c>
      <c r="F61" s="640">
        <f t="shared" si="0"/>
        <v>10</v>
      </c>
      <c r="K61" s="2071"/>
      <c r="O61" s="2365" t="s">
        <v>2380</v>
      </c>
      <c r="P61" s="2363" t="s">
        <v>2388</v>
      </c>
      <c r="Q61" s="2364" t="e">
        <f ca="1">L58</f>
        <v>#DIV/0!</v>
      </c>
      <c r="R61" s="2367" t="s">
        <v>2389</v>
      </c>
    </row>
    <row r="62" spans="1:18" s="2044" customFormat="1" ht="15.75" thickBot="1">
      <c r="A62" s="815"/>
      <c r="B62" s="793"/>
      <c r="C62" s="69"/>
      <c r="D62" s="816"/>
      <c r="E62" s="784" t="s">
        <v>674</v>
      </c>
      <c r="F62" s="785">
        <f t="shared" ca="1" si="0"/>
        <v>0</v>
      </c>
      <c r="I62" s="3114" t="s">
        <v>2361</v>
      </c>
      <c r="J62" s="3115" t="s">
        <v>2362</v>
      </c>
      <c r="K62" s="3115" t="s">
        <v>2363</v>
      </c>
      <c r="L62" s="3115" t="s">
        <v>2344</v>
      </c>
      <c r="M62" s="3116" t="s">
        <v>2930</v>
      </c>
      <c r="O62" s="2365" t="s">
        <v>2382</v>
      </c>
      <c r="P62" s="2363" t="str">
        <f>K59</f>
        <v>建筑物剩余耐用年限下的土地年期修正系数Kn</v>
      </c>
      <c r="Q62" s="2364" t="e">
        <f ca="1">L59</f>
        <v>#DIV/0!</v>
      </c>
      <c r="R62" s="2367" t="s">
        <v>2391</v>
      </c>
    </row>
    <row r="63" spans="1:18" s="2044" customFormat="1" ht="15.75" thickBot="1">
      <c r="A63" s="1634" t="s">
        <v>1887</v>
      </c>
      <c r="B63" s="784" t="s">
        <v>676</v>
      </c>
      <c r="C63" s="53">
        <f ca="1">ROUND(C56*F63,1)</f>
        <v>0</v>
      </c>
      <c r="D63" s="2603" t="s">
        <v>1801</v>
      </c>
      <c r="E63" s="784" t="s">
        <v>1745</v>
      </c>
      <c r="F63" s="817">
        <f t="shared" ca="1" si="0"/>
        <v>0</v>
      </c>
      <c r="I63" s="3114" t="s">
        <v>2364</v>
      </c>
      <c r="J63" s="3115">
        <v>70</v>
      </c>
      <c r="K63" s="3115">
        <v>50</v>
      </c>
      <c r="L63" s="3115">
        <v>80</v>
      </c>
      <c r="M63" s="3117">
        <v>0.02</v>
      </c>
      <c r="O63" s="2362" t="s">
        <v>2385</v>
      </c>
      <c r="P63" s="2363" t="s">
        <v>2402</v>
      </c>
      <c r="Q63" s="2364" t="e">
        <f ca="1">Q57+Q58</f>
        <v>#DIV/0!</v>
      </c>
      <c r="R63" s="2367" t="s">
        <v>2386</v>
      </c>
    </row>
    <row r="64" spans="1:18" s="2044" customFormat="1" ht="16.5" thickBot="1">
      <c r="A64" s="1634" t="s">
        <v>1888</v>
      </c>
      <c r="B64" s="784" t="s">
        <v>679</v>
      </c>
      <c r="C64" s="53">
        <f ca="1">ROUND(C55*F64,1)</f>
        <v>0</v>
      </c>
      <c r="D64" s="2603" t="s">
        <v>680</v>
      </c>
      <c r="E64" s="784" t="s">
        <v>1745</v>
      </c>
      <c r="F64" s="818">
        <f t="shared" ca="1" si="0"/>
        <v>0</v>
      </c>
      <c r="I64" s="3114" t="s">
        <v>2365</v>
      </c>
      <c r="J64" s="3115">
        <v>50</v>
      </c>
      <c r="K64" s="3115">
        <v>35</v>
      </c>
      <c r="L64" s="3115">
        <v>60</v>
      </c>
      <c r="M64" s="846">
        <v>0</v>
      </c>
      <c r="O64" s="2368" t="s">
        <v>2409</v>
      </c>
      <c r="P64" s="1578"/>
      <c r="Q64" s="1589"/>
      <c r="R64" s="1578"/>
    </row>
    <row r="65" spans="1:18" s="2044" customFormat="1" ht="15.75" thickBot="1">
      <c r="A65" s="1634" t="s">
        <v>1889</v>
      </c>
      <c r="B65" s="784" t="s">
        <v>666</v>
      </c>
      <c r="C65" s="53">
        <f ca="1">ROUND(C47*F65,1)</f>
        <v>0</v>
      </c>
      <c r="D65" s="2603" t="s">
        <v>683</v>
      </c>
      <c r="E65" s="784" t="s">
        <v>1745</v>
      </c>
      <c r="F65" s="794">
        <f t="shared" ca="1" si="0"/>
        <v>0</v>
      </c>
      <c r="I65" s="3114" t="s">
        <v>2366</v>
      </c>
      <c r="J65" s="3115">
        <v>40</v>
      </c>
      <c r="K65" s="3115">
        <v>30</v>
      </c>
      <c r="L65" s="3115">
        <v>50</v>
      </c>
      <c r="M65" s="3117">
        <v>0.02</v>
      </c>
      <c r="O65" s="2359" t="s">
        <v>2369</v>
      </c>
      <c r="P65" s="2360" t="s">
        <v>2370</v>
      </c>
      <c r="Q65" s="2361" t="s">
        <v>2371</v>
      </c>
      <c r="R65" s="2360" t="s">
        <v>2372</v>
      </c>
    </row>
    <row r="66" spans="1:18" s="2044" customFormat="1" ht="24.75" thickBot="1">
      <c r="A66" s="797" t="s">
        <v>1774</v>
      </c>
      <c r="B66" s="2963" t="s">
        <v>2815</v>
      </c>
      <c r="C66" s="799">
        <f ca="1">C47-C57</f>
        <v>0</v>
      </c>
      <c r="D66" s="2602" t="s">
        <v>700</v>
      </c>
      <c r="E66" s="2601"/>
      <c r="F66" s="820"/>
      <c r="K66" s="2071"/>
      <c r="O66" s="2362" t="s">
        <v>2373</v>
      </c>
      <c r="P66" s="2363" t="s">
        <v>2403</v>
      </c>
      <c r="Q66" s="2364" t="e">
        <f ca="1">C40+J29</f>
        <v>#DIV/0!</v>
      </c>
      <c r="R66" s="2363" t="s">
        <v>2374</v>
      </c>
    </row>
    <row r="67" spans="1:18" s="2044" customFormat="1" ht="20.25" thickBot="1">
      <c r="A67" s="781" t="s">
        <v>1778</v>
      </c>
      <c r="B67" s="2217" t="s">
        <v>2295</v>
      </c>
      <c r="C67" s="783" t="e">
        <f ca="1">ROUND(C66*(1-((1+F69)/(1+F67))^F68)/(F67-F69),0)</f>
        <v>#DIV/0!</v>
      </c>
      <c r="D67" s="814" t="s">
        <v>704</v>
      </c>
      <c r="E67" s="784" t="s">
        <v>705</v>
      </c>
      <c r="F67" s="794">
        <f ca="1">F40</f>
        <v>0</v>
      </c>
      <c r="K67" s="2071"/>
      <c r="O67" s="2362" t="s">
        <v>2375</v>
      </c>
      <c r="P67" s="2363" t="s">
        <v>2406</v>
      </c>
      <c r="Q67" s="2364" t="e">
        <f ca="1">L60</f>
        <v>#DIV/0!</v>
      </c>
      <c r="R67" s="2367" t="s">
        <v>2408</v>
      </c>
    </row>
    <row r="68" spans="1:18" ht="21.75" thickBot="1">
      <c r="A68" s="786"/>
      <c r="B68" s="787"/>
      <c r="C68" s="788"/>
      <c r="D68" s="821" t="s">
        <v>1806</v>
      </c>
      <c r="E68" s="784" t="s">
        <v>1782</v>
      </c>
      <c r="F68" s="822">
        <f ca="1">F41</f>
        <v>0</v>
      </c>
      <c r="O68" s="2365" t="s">
        <v>2377</v>
      </c>
      <c r="P68" s="2363" t="s">
        <v>2407</v>
      </c>
      <c r="Q68" s="2369">
        <f ca="1">L51</f>
        <v>0</v>
      </c>
      <c r="R68" s="2370" t="s">
        <v>2410</v>
      </c>
    </row>
    <row r="69" spans="1:18" ht="20.25" thickBot="1">
      <c r="A69" s="790"/>
      <c r="B69" s="791"/>
      <c r="C69" s="792"/>
      <c r="D69" s="816"/>
      <c r="E69" s="784" t="s">
        <v>710</v>
      </c>
      <c r="F69" s="2335"/>
      <c r="O69" s="2365" t="s">
        <v>2378</v>
      </c>
      <c r="P69" s="2371" t="s">
        <v>2392</v>
      </c>
      <c r="Q69" s="2364">
        <f ca="1">ROUND(Q70-Q71*Q72,0)</f>
        <v>0</v>
      </c>
      <c r="R69" s="2367"/>
    </row>
    <row r="70" spans="1:18" ht="15.75" thickBot="1">
      <c r="A70" s="823" t="s">
        <v>1785</v>
      </c>
      <c r="B70" s="824" t="s">
        <v>1808</v>
      </c>
      <c r="C70" s="825" t="e">
        <f ca="1">ROUND(C67*10000/F70,0)</f>
        <v>#DIV/0!</v>
      </c>
      <c r="D70" s="826" t="s">
        <v>1809</v>
      </c>
      <c r="E70" s="827" t="s">
        <v>1810</v>
      </c>
      <c r="F70" s="828">
        <f ca="1">F43</f>
        <v>0</v>
      </c>
      <c r="O70" s="2365" t="s">
        <v>2393</v>
      </c>
      <c r="P70" s="2371" t="s">
        <v>2394</v>
      </c>
      <c r="Q70" s="2364">
        <f ca="1">C39</f>
        <v>0</v>
      </c>
      <c r="R70" s="2363" t="s">
        <v>2374</v>
      </c>
    </row>
    <row r="71" spans="1:18" ht="15.75" thickBot="1">
      <c r="O71" s="2365" t="s">
        <v>2395</v>
      </c>
      <c r="P71" s="2371" t="s">
        <v>2396</v>
      </c>
      <c r="Q71" s="2364">
        <f ca="1">C13</f>
        <v>0</v>
      </c>
      <c r="R71" s="2363" t="s">
        <v>2374</v>
      </c>
    </row>
    <row r="72" spans="1:18" ht="15.75" thickBot="1">
      <c r="O72" s="2365" t="s">
        <v>2397</v>
      </c>
      <c r="P72" s="2371" t="s">
        <v>2398</v>
      </c>
      <c r="Q72" s="2366">
        <f ca="1">J36</f>
        <v>0</v>
      </c>
      <c r="R72" s="2367"/>
    </row>
    <row r="73" spans="1:18" ht="15.75" thickBot="1">
      <c r="O73" s="2365" t="s">
        <v>2380</v>
      </c>
      <c r="P73" s="2363" t="s">
        <v>2387</v>
      </c>
      <c r="Q73" s="2366">
        <f>L52</f>
        <v>0</v>
      </c>
      <c r="R73" s="2367"/>
    </row>
    <row r="74" spans="1:18" ht="20.25" thickBot="1">
      <c r="O74" s="2365" t="s">
        <v>2382</v>
      </c>
      <c r="P74" s="2363" t="s">
        <v>2388</v>
      </c>
      <c r="Q74" s="2364" t="e">
        <f ca="1">L58</f>
        <v>#DIV/0!</v>
      </c>
      <c r="R74" s="2367" t="s">
        <v>2389</v>
      </c>
    </row>
    <row r="75" spans="1:18" ht="15.75" thickBot="1">
      <c r="O75" s="2365" t="s">
        <v>2411</v>
      </c>
      <c r="P75" s="2363" t="str">
        <f>K59</f>
        <v>建筑物剩余耐用年限下的土地年期修正系数Kn</v>
      </c>
      <c r="Q75" s="2364" t="e">
        <f ca="1">L59</f>
        <v>#DIV/0!</v>
      </c>
      <c r="R75" s="2367" t="s">
        <v>2391</v>
      </c>
    </row>
    <row r="76" spans="1:18" ht="15.75" thickBot="1">
      <c r="O76" s="2362" t="s">
        <v>2385</v>
      </c>
      <c r="P76" s="2363" t="s">
        <v>2402</v>
      </c>
      <c r="Q76" s="2364" t="e">
        <f ca="1">Q66+Q67</f>
        <v>#DIV/0!</v>
      </c>
      <c r="R76" s="2367"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0" t="s">
        <v>2465</v>
      </c>
      <c r="B1" s="3511"/>
      <c r="C1" s="3512"/>
      <c r="D1" s="3513">
        <f>SUM(I10,I15,I20,I21,I23)</f>
        <v>0</v>
      </c>
      <c r="E1" s="3513"/>
      <c r="F1" s="3513"/>
      <c r="G1" s="3513"/>
      <c r="H1" s="3513"/>
      <c r="I1" s="3514"/>
    </row>
    <row r="2" spans="1:9">
      <c r="A2" s="3500" t="s">
        <v>2466</v>
      </c>
      <c r="B2" s="3501" t="s">
        <v>2467</v>
      </c>
      <c r="C2" s="3501"/>
      <c r="D2" s="2471" t="s">
        <v>2468</v>
      </c>
      <c r="E2" s="2471" t="s">
        <v>2469</v>
      </c>
      <c r="F2" s="2471" t="s">
        <v>2470</v>
      </c>
      <c r="G2" s="2471" t="s">
        <v>2471</v>
      </c>
      <c r="H2" s="2471" t="s">
        <v>2472</v>
      </c>
      <c r="I2" s="2472" t="s">
        <v>2473</v>
      </c>
    </row>
    <row r="3" spans="1:9">
      <c r="A3" s="3500"/>
      <c r="B3" s="3501" t="s">
        <v>2474</v>
      </c>
      <c r="C3" s="3501"/>
      <c r="D3" s="2473"/>
      <c r="E3" s="2471"/>
      <c r="F3" s="2474"/>
      <c r="G3" s="2474"/>
      <c r="H3" s="2475"/>
      <c r="I3" s="2476">
        <f>ROUND(D3*E3*F3*G3*H3/10000,0)</f>
        <v>0</v>
      </c>
    </row>
    <row r="4" spans="1:9">
      <c r="A4" s="3500"/>
      <c r="B4" s="3501" t="s">
        <v>2475</v>
      </c>
      <c r="C4" s="3501"/>
      <c r="D4" s="2473"/>
      <c r="E4" s="2471"/>
      <c r="F4" s="2474"/>
      <c r="G4" s="2474"/>
      <c r="H4" s="2475"/>
      <c r="I4" s="2476">
        <f t="shared" ref="I4:I9" si="0">ROUND(D4*E4*F4*G4*H4/10000,0)</f>
        <v>0</v>
      </c>
    </row>
    <row r="5" spans="1:9">
      <c r="A5" s="3500"/>
      <c r="B5" s="3501" t="s">
        <v>2476</v>
      </c>
      <c r="C5" s="3501"/>
      <c r="D5" s="2473"/>
      <c r="E5" s="2471"/>
      <c r="F5" s="2474"/>
      <c r="G5" s="2474"/>
      <c r="H5" s="2475"/>
      <c r="I5" s="2476">
        <f t="shared" si="0"/>
        <v>0</v>
      </c>
    </row>
    <row r="6" spans="1:9">
      <c r="A6" s="3500"/>
      <c r="B6" s="3501" t="s">
        <v>2477</v>
      </c>
      <c r="C6" s="3501"/>
      <c r="D6" s="2473"/>
      <c r="E6" s="2471"/>
      <c r="F6" s="2474"/>
      <c r="G6" s="2474"/>
      <c r="H6" s="2475"/>
      <c r="I6" s="2476">
        <f t="shared" si="0"/>
        <v>0</v>
      </c>
    </row>
    <row r="7" spans="1:9">
      <c r="A7" s="3500"/>
      <c r="B7" s="3501" t="s">
        <v>2478</v>
      </c>
      <c r="C7" s="3501"/>
      <c r="D7" s="2473"/>
      <c r="E7" s="2471"/>
      <c r="F7" s="2474"/>
      <c r="G7" s="2474"/>
      <c r="H7" s="2475"/>
      <c r="I7" s="2476">
        <f t="shared" si="0"/>
        <v>0</v>
      </c>
    </row>
    <row r="8" spans="1:9">
      <c r="A8" s="3500"/>
      <c r="B8" s="3501" t="s">
        <v>2479</v>
      </c>
      <c r="C8" s="3501"/>
      <c r="D8" s="2473"/>
      <c r="E8" s="2471"/>
      <c r="F8" s="2474"/>
      <c r="G8" s="2474"/>
      <c r="H8" s="2475"/>
      <c r="I8" s="2476">
        <f t="shared" si="0"/>
        <v>0</v>
      </c>
    </row>
    <row r="9" spans="1:9">
      <c r="A9" s="3500"/>
      <c r="B9" s="3501" t="s">
        <v>2480</v>
      </c>
      <c r="C9" s="3501"/>
      <c r="D9" s="2473"/>
      <c r="E9" s="2471"/>
      <c r="F9" s="2474"/>
      <c r="G9" s="2474"/>
      <c r="H9" s="2475"/>
      <c r="I9" s="2476">
        <f t="shared" si="0"/>
        <v>0</v>
      </c>
    </row>
    <row r="10" spans="1:9">
      <c r="A10" s="3500"/>
      <c r="B10" s="3502" t="s">
        <v>2481</v>
      </c>
      <c r="C10" s="3502"/>
      <c r="D10" s="2477">
        <v>527</v>
      </c>
      <c r="E10" s="2477" t="e">
        <f>ROUND(D1*10000/D10/H9,0)</f>
        <v>#DIV/0!</v>
      </c>
      <c r="F10" s="2478"/>
      <c r="G10" s="2478"/>
      <c r="H10" s="2479"/>
      <c r="I10" s="2480">
        <f>SUM(I3:I9)</f>
        <v>0</v>
      </c>
    </row>
    <row r="11" spans="1:9" ht="14.25">
      <c r="A11" s="3500" t="s">
        <v>2482</v>
      </c>
      <c r="B11" s="3501" t="s">
        <v>2483</v>
      </c>
      <c r="C11" s="3501"/>
      <c r="D11" s="2473" t="s">
        <v>2484</v>
      </c>
      <c r="E11" s="2473" t="s">
        <v>2485</v>
      </c>
      <c r="F11" s="2474" t="s">
        <v>2486</v>
      </c>
      <c r="G11" s="2474" t="s">
        <v>2487</v>
      </c>
      <c r="H11" s="2481" t="s">
        <v>2488</v>
      </c>
      <c r="I11" s="2472" t="s">
        <v>2489</v>
      </c>
    </row>
    <row r="12" spans="1:9">
      <c r="A12" s="3500"/>
      <c r="B12" s="3501" t="s">
        <v>2490</v>
      </c>
      <c r="C12" s="3501"/>
      <c r="D12" s="2473"/>
      <c r="E12" s="2473"/>
      <c r="F12" s="2474"/>
      <c r="G12" s="2475"/>
      <c r="H12" s="2482"/>
      <c r="I12" s="2472">
        <f>ROUND(D12*E12*F12*G12/10000,0)</f>
        <v>0</v>
      </c>
    </row>
    <row r="13" spans="1:9">
      <c r="A13" s="3500"/>
      <c r="B13" s="3501" t="s">
        <v>2491</v>
      </c>
      <c r="C13" s="3501"/>
      <c r="D13" s="2473"/>
      <c r="E13" s="2473"/>
      <c r="F13" s="2474"/>
      <c r="G13" s="2475"/>
      <c r="H13" s="2482"/>
      <c r="I13" s="2472">
        <f>ROUND(D13*E13*F13*G13/10000,0)</f>
        <v>0</v>
      </c>
    </row>
    <row r="14" spans="1:9">
      <c r="A14" s="3500"/>
      <c r="B14" s="3501" t="s">
        <v>2492</v>
      </c>
      <c r="C14" s="3501"/>
      <c r="D14" s="2473"/>
      <c r="E14" s="2473"/>
      <c r="F14" s="2474"/>
      <c r="G14" s="2475"/>
      <c r="H14" s="2482"/>
      <c r="I14" s="2472">
        <f>ROUND(D14*E14*F14*G14/10000,0)</f>
        <v>0</v>
      </c>
    </row>
    <row r="15" spans="1:9">
      <c r="A15" s="3500"/>
      <c r="B15" s="3502" t="s">
        <v>2481</v>
      </c>
      <c r="C15" s="3502"/>
      <c r="D15" s="2477"/>
      <c r="E15" s="2477">
        <f>SUM(E12:E14)</f>
        <v>0</v>
      </c>
      <c r="F15" s="2478"/>
      <c r="G15" s="2475"/>
      <c r="H15" s="2482"/>
      <c r="I15" s="2483">
        <f>SUM(I12:I14)</f>
        <v>0</v>
      </c>
    </row>
    <row r="16" spans="1:9" ht="24">
      <c r="A16" s="3500" t="s">
        <v>2493</v>
      </c>
      <c r="B16" s="3501" t="s">
        <v>2494</v>
      </c>
      <c r="C16" s="3501"/>
      <c r="D16" s="2473" t="s">
        <v>2495</v>
      </c>
      <c r="E16" s="2484" t="s">
        <v>2496</v>
      </c>
      <c r="F16" s="2474" t="s">
        <v>2497</v>
      </c>
      <c r="G16" s="2475" t="s">
        <v>2487</v>
      </c>
      <c r="H16" s="2481" t="s">
        <v>2488</v>
      </c>
      <c r="I16" s="2472" t="s">
        <v>2489</v>
      </c>
    </row>
    <row r="17" spans="1:9" ht="14.25">
      <c r="A17" s="3500"/>
      <c r="B17" s="3501" t="s">
        <v>2498</v>
      </c>
      <c r="C17" s="3501"/>
      <c r="D17" s="2473"/>
      <c r="E17" s="2473"/>
      <c r="F17" s="2474"/>
      <c r="G17" s="2475"/>
      <c r="H17" s="2485"/>
      <c r="I17" s="2486">
        <f>ROUND(D17*E17*F17*G17/10000,0)</f>
        <v>0</v>
      </c>
    </row>
    <row r="18" spans="1:9" ht="14.25">
      <c r="A18" s="3500"/>
      <c r="B18" s="3501" t="s">
        <v>2499</v>
      </c>
      <c r="C18" s="3501"/>
      <c r="D18" s="2473"/>
      <c r="E18" s="2473"/>
      <c r="F18" s="2474"/>
      <c r="G18" s="2475"/>
      <c r="H18" s="2485"/>
      <c r="I18" s="2486">
        <f>ROUND(D18*E18*F18*G18/10000,0)</f>
        <v>0</v>
      </c>
    </row>
    <row r="19" spans="1:9" ht="14.25">
      <c r="A19" s="3500"/>
      <c r="B19" s="3501" t="s">
        <v>2500</v>
      </c>
      <c r="C19" s="3501"/>
      <c r="D19" s="2473"/>
      <c r="E19" s="2473"/>
      <c r="F19" s="2474"/>
      <c r="G19" s="2475"/>
      <c r="H19" s="2485"/>
      <c r="I19" s="2486">
        <f>ROUND(D19*E19*F19*G19/10000,0)</f>
        <v>0</v>
      </c>
    </row>
    <row r="20" spans="1:9">
      <c r="A20" s="3500"/>
      <c r="B20" s="3502" t="s">
        <v>2481</v>
      </c>
      <c r="C20" s="3502"/>
      <c r="D20" s="2477">
        <f>SUM(D17:D19)</f>
        <v>0</v>
      </c>
      <c r="E20" s="2477"/>
      <c r="F20" s="2478"/>
      <c r="G20" s="2475"/>
      <c r="H20" s="2482"/>
      <c r="I20" s="2483">
        <f>SUM(I17:I19)</f>
        <v>0</v>
      </c>
    </row>
    <row r="21" spans="1:9">
      <c r="A21" s="3500" t="s">
        <v>2501</v>
      </c>
      <c r="B21" s="3503"/>
      <c r="C21" s="3503"/>
      <c r="D21" s="3503"/>
      <c r="E21" s="3503"/>
      <c r="F21" s="3503"/>
      <c r="G21" s="3503"/>
      <c r="H21" s="2487">
        <v>0.1</v>
      </c>
      <c r="I21" s="2480">
        <f>ROUND(I10*H21,0)</f>
        <v>0</v>
      </c>
    </row>
    <row r="22" spans="1:9" ht="14.25">
      <c r="A22" s="3504" t="s">
        <v>2502</v>
      </c>
      <c r="B22" s="3505"/>
      <c r="C22" s="3506"/>
      <c r="D22" s="2488" t="s">
        <v>2503</v>
      </c>
      <c r="E22" s="2488" t="s">
        <v>2504</v>
      </c>
      <c r="F22" s="2489" t="s">
        <v>2505</v>
      </c>
      <c r="G22" s="2489" t="s">
        <v>2506</v>
      </c>
      <c r="H22" s="2481" t="s">
        <v>2507</v>
      </c>
      <c r="I22" s="2472" t="s">
        <v>2508</v>
      </c>
    </row>
    <row r="23" spans="1:9" ht="14.25" thickBot="1">
      <c r="A23" s="3507"/>
      <c r="B23" s="3508"/>
      <c r="C23" s="3509"/>
      <c r="D23" s="2490"/>
      <c r="E23" s="2490"/>
      <c r="F23" s="2490"/>
      <c r="G23" s="2491"/>
      <c r="H23" s="2492"/>
      <c r="I23" s="2493">
        <f>ROUND(E23*D23*F23*(1-G23)/10000,0)</f>
        <v>0</v>
      </c>
    </row>
    <row r="26" spans="1:9">
      <c r="A26" s="2494" t="s">
        <v>2509</v>
      </c>
      <c r="B26" s="2494"/>
      <c r="C26" s="2494"/>
      <c r="D26" s="2494"/>
      <c r="E26" s="3497">
        <f>C27-C30-C31-C32</f>
        <v>0</v>
      </c>
      <c r="F26" s="3497"/>
      <c r="G26" s="3497"/>
      <c r="H26" s="2995" t="s">
        <v>2836</v>
      </c>
    </row>
    <row r="27" spans="1:9">
      <c r="A27" s="2495">
        <v>1</v>
      </c>
      <c r="B27" s="2496" t="s">
        <v>2510</v>
      </c>
      <c r="C27" s="2496"/>
      <c r="D27" s="2496"/>
      <c r="E27" s="3498"/>
      <c r="F27" s="3498"/>
      <c r="G27" s="3498"/>
    </row>
    <row r="28" spans="1:9">
      <c r="A28" s="2497" t="s">
        <v>2511</v>
      </c>
      <c r="B28" s="2496" t="s">
        <v>2512</v>
      </c>
      <c r="C28" s="2496"/>
      <c r="D28" s="2496"/>
      <c r="E28" s="3498"/>
      <c r="F28" s="3498"/>
      <c r="G28" s="3498"/>
    </row>
    <row r="29" spans="1:9">
      <c r="A29" s="2497" t="s">
        <v>2513</v>
      </c>
      <c r="B29" s="2496" t="s">
        <v>2454</v>
      </c>
      <c r="C29" s="2496"/>
      <c r="D29" s="2496"/>
      <c r="E29" s="2496" t="s">
        <v>2514</v>
      </c>
      <c r="F29" s="2496"/>
      <c r="G29" s="2496"/>
    </row>
    <row r="30" spans="1:9">
      <c r="A30" s="2495">
        <v>2</v>
      </c>
      <c r="B30" s="2496" t="s">
        <v>2515</v>
      </c>
      <c r="C30" s="2496">
        <f>C27*D30</f>
        <v>0</v>
      </c>
      <c r="D30" s="2498">
        <v>0.2</v>
      </c>
      <c r="E30" s="2496" t="s">
        <v>2516</v>
      </c>
      <c r="F30" s="2496"/>
      <c r="G30" s="2496"/>
    </row>
    <row r="31" spans="1:9">
      <c r="A31" s="2495">
        <v>3</v>
      </c>
      <c r="B31" s="2496" t="s">
        <v>2517</v>
      </c>
      <c r="C31" s="2496">
        <f>C25*D31</f>
        <v>0</v>
      </c>
      <c r="D31" s="2498">
        <v>0.15</v>
      </c>
      <c r="E31" s="2496" t="s">
        <v>2518</v>
      </c>
      <c r="F31" s="2496"/>
      <c r="G31" s="2496"/>
    </row>
    <row r="32" spans="1:9">
      <c r="A32" s="2495">
        <v>4</v>
      </c>
      <c r="B32" s="2496" t="s">
        <v>2519</v>
      </c>
      <c r="C32" s="2496">
        <f>C27*D32</f>
        <v>0</v>
      </c>
      <c r="D32" s="2498">
        <v>0.05</v>
      </c>
      <c r="E32" s="3499"/>
      <c r="F32" s="3499"/>
      <c r="G32" s="3499"/>
    </row>
    <row r="33" spans="1:7" hidden="1">
      <c r="A33" s="3494" t="s">
        <v>2520</v>
      </c>
      <c r="B33" s="3495"/>
      <c r="C33" s="3495"/>
      <c r="D33" s="3496"/>
      <c r="E33" s="3497"/>
      <c r="F33" s="3497"/>
      <c r="G33" s="3497"/>
    </row>
    <row r="34" spans="1:7" hidden="1">
      <c r="A34" s="2499">
        <v>1</v>
      </c>
      <c r="B34" s="2496" t="s">
        <v>2521</v>
      </c>
      <c r="C34" s="2496"/>
      <c r="D34" s="2496"/>
      <c r="E34" s="3498"/>
      <c r="F34" s="3498"/>
      <c r="G34" s="3498"/>
    </row>
    <row r="35" spans="1:7" hidden="1">
      <c r="A35" s="2499">
        <v>2</v>
      </c>
      <c r="B35" s="2496" t="s">
        <v>2522</v>
      </c>
      <c r="C35" s="2496"/>
      <c r="D35" s="2496"/>
      <c r="E35" s="3498"/>
      <c r="F35" s="3498"/>
      <c r="G35" s="3498"/>
    </row>
    <row r="36" spans="1:7" hidden="1">
      <c r="A36" s="2499">
        <v>3</v>
      </c>
      <c r="B36" s="2496" t="s">
        <v>2523</v>
      </c>
      <c r="C36" s="2496"/>
      <c r="D36" s="2496"/>
      <c r="E36" s="3498"/>
      <c r="F36" s="3498"/>
      <c r="G36" s="3498"/>
    </row>
    <row r="37" spans="1:7" hidden="1">
      <c r="A37" s="2499">
        <v>4</v>
      </c>
      <c r="B37" s="2496" t="s">
        <v>2524</v>
      </c>
      <c r="C37" s="2496"/>
      <c r="D37" s="2496"/>
      <c r="E37" s="3498"/>
      <c r="F37" s="3498"/>
      <c r="G37" s="3498"/>
    </row>
    <row r="38" spans="1:7" hidden="1">
      <c r="A38" s="3494" t="s">
        <v>2525</v>
      </c>
      <c r="B38" s="3495"/>
      <c r="C38" s="3495"/>
      <c r="D38" s="3496"/>
      <c r="E38" s="3497"/>
      <c r="F38" s="3497"/>
      <c r="G38" s="34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2434</v>
      </c>
      <c r="B8" s="2436" t="s">
        <v>2436</v>
      </c>
      <c r="C8" s="2437"/>
      <c r="D8" s="749"/>
      <c r="E8" s="750"/>
      <c r="F8" s="750"/>
      <c r="G8" s="751"/>
    </row>
    <row r="9" spans="1:25" s="2168" customFormat="1" ht="13.5" customHeight="1">
      <c r="A9" s="2433" t="s">
        <v>2435</v>
      </c>
      <c r="B9" s="2436" t="s">
        <v>2437</v>
      </c>
      <c r="C9" s="2437"/>
      <c r="D9" s="749"/>
      <c r="E9" s="750"/>
      <c r="F9" s="750"/>
      <c r="G9" s="751"/>
    </row>
    <row r="10" spans="1:25" s="2168" customFormat="1" ht="36">
      <c r="A10" s="2433">
        <v>2</v>
      </c>
      <c r="B10" s="748" t="s">
        <v>613</v>
      </c>
      <c r="C10" s="749">
        <f>C11+C14+C15</f>
        <v>0</v>
      </c>
      <c r="D10" s="760">
        <f>'数据-汇总表'!E3</f>
        <v>62924.7</v>
      </c>
      <c r="E10" s="749">
        <f>'数据-取费表'!B31</f>
        <v>100</v>
      </c>
      <c r="F10" s="761"/>
      <c r="G10" s="759" t="s">
        <v>614</v>
      </c>
    </row>
    <row r="11" spans="1:25" s="2168" customFormat="1" ht="13.5" customHeight="1">
      <c r="A11" s="2433" t="s">
        <v>2434</v>
      </c>
      <c r="B11" s="752" t="s">
        <v>610</v>
      </c>
      <c r="C11" s="753">
        <f>'数据-取费表'!B29</f>
        <v>0</v>
      </c>
      <c r="D11" s="754"/>
      <c r="E11" s="753"/>
      <c r="F11" s="755"/>
      <c r="G11" s="2442" t="s">
        <v>2445</v>
      </c>
    </row>
    <row r="12" spans="1:25" s="2168" customFormat="1" ht="13.5" customHeight="1">
      <c r="A12" s="2440" t="s">
        <v>2442</v>
      </c>
      <c r="B12" s="756" t="s">
        <v>611</v>
      </c>
      <c r="C12" s="757">
        <f>ROUND(D12*E12/10000,0)</f>
        <v>1267</v>
      </c>
      <c r="D12" s="758">
        <f>'数据-汇总表'!E5</f>
        <v>43687.839999999997</v>
      </c>
      <c r="E12" s="757">
        <f>'数据-取费表'!B27</f>
        <v>290</v>
      </c>
      <c r="F12" s="755"/>
      <c r="G12" s="759"/>
    </row>
    <row r="13" spans="1:25" s="2168" customFormat="1" ht="13.5" customHeight="1">
      <c r="A13" s="2440" t="s">
        <v>2441</v>
      </c>
      <c r="B13" s="756" t="s">
        <v>612</v>
      </c>
      <c r="C13" s="757">
        <f>ROUND(D13*E13/10000,0)</f>
        <v>558</v>
      </c>
      <c r="D13" s="758">
        <f>'数据-汇总表'!E6</f>
        <v>19236.86</v>
      </c>
      <c r="E13" s="757">
        <f>'数据-取费表'!B28</f>
        <v>290</v>
      </c>
      <c r="F13" s="755"/>
      <c r="G13" s="759"/>
    </row>
    <row r="14" spans="1:25" s="2168" customFormat="1" ht="13.5" customHeight="1">
      <c r="A14" s="2433" t="s">
        <v>2435</v>
      </c>
      <c r="B14" s="2439" t="s">
        <v>2438</v>
      </c>
      <c r="C14" s="2437"/>
      <c r="D14" s="758"/>
      <c r="E14" s="757"/>
      <c r="F14" s="2438"/>
      <c r="G14" s="2441" t="s">
        <v>2443</v>
      </c>
    </row>
    <row r="15" spans="1:25" s="2168" customFormat="1" ht="13.5" customHeight="1">
      <c r="A15" s="2433" t="s">
        <v>2440</v>
      </c>
      <c r="B15" s="2439" t="s">
        <v>2439</v>
      </c>
      <c r="C15" s="2437"/>
      <c r="D15" s="758"/>
      <c r="E15" s="757"/>
      <c r="F15" s="2438"/>
      <c r="G15" s="2441" t="s">
        <v>2444</v>
      </c>
    </row>
    <row r="16" spans="1:25" s="2169" customFormat="1" ht="48">
      <c r="A16" s="2433">
        <v>3</v>
      </c>
      <c r="B16" s="748" t="s">
        <v>615</v>
      </c>
      <c r="C16" s="2437"/>
      <c r="D16" s="760"/>
      <c r="E16" s="749"/>
      <c r="F16" s="761"/>
      <c r="G16" s="759" t="s">
        <v>2446</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18" t="s">
        <v>522</v>
      </c>
      <c r="D4" s="3419"/>
      <c r="E4" s="3442" t="s">
        <v>523</v>
      </c>
      <c r="F4" s="3443"/>
      <c r="G4" s="3418" t="s">
        <v>524</v>
      </c>
      <c r="H4" s="3419"/>
      <c r="I4" s="3418" t="s">
        <v>525</v>
      </c>
      <c r="J4" s="3419"/>
      <c r="K4" s="853" t="s">
        <v>526</v>
      </c>
      <c r="L4" s="2118"/>
      <c r="M4" s="2119"/>
      <c r="N4" s="2119"/>
      <c r="O4" s="2119"/>
      <c r="P4" s="3420" t="s">
        <v>527</v>
      </c>
      <c r="Q4" s="3421"/>
      <c r="R4" s="3406" t="s">
        <v>523</v>
      </c>
      <c r="S4" s="3407"/>
      <c r="T4" s="3406" t="s">
        <v>524</v>
      </c>
      <c r="U4" s="3407"/>
      <c r="V4" s="3426" t="s">
        <v>525</v>
      </c>
      <c r="W4" s="3426"/>
      <c r="X4" s="1553"/>
      <c r="Y4" s="3406" t="s">
        <v>527</v>
      </c>
      <c r="Z4" s="3407"/>
      <c r="AA4" s="3401" t="s">
        <v>523</v>
      </c>
      <c r="AB4" s="3401" t="s">
        <v>524</v>
      </c>
      <c r="AC4" s="3401" t="s">
        <v>525</v>
      </c>
    </row>
    <row r="5" spans="1:29" ht="15">
      <c r="A5" s="515"/>
      <c r="B5" s="516"/>
      <c r="C5" s="3429" t="s">
        <v>2917</v>
      </c>
      <c r="D5" s="3430"/>
      <c r="E5" s="3444" t="s">
        <v>2918</v>
      </c>
      <c r="F5" s="3445"/>
      <c r="G5" s="3429" t="s">
        <v>2919</v>
      </c>
      <c r="H5" s="3430"/>
      <c r="I5" s="3429" t="s">
        <v>2920</v>
      </c>
      <c r="J5" s="3430"/>
      <c r="K5" s="854"/>
      <c r="L5" s="2118"/>
      <c r="M5" s="2119"/>
      <c r="N5" s="2119"/>
      <c r="O5" s="2119"/>
      <c r="P5" s="3422"/>
      <c r="Q5" s="3423"/>
      <c r="R5" s="3408"/>
      <c r="S5" s="3409"/>
      <c r="T5" s="3408"/>
      <c r="U5" s="3409"/>
      <c r="V5" s="3426"/>
      <c r="W5" s="3426"/>
      <c r="X5" s="1553"/>
      <c r="Y5" s="3408"/>
      <c r="Z5" s="3409"/>
      <c r="AA5" s="3402"/>
      <c r="AB5" s="3402"/>
      <c r="AC5" s="3402"/>
    </row>
    <row r="6" spans="1:29" ht="15.75" thickBot="1">
      <c r="A6" s="517"/>
      <c r="B6" s="518"/>
      <c r="C6" s="3427" t="s">
        <v>2921</v>
      </c>
      <c r="D6" s="3428"/>
      <c r="E6" s="3446" t="s">
        <v>2921</v>
      </c>
      <c r="F6" s="3447"/>
      <c r="G6" s="3427" t="s">
        <v>2921</v>
      </c>
      <c r="H6" s="3428"/>
      <c r="I6" s="3427" t="s">
        <v>2921</v>
      </c>
      <c r="J6" s="3428"/>
      <c r="K6" s="854" t="s">
        <v>528</v>
      </c>
      <c r="L6" s="2118"/>
      <c r="M6" s="2119"/>
      <c r="N6" s="2119"/>
      <c r="O6" s="2119"/>
      <c r="P6" s="3424"/>
      <c r="Q6" s="3425"/>
      <c r="R6" s="3408"/>
      <c r="S6" s="3409"/>
      <c r="T6" s="3410"/>
      <c r="U6" s="3411"/>
      <c r="V6" s="3426"/>
      <c r="W6" s="3426"/>
      <c r="X6" s="1553"/>
      <c r="Y6" s="3410"/>
      <c r="Z6" s="3411"/>
      <c r="AA6" s="3403"/>
      <c r="AB6" s="3403"/>
      <c r="AC6" s="3403"/>
    </row>
    <row r="7" spans="1:29" s="1215" customFormat="1" ht="15.75" thickBot="1">
      <c r="A7" s="2867"/>
      <c r="B7" s="2874" t="s">
        <v>529</v>
      </c>
      <c r="C7" s="519">
        <f>'数据-取费表'!B2</f>
        <v>43994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4" t="s">
        <v>530</v>
      </c>
      <c r="Q7" s="3413"/>
      <c r="R7" s="1554" t="s">
        <v>13</v>
      </c>
      <c r="S7" s="1555">
        <f t="shared" ref="S7:S15" si="0">F7</f>
        <v>0</v>
      </c>
      <c r="T7" s="1554" t="s">
        <v>13</v>
      </c>
      <c r="U7" s="1555">
        <f t="shared" ref="U7:U15" si="1">H7</f>
        <v>0</v>
      </c>
      <c r="V7" s="1554" t="s">
        <v>13</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4" t="s">
        <v>533</v>
      </c>
      <c r="Q8" s="3405"/>
      <c r="R8" s="1554" t="s">
        <v>13</v>
      </c>
      <c r="S8" s="1555">
        <f t="shared" si="0"/>
        <v>0</v>
      </c>
      <c r="T8" s="1554" t="s">
        <v>13</v>
      </c>
      <c r="U8" s="1555">
        <f t="shared" si="1"/>
        <v>0</v>
      </c>
      <c r="V8" s="1554" t="s">
        <v>13</v>
      </c>
      <c r="W8" s="1555">
        <f t="shared" si="2"/>
        <v>0</v>
      </c>
      <c r="X8" s="1556"/>
      <c r="Y8" s="3404" t="s">
        <v>533</v>
      </c>
      <c r="Z8" s="3405"/>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12" t="s">
        <v>535</v>
      </c>
      <c r="Q9" s="1146" t="str">
        <f t="shared" ref="Q9:Q15" si="6">B9</f>
        <v>用途</v>
      </c>
      <c r="R9" s="1554" t="s">
        <v>8</v>
      </c>
      <c r="S9" s="1555">
        <f t="shared" si="0"/>
        <v>100</v>
      </c>
      <c r="T9" s="1554" t="s">
        <v>8</v>
      </c>
      <c r="U9" s="1555">
        <f t="shared" si="1"/>
        <v>100</v>
      </c>
      <c r="V9" s="1554" t="s">
        <v>8</v>
      </c>
      <c r="W9" s="1555">
        <f t="shared" si="2"/>
        <v>100</v>
      </c>
      <c r="X9" s="1556"/>
      <c r="Y9" s="336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12"/>
      <c r="Q10" s="1146" t="str">
        <f t="shared" si="6"/>
        <v>土地使用年限（年）</v>
      </c>
      <c r="R10" s="1554" t="s">
        <v>8</v>
      </c>
      <c r="S10" s="1555">
        <f t="shared" si="0"/>
        <v>100</v>
      </c>
      <c r="T10" s="1554" t="s">
        <v>8</v>
      </c>
      <c r="U10" s="1555">
        <f t="shared" si="1"/>
        <v>100</v>
      </c>
      <c r="V10" s="1554" t="s">
        <v>8</v>
      </c>
      <c r="W10" s="1555">
        <f t="shared" si="2"/>
        <v>100</v>
      </c>
      <c r="X10" s="1556"/>
      <c r="Y10" s="3366"/>
      <c r="Z10" s="1145" t="str">
        <f t="shared" si="7"/>
        <v>土地使用年限（年）</v>
      </c>
      <c r="AA10" s="1557">
        <f t="shared" si="3"/>
        <v>1</v>
      </c>
      <c r="AB10" s="1557">
        <f t="shared" si="4"/>
        <v>1</v>
      </c>
      <c r="AC10" s="1557">
        <f t="shared" si="5"/>
        <v>1</v>
      </c>
    </row>
    <row r="11" spans="1:29" ht="15">
      <c r="A11" s="2871"/>
      <c r="B11" s="2875"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12"/>
      <c r="Q11" s="1146" t="str">
        <f t="shared" si="6"/>
        <v>容积率</v>
      </c>
      <c r="R11" s="1554" t="s">
        <v>11</v>
      </c>
      <c r="S11" s="1555" t="e">
        <f t="shared" si="0"/>
        <v>#N/A</v>
      </c>
      <c r="T11" s="1554" t="s">
        <v>11</v>
      </c>
      <c r="U11" s="1555" t="e">
        <f t="shared" si="1"/>
        <v>#N/A</v>
      </c>
      <c r="V11" s="1554" t="s">
        <v>11</v>
      </c>
      <c r="W11" s="1555" t="e">
        <f t="shared" si="2"/>
        <v>#N/A</v>
      </c>
      <c r="X11" s="1556"/>
      <c r="Y11" s="336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2"/>
      <c r="Q12" s="1146">
        <f t="shared" si="6"/>
        <v>111</v>
      </c>
      <c r="R12" s="1554" t="s">
        <v>11</v>
      </c>
      <c r="S12" s="1555">
        <f t="shared" si="0"/>
        <v>100</v>
      </c>
      <c r="T12" s="1554" t="s">
        <v>11</v>
      </c>
      <c r="U12" s="1555">
        <f t="shared" si="1"/>
        <v>100</v>
      </c>
      <c r="V12" s="1554" t="s">
        <v>11</v>
      </c>
      <c r="W12" s="1555">
        <f t="shared" si="2"/>
        <v>100</v>
      </c>
      <c r="X12" s="1556"/>
      <c r="Y12" s="3366"/>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2"/>
      <c r="Q13" s="1146">
        <f t="shared" si="6"/>
        <v>111</v>
      </c>
      <c r="R13" s="1554" t="s">
        <v>11</v>
      </c>
      <c r="S13" s="1555">
        <f t="shared" si="0"/>
        <v>100</v>
      </c>
      <c r="T13" s="1554" t="s">
        <v>11</v>
      </c>
      <c r="U13" s="1555">
        <f t="shared" si="1"/>
        <v>100</v>
      </c>
      <c r="V13" s="1554" t="s">
        <v>11</v>
      </c>
      <c r="W13" s="1555">
        <f t="shared" si="2"/>
        <v>100</v>
      </c>
      <c r="X13" s="1556"/>
      <c r="Y13" s="3366"/>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2"/>
      <c r="Q14" s="1146">
        <f t="shared" si="6"/>
        <v>111</v>
      </c>
      <c r="R14" s="1554" t="s">
        <v>11</v>
      </c>
      <c r="S14" s="1555">
        <f t="shared" si="0"/>
        <v>100</v>
      </c>
      <c r="T14" s="1554" t="s">
        <v>11</v>
      </c>
      <c r="U14" s="1555">
        <f t="shared" si="1"/>
        <v>100</v>
      </c>
      <c r="V14" s="1554" t="s">
        <v>11</v>
      </c>
      <c r="W14" s="1555">
        <f t="shared" si="2"/>
        <v>100</v>
      </c>
      <c r="X14" s="1556"/>
      <c r="Y14" s="3366"/>
      <c r="Z14" s="1145">
        <f t="shared" si="7"/>
        <v>111</v>
      </c>
      <c r="AA14" s="1557">
        <f t="shared" si="3"/>
        <v>1</v>
      </c>
      <c r="AB14" s="1557">
        <f t="shared" si="4"/>
        <v>1</v>
      </c>
      <c r="AC14" s="1557">
        <f t="shared" si="5"/>
        <v>1</v>
      </c>
    </row>
    <row r="15" spans="1:29" ht="15">
      <c r="A15" s="2865" t="s">
        <v>2747</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14" t="s">
        <v>540</v>
      </c>
      <c r="Q15" s="1558" t="str">
        <f t="shared" si="6"/>
        <v>居住社区成熟度</v>
      </c>
      <c r="R15" s="1559" t="s">
        <v>11</v>
      </c>
      <c r="S15" s="1560">
        <f t="shared" si="0"/>
        <v>100</v>
      </c>
      <c r="T15" s="1559" t="s">
        <v>11</v>
      </c>
      <c r="U15" s="1560">
        <f t="shared" si="1"/>
        <v>100</v>
      </c>
      <c r="V15" s="1559" t="s">
        <v>11</v>
      </c>
      <c r="W15" s="1560">
        <f t="shared" si="2"/>
        <v>100</v>
      </c>
      <c r="X15" s="1553"/>
      <c r="Y15" s="3414"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15"/>
      <c r="Q16" s="1558"/>
      <c r="R16" s="1559"/>
      <c r="S16" s="1560"/>
      <c r="T16" s="1559"/>
      <c r="U16" s="1560"/>
      <c r="V16" s="1559"/>
      <c r="W16" s="1560"/>
      <c r="X16" s="1553"/>
      <c r="Y16" s="3415"/>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15"/>
      <c r="Q17" s="1558" t="str">
        <f>B17</f>
        <v>交通便捷度</v>
      </c>
      <c r="R17" s="1559" t="s">
        <v>11</v>
      </c>
      <c r="S17" s="1560">
        <f>F17</f>
        <v>100</v>
      </c>
      <c r="T17" s="1559" t="s">
        <v>11</v>
      </c>
      <c r="U17" s="1560">
        <f>H17</f>
        <v>100</v>
      </c>
      <c r="V17" s="1559" t="s">
        <v>11</v>
      </c>
      <c r="W17" s="1560">
        <f>J17</f>
        <v>100</v>
      </c>
      <c r="X17" s="1553"/>
      <c r="Y17" s="341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15"/>
      <c r="Q18" s="1558"/>
      <c r="R18" s="1559"/>
      <c r="S18" s="1560"/>
      <c r="T18" s="1559"/>
      <c r="U18" s="1560"/>
      <c r="V18" s="1559"/>
      <c r="W18" s="1560"/>
      <c r="X18" s="1553"/>
      <c r="Y18" s="3415"/>
      <c r="Z18" s="1561"/>
      <c r="AA18" s="1562">
        <v>1</v>
      </c>
      <c r="AB18" s="1562">
        <v>1</v>
      </c>
      <c r="AC18" s="1562">
        <v>1</v>
      </c>
    </row>
    <row r="19" spans="1:29" ht="15">
      <c r="A19" s="532"/>
      <c r="B19" s="2564" t="s">
        <v>2540</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15"/>
      <c r="Q19" s="1558" t="str">
        <f>B19</f>
        <v>公共配套设施</v>
      </c>
      <c r="R19" s="1559" t="s">
        <v>11</v>
      </c>
      <c r="S19" s="1560">
        <f>F19</f>
        <v>100</v>
      </c>
      <c r="T19" s="1559" t="s">
        <v>11</v>
      </c>
      <c r="U19" s="1560">
        <f>H19</f>
        <v>100</v>
      </c>
      <c r="V19" s="1559" t="s">
        <v>11</v>
      </c>
      <c r="W19" s="1560">
        <f>J19</f>
        <v>100</v>
      </c>
      <c r="X19" s="1553"/>
      <c r="Y19" s="341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15"/>
      <c r="Q20" s="1558"/>
      <c r="R20" s="1559"/>
      <c r="S20" s="1560"/>
      <c r="T20" s="1559"/>
      <c r="U20" s="1560"/>
      <c r="V20" s="1559"/>
      <c r="W20" s="1560"/>
      <c r="X20" s="1553"/>
      <c r="Y20" s="3415"/>
      <c r="Z20" s="1561"/>
      <c r="AA20" s="1562">
        <v>1</v>
      </c>
      <c r="AB20" s="1562">
        <v>1</v>
      </c>
      <c r="AC20" s="1562">
        <v>1</v>
      </c>
    </row>
    <row r="21" spans="1:29" ht="15">
      <c r="A21" s="532"/>
      <c r="B21" s="2557" t="s">
        <v>2552</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15"/>
      <c r="Q21" s="2543" t="str">
        <f>B21</f>
        <v>基础设施水平</v>
      </c>
      <c r="R21" s="1559" t="s">
        <v>11</v>
      </c>
      <c r="S21" s="1560">
        <f>F21</f>
        <v>100</v>
      </c>
      <c r="T21" s="1559" t="s">
        <v>11</v>
      </c>
      <c r="U21" s="1560">
        <f>H21</f>
        <v>100</v>
      </c>
      <c r="V21" s="1559" t="s">
        <v>11</v>
      </c>
      <c r="W21" s="1560">
        <f>J21</f>
        <v>100</v>
      </c>
      <c r="X21" s="2545"/>
      <c r="Y21" s="341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15"/>
      <c r="Q22" s="2543"/>
      <c r="R22" s="1559"/>
      <c r="S22" s="1560"/>
      <c r="T22" s="1559"/>
      <c r="U22" s="1560"/>
      <c r="V22" s="1559"/>
      <c r="W22" s="1560"/>
      <c r="X22" s="2545"/>
      <c r="Y22" s="3415"/>
      <c r="Z22" s="2544"/>
      <c r="AA22" s="1562">
        <v>1</v>
      </c>
      <c r="AB22" s="1562">
        <v>1</v>
      </c>
      <c r="AC22" s="156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15"/>
      <c r="Q23" s="1558" t="str">
        <f>B23</f>
        <v>自然及人文环境</v>
      </c>
      <c r="R23" s="1559" t="s">
        <v>11</v>
      </c>
      <c r="S23" s="1560">
        <f>F23</f>
        <v>100</v>
      </c>
      <c r="T23" s="1559" t="s">
        <v>11</v>
      </c>
      <c r="U23" s="1560">
        <f>H23</f>
        <v>100</v>
      </c>
      <c r="V23" s="1559" t="s">
        <v>11</v>
      </c>
      <c r="W23" s="1560">
        <f>J23</f>
        <v>100</v>
      </c>
      <c r="X23" s="1553"/>
      <c r="Y23" s="341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15"/>
      <c r="Q24" s="1558"/>
      <c r="R24" s="1559"/>
      <c r="S24" s="1560"/>
      <c r="T24" s="1559"/>
      <c r="U24" s="1560"/>
      <c r="V24" s="1559"/>
      <c r="W24" s="1560"/>
      <c r="X24" s="1553"/>
      <c r="Y24" s="3415"/>
      <c r="Z24" s="1561"/>
      <c r="AA24" s="1562">
        <v>1</v>
      </c>
      <c r="AB24" s="1562">
        <v>1</v>
      </c>
      <c r="AC24" s="1562">
        <v>1</v>
      </c>
    </row>
    <row r="25" spans="1:29" ht="15">
      <c r="A25" s="532"/>
      <c r="B25" s="1880" t="s">
        <v>2251</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5"/>
      <c r="Q25" s="1558" t="str">
        <f t="shared" ref="Q25:Q46" si="11">B25</f>
        <v>楼层-1</v>
      </c>
      <c r="R25" s="1559" t="s">
        <v>11</v>
      </c>
      <c r="S25" s="1560">
        <f>F25</f>
        <v>100</v>
      </c>
      <c r="T25" s="1559" t="s">
        <v>11</v>
      </c>
      <c r="U25" s="1560">
        <f>H25</f>
        <v>100</v>
      </c>
      <c r="V25" s="1559" t="s">
        <v>11</v>
      </c>
      <c r="W25" s="1560">
        <f>J25</f>
        <v>100</v>
      </c>
      <c r="X25" s="1553"/>
      <c r="Y25" s="3415"/>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5"/>
      <c r="Q26" s="1558" t="str">
        <f t="shared" si="11"/>
        <v>朝向</v>
      </c>
      <c r="R26" s="1559" t="s">
        <v>11</v>
      </c>
      <c r="S26" s="1560">
        <f>F26</f>
        <v>100</v>
      </c>
      <c r="T26" s="1559" t="s">
        <v>11</v>
      </c>
      <c r="U26" s="1560">
        <f>H26</f>
        <v>100</v>
      </c>
      <c r="V26" s="1559" t="s">
        <v>11</v>
      </c>
      <c r="W26" s="1560">
        <f>J26</f>
        <v>100</v>
      </c>
      <c r="X26" s="1553"/>
      <c r="Y26" s="3415"/>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5"/>
      <c r="Q27" s="1146" t="str">
        <f t="shared" si="11"/>
        <v>道路级别</v>
      </c>
      <c r="R27" s="1554" t="s">
        <v>11</v>
      </c>
      <c r="S27" s="1555">
        <f>F27</f>
        <v>100</v>
      </c>
      <c r="T27" s="1554" t="s">
        <v>11</v>
      </c>
      <c r="U27" s="1555">
        <f>H27</f>
        <v>100</v>
      </c>
      <c r="V27" s="1554" t="s">
        <v>11</v>
      </c>
      <c r="W27" s="1555">
        <f>J27</f>
        <v>100</v>
      </c>
      <c r="X27" s="1556"/>
      <c r="Y27" s="3415"/>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5"/>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5"/>
      <c r="Q29" s="1558">
        <f t="shared" si="11"/>
        <v>111</v>
      </c>
      <c r="R29" s="1559" t="s">
        <v>11</v>
      </c>
      <c r="S29" s="1560">
        <f t="shared" si="12"/>
        <v>100</v>
      </c>
      <c r="T29" s="1559" t="s">
        <v>11</v>
      </c>
      <c r="U29" s="1560">
        <f t="shared" si="13"/>
        <v>100</v>
      </c>
      <c r="V29" s="1559" t="s">
        <v>11</v>
      </c>
      <c r="W29" s="1560">
        <f t="shared" si="14"/>
        <v>100</v>
      </c>
      <c r="X29" s="1553"/>
      <c r="Y29" s="341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5"/>
      <c r="Q30" s="1558">
        <f t="shared" si="11"/>
        <v>111</v>
      </c>
      <c r="R30" s="1559" t="s">
        <v>11</v>
      </c>
      <c r="S30" s="1560">
        <f t="shared" si="12"/>
        <v>100</v>
      </c>
      <c r="T30" s="1559" t="s">
        <v>11</v>
      </c>
      <c r="U30" s="1560">
        <f t="shared" si="13"/>
        <v>100</v>
      </c>
      <c r="V30" s="1559" t="s">
        <v>11</v>
      </c>
      <c r="W30" s="1560">
        <f t="shared" si="14"/>
        <v>100</v>
      </c>
      <c r="X30" s="1553"/>
      <c r="Y30" s="3415"/>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5"/>
      <c r="Q31" s="1558">
        <f t="shared" si="11"/>
        <v>111</v>
      </c>
      <c r="R31" s="1559" t="s">
        <v>11</v>
      </c>
      <c r="S31" s="1560">
        <f t="shared" si="12"/>
        <v>100</v>
      </c>
      <c r="T31" s="1559" t="s">
        <v>11</v>
      </c>
      <c r="U31" s="1560">
        <f t="shared" si="13"/>
        <v>100</v>
      </c>
      <c r="V31" s="1559" t="s">
        <v>11</v>
      </c>
      <c r="W31" s="1560">
        <f t="shared" si="14"/>
        <v>100</v>
      </c>
      <c r="X31" s="1553"/>
      <c r="Y31" s="3415"/>
      <c r="Z31" s="1561">
        <f t="shared" si="15"/>
        <v>111</v>
      </c>
      <c r="AA31" s="1562">
        <f t="shared" si="3"/>
        <v>1</v>
      </c>
      <c r="AB31" s="1562">
        <f t="shared" si="4"/>
        <v>1</v>
      </c>
      <c r="AC31" s="1562">
        <f t="shared" si="5"/>
        <v>1</v>
      </c>
    </row>
    <row r="32" spans="1:29" ht="15">
      <c r="A32" s="2862"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16" t="s">
        <v>550</v>
      </c>
      <c r="Q32" s="1558" t="str">
        <f t="shared" si="11"/>
        <v>建筑类型</v>
      </c>
      <c r="R32" s="1559" t="s">
        <v>11</v>
      </c>
      <c r="S32" s="1560">
        <f t="shared" si="12"/>
        <v>100</v>
      </c>
      <c r="T32" s="1559" t="s">
        <v>11</v>
      </c>
      <c r="U32" s="1560">
        <f t="shared" si="13"/>
        <v>100</v>
      </c>
      <c r="V32" s="1559" t="s">
        <v>11</v>
      </c>
      <c r="W32" s="1560">
        <f t="shared" si="14"/>
        <v>100</v>
      </c>
      <c r="X32" s="1553"/>
      <c r="Y32" s="3417"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17"/>
      <c r="Q33" s="1590" t="str">
        <f t="shared" si="11"/>
        <v>项目建筑规模</v>
      </c>
      <c r="R33" s="1563" t="s">
        <v>11</v>
      </c>
      <c r="S33" s="1564" t="e">
        <f t="shared" si="12"/>
        <v>#N/A</v>
      </c>
      <c r="T33" s="1563" t="s">
        <v>11</v>
      </c>
      <c r="U33" s="1564" t="e">
        <f t="shared" si="13"/>
        <v>#N/A</v>
      </c>
      <c r="V33" s="1563" t="s">
        <v>11</v>
      </c>
      <c r="W33" s="1564" t="e">
        <f t="shared" si="14"/>
        <v>#N/A</v>
      </c>
      <c r="X33" s="1565"/>
      <c r="Y33" s="341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17"/>
      <c r="Q34" s="1558" t="str">
        <f t="shared" si="11"/>
        <v>建筑结构</v>
      </c>
      <c r="R34" s="1559" t="s">
        <v>11</v>
      </c>
      <c r="S34" s="1560">
        <f t="shared" si="12"/>
        <v>100</v>
      </c>
      <c r="T34" s="1559" t="s">
        <v>11</v>
      </c>
      <c r="U34" s="1560">
        <f t="shared" si="13"/>
        <v>100</v>
      </c>
      <c r="V34" s="1559" t="s">
        <v>11</v>
      </c>
      <c r="W34" s="1560">
        <f t="shared" si="14"/>
        <v>100</v>
      </c>
      <c r="X34" s="1553"/>
      <c r="Y34" s="3417"/>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17"/>
      <c r="Q35" s="1558" t="str">
        <f t="shared" si="11"/>
        <v>建筑品质</v>
      </c>
      <c r="R35" s="1559" t="s">
        <v>11</v>
      </c>
      <c r="S35" s="1560">
        <f t="shared" si="12"/>
        <v>100</v>
      </c>
      <c r="T35" s="1559" t="s">
        <v>11</v>
      </c>
      <c r="U35" s="1560">
        <f t="shared" si="13"/>
        <v>100</v>
      </c>
      <c r="V35" s="1559" t="s">
        <v>11</v>
      </c>
      <c r="W35" s="1560">
        <f t="shared" si="14"/>
        <v>100</v>
      </c>
      <c r="X35" s="1553"/>
      <c r="Y35" s="3417"/>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17"/>
      <c r="Q36" s="1558" t="str">
        <f t="shared" si="11"/>
        <v>公共部分装修</v>
      </c>
      <c r="R36" s="1559" t="s">
        <v>11</v>
      </c>
      <c r="S36" s="1560">
        <f t="shared" si="12"/>
        <v>100</v>
      </c>
      <c r="T36" s="1559" t="s">
        <v>11</v>
      </c>
      <c r="U36" s="1560">
        <f t="shared" si="13"/>
        <v>100</v>
      </c>
      <c r="V36" s="1559" t="s">
        <v>11</v>
      </c>
      <c r="W36" s="1560">
        <f t="shared" si="14"/>
        <v>100</v>
      </c>
      <c r="X36" s="1553"/>
      <c r="Y36" s="3417"/>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17"/>
      <c r="Q37" s="1146" t="str">
        <f t="shared" si="11"/>
        <v>成新度</v>
      </c>
      <c r="R37" s="1554" t="s">
        <v>11</v>
      </c>
      <c r="S37" s="1555" t="e">
        <f t="shared" si="12"/>
        <v>#N/A</v>
      </c>
      <c r="T37" s="1554" t="s">
        <v>11</v>
      </c>
      <c r="U37" s="1555" t="e">
        <f t="shared" si="13"/>
        <v>#N/A</v>
      </c>
      <c r="V37" s="1554" t="s">
        <v>11</v>
      </c>
      <c r="W37" s="1555" t="e">
        <f t="shared" si="14"/>
        <v>#N/A</v>
      </c>
      <c r="X37" s="1556"/>
      <c r="Y37" s="3417"/>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17" t="s">
        <v>550</v>
      </c>
      <c r="Q38" s="1558" t="str">
        <f t="shared" si="11"/>
        <v>物业管理</v>
      </c>
      <c r="R38" s="1559" t="s">
        <v>11</v>
      </c>
      <c r="S38" s="1560">
        <f t="shared" si="12"/>
        <v>100</v>
      </c>
      <c r="T38" s="1559" t="s">
        <v>11</v>
      </c>
      <c r="U38" s="1560">
        <f t="shared" si="13"/>
        <v>100</v>
      </c>
      <c r="V38" s="1559" t="s">
        <v>11</v>
      </c>
      <c r="W38" s="1560">
        <f t="shared" si="14"/>
        <v>100</v>
      </c>
      <c r="X38" s="1553"/>
      <c r="Y38" s="3417" t="s">
        <v>550</v>
      </c>
      <c r="Z38" s="1561" t="str">
        <f t="shared" si="15"/>
        <v>物业管理</v>
      </c>
      <c r="AA38" s="1562">
        <f t="shared" si="3"/>
        <v>1</v>
      </c>
      <c r="AB38" s="1562">
        <f t="shared" si="4"/>
        <v>1</v>
      </c>
      <c r="AC38" s="1562">
        <f t="shared" si="5"/>
        <v>1</v>
      </c>
    </row>
    <row r="39" spans="1:29" ht="15">
      <c r="A39" s="594"/>
      <c r="B39" s="1880"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17"/>
      <c r="Q39" s="1558" t="str">
        <f t="shared" si="11"/>
        <v>市政基础设施</v>
      </c>
      <c r="R39" s="1559" t="s">
        <v>11</v>
      </c>
      <c r="S39" s="1560">
        <f t="shared" si="12"/>
        <v>100</v>
      </c>
      <c r="T39" s="1559" t="s">
        <v>11</v>
      </c>
      <c r="U39" s="1560">
        <f t="shared" si="13"/>
        <v>100</v>
      </c>
      <c r="V39" s="1559" t="s">
        <v>11</v>
      </c>
      <c r="W39" s="1560">
        <f t="shared" si="14"/>
        <v>100</v>
      </c>
      <c r="X39" s="1553"/>
      <c r="Y39" s="3417"/>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7"/>
      <c r="Q40" s="1558" t="str">
        <f t="shared" si="11"/>
        <v>房型</v>
      </c>
      <c r="R40" s="1559" t="s">
        <v>11</v>
      </c>
      <c r="S40" s="1560">
        <f t="shared" si="12"/>
        <v>100</v>
      </c>
      <c r="T40" s="1559" t="s">
        <v>11</v>
      </c>
      <c r="U40" s="1560">
        <f t="shared" si="13"/>
        <v>100</v>
      </c>
      <c r="V40" s="1559" t="s">
        <v>11</v>
      </c>
      <c r="W40" s="1560">
        <f t="shared" si="14"/>
        <v>100</v>
      </c>
      <c r="X40" s="1553"/>
      <c r="Y40" s="3417"/>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7"/>
      <c r="Q41" s="1590" t="str">
        <f t="shared" si="11"/>
        <v>单套/主力户型建筑面积</v>
      </c>
      <c r="R41" s="1563" t="s">
        <v>11</v>
      </c>
      <c r="S41" s="1564">
        <f t="shared" si="12"/>
        <v>100</v>
      </c>
      <c r="T41" s="1563" t="s">
        <v>11</v>
      </c>
      <c r="U41" s="1564">
        <f t="shared" si="13"/>
        <v>100</v>
      </c>
      <c r="V41" s="1563" t="s">
        <v>11</v>
      </c>
      <c r="W41" s="1564">
        <f t="shared" si="14"/>
        <v>100</v>
      </c>
      <c r="X41" s="1565"/>
      <c r="Y41" s="3417"/>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17"/>
      <c r="Q42" s="1558" t="str">
        <f t="shared" si="11"/>
        <v>内部装修</v>
      </c>
      <c r="R42" s="1559" t="s">
        <v>11</v>
      </c>
      <c r="S42" s="1560">
        <f t="shared" si="12"/>
        <v>100</v>
      </c>
      <c r="T42" s="1559" t="s">
        <v>11</v>
      </c>
      <c r="U42" s="1560">
        <f t="shared" si="13"/>
        <v>100</v>
      </c>
      <c r="V42" s="1559" t="s">
        <v>11</v>
      </c>
      <c r="W42" s="1560">
        <f t="shared" si="14"/>
        <v>100</v>
      </c>
      <c r="X42" s="1553"/>
      <c r="Y42" s="3417"/>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7"/>
      <c r="Q43" s="1558" t="str">
        <f t="shared" si="11"/>
        <v>内部装修维护情况</v>
      </c>
      <c r="R43" s="1559" t="s">
        <v>11</v>
      </c>
      <c r="S43" s="1560">
        <f t="shared" si="12"/>
        <v>100</v>
      </c>
      <c r="T43" s="1559" t="s">
        <v>11</v>
      </c>
      <c r="U43" s="1560">
        <f t="shared" si="13"/>
        <v>100</v>
      </c>
      <c r="V43" s="1559" t="s">
        <v>11</v>
      </c>
      <c r="W43" s="1560">
        <f t="shared" si="14"/>
        <v>100</v>
      </c>
      <c r="X43" s="1553"/>
      <c r="Y43" s="341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7"/>
      <c r="Q44" s="1146">
        <f t="shared" si="11"/>
        <v>111</v>
      </c>
      <c r="R44" s="1554" t="s">
        <v>11</v>
      </c>
      <c r="S44" s="1555">
        <f t="shared" si="12"/>
        <v>100</v>
      </c>
      <c r="T44" s="1554" t="s">
        <v>11</v>
      </c>
      <c r="U44" s="1555">
        <f t="shared" si="13"/>
        <v>100</v>
      </c>
      <c r="V44" s="1554" t="s">
        <v>11</v>
      </c>
      <c r="W44" s="1555">
        <f t="shared" si="14"/>
        <v>100</v>
      </c>
      <c r="X44" s="1556"/>
      <c r="Y44" s="341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7"/>
      <c r="Q45" s="1558">
        <f t="shared" si="11"/>
        <v>111</v>
      </c>
      <c r="R45" s="1559" t="s">
        <v>11</v>
      </c>
      <c r="S45" s="1560">
        <f t="shared" si="12"/>
        <v>100</v>
      </c>
      <c r="T45" s="1559" t="s">
        <v>11</v>
      </c>
      <c r="U45" s="1560">
        <f t="shared" si="13"/>
        <v>100</v>
      </c>
      <c r="V45" s="1559" t="s">
        <v>11</v>
      </c>
      <c r="W45" s="1560">
        <f t="shared" si="14"/>
        <v>100</v>
      </c>
      <c r="X45" s="1553"/>
      <c r="Y45" s="3417"/>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7"/>
      <c r="Q46" s="1558">
        <f t="shared" si="11"/>
        <v>111</v>
      </c>
      <c r="R46" s="1559" t="s">
        <v>10</v>
      </c>
      <c r="S46" s="1560">
        <f t="shared" si="12"/>
        <v>100</v>
      </c>
      <c r="T46" s="1559" t="s">
        <v>10</v>
      </c>
      <c r="U46" s="1560">
        <f t="shared" si="13"/>
        <v>100</v>
      </c>
      <c r="V46" s="1559" t="s">
        <v>10</v>
      </c>
      <c r="W46" s="1560">
        <f t="shared" si="14"/>
        <v>100</v>
      </c>
      <c r="X46" s="1553"/>
      <c r="Y46" s="3517"/>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412" t="str">
        <f>A47</f>
        <v>成交单价（元/平方米）</v>
      </c>
      <c r="Q47" s="3412"/>
      <c r="R47" s="3516">
        <f>E47</f>
        <v>0</v>
      </c>
      <c r="S47" s="3516"/>
      <c r="T47" s="3516">
        <f>G47</f>
        <v>0</v>
      </c>
      <c r="U47" s="3516"/>
      <c r="V47" s="3516">
        <f>I47</f>
        <v>0</v>
      </c>
      <c r="W47" s="3516"/>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2"/>
      <c r="L48" s="2129"/>
      <c r="M48" s="2130"/>
      <c r="N48" s="2130"/>
      <c r="O48" s="2130"/>
      <c r="P48" s="3412" t="str">
        <f>A48</f>
        <v>比较价格（元/平方米）</v>
      </c>
      <c r="Q48" s="3412"/>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5"/>
      <c r="Y48" s="1545"/>
      <c r="Z48" s="1545"/>
      <c r="AA48" s="1545"/>
      <c r="AB48" s="1545"/>
      <c r="AC48" s="1545"/>
    </row>
    <row r="49" spans="1:29" ht="15.75" thickBot="1">
      <c r="A49" s="621" t="s">
        <v>2923</v>
      </c>
      <c r="B49" s="622"/>
      <c r="C49" s="2600" t="e">
        <f>R49</f>
        <v>#DIV/0!</v>
      </c>
      <c r="D49" s="2600"/>
      <c r="E49" s="2600"/>
      <c r="F49" s="2600"/>
      <c r="G49" s="2600"/>
      <c r="H49" s="2600"/>
      <c r="I49" s="2600"/>
      <c r="J49" s="2600"/>
      <c r="K49" s="1593"/>
      <c r="L49" s="2129"/>
      <c r="M49" s="2130"/>
      <c r="N49" s="2130"/>
      <c r="O49" s="2130"/>
      <c r="P49" s="3433" t="str">
        <f>A49</f>
        <v>估价对象XX用房的比较价格（楼面单价，元/平方米）</v>
      </c>
      <c r="Q49" s="3434"/>
      <c r="R49" s="3515" t="e">
        <f>IF(F1="售价",ROUND(AVERAGE(R48:V48),0),ROUND(AVERAGE(R48:V48),1))</f>
        <v>#DIV/0!</v>
      </c>
      <c r="S49" s="3515"/>
      <c r="T49" s="3515"/>
      <c r="U49" s="3515"/>
      <c r="V49" s="3515"/>
      <c r="W49" s="351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2252</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2550</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2253</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2254</v>
      </c>
      <c r="C137" s="1904"/>
      <c r="D137" s="1904"/>
      <c r="E137" s="1904"/>
      <c r="F137" s="1904"/>
      <c r="G137" s="1905"/>
      <c r="H137" s="1906"/>
      <c r="I137" s="1907" t="s">
        <v>2255</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2256</v>
      </c>
      <c r="D138" s="1910" t="s">
        <v>2257</v>
      </c>
      <c r="E138" s="1911" t="s">
        <v>2258</v>
      </c>
      <c r="F138" s="1912" t="s">
        <v>2259</v>
      </c>
      <c r="G138" s="1910" t="s">
        <v>2260</v>
      </c>
      <c r="H138" s="1913" t="s">
        <v>2261</v>
      </c>
      <c r="I138" s="1914"/>
      <c r="J138" s="1910" t="s">
        <v>2262</v>
      </c>
      <c r="K138" s="1913" t="s">
        <v>2263</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2264</v>
      </c>
      <c r="E139" s="1884">
        <v>100</v>
      </c>
      <c r="F139" s="1885">
        <v>102.5</v>
      </c>
      <c r="G139" s="1915" t="s">
        <v>2265</v>
      </c>
      <c r="H139" s="1886">
        <v>105</v>
      </c>
      <c r="I139" s="1916" t="s">
        <v>2266</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2267</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2268</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2269</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2270</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2271</v>
      </c>
      <c r="E144" s="1890">
        <v>102</v>
      </c>
      <c r="F144" s="1896">
        <v>100</v>
      </c>
      <c r="G144" s="1919" t="s">
        <v>2271</v>
      </c>
      <c r="H144" s="1892">
        <v>105</v>
      </c>
      <c r="I144" s="1918" t="s">
        <v>2270</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2272</v>
      </c>
      <c r="C145" s="1897">
        <f>ROUND(MAX(C139:C144)/MIN(C139:C144)-1,3)</f>
        <v>7.2999999999999995E-2</v>
      </c>
      <c r="D145" s="1921"/>
      <c r="E145" s="1921"/>
      <c r="F145" s="1922" t="s">
        <v>2273</v>
      </c>
      <c r="G145" s="1923"/>
      <c r="H145" s="1924"/>
      <c r="I145" s="1925" t="s">
        <v>2270</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2281</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2282</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18" t="s">
        <v>522</v>
      </c>
      <c r="D4" s="3419"/>
      <c r="E4" s="3442" t="s">
        <v>523</v>
      </c>
      <c r="F4" s="3443"/>
      <c r="G4" s="3418" t="s">
        <v>524</v>
      </c>
      <c r="H4" s="3419"/>
      <c r="I4" s="3418" t="s">
        <v>525</v>
      </c>
      <c r="J4" s="3419"/>
      <c r="K4" s="514" t="s">
        <v>526</v>
      </c>
      <c r="L4" s="2118"/>
      <c r="M4" s="2119"/>
      <c r="N4" s="2119"/>
      <c r="O4" s="2119"/>
      <c r="P4" s="3420" t="s">
        <v>527</v>
      </c>
      <c r="Q4" s="3421"/>
      <c r="R4" s="3406" t="s">
        <v>523</v>
      </c>
      <c r="S4" s="3407"/>
      <c r="T4" s="3406" t="s">
        <v>524</v>
      </c>
      <c r="U4" s="3407"/>
      <c r="V4" s="3426" t="s">
        <v>525</v>
      </c>
      <c r="W4" s="3426"/>
      <c r="X4" s="1553"/>
      <c r="Y4" s="3406" t="s">
        <v>527</v>
      </c>
      <c r="Z4" s="3407"/>
      <c r="AA4" s="3401" t="s">
        <v>523</v>
      </c>
      <c r="AB4" s="3426" t="s">
        <v>524</v>
      </c>
      <c r="AC4" s="3401" t="s">
        <v>525</v>
      </c>
    </row>
    <row r="5" spans="1:29" ht="15">
      <c r="A5" s="515"/>
      <c r="B5" s="516"/>
      <c r="C5" s="3429" t="s">
        <v>2917</v>
      </c>
      <c r="D5" s="3430"/>
      <c r="E5" s="3444" t="s">
        <v>2918</v>
      </c>
      <c r="F5" s="3445"/>
      <c r="G5" s="3429" t="s">
        <v>2919</v>
      </c>
      <c r="H5" s="3430"/>
      <c r="I5" s="3429" t="s">
        <v>2920</v>
      </c>
      <c r="J5" s="3430"/>
      <c r="K5" s="514"/>
      <c r="L5" s="2118"/>
      <c r="M5" s="2119"/>
      <c r="N5" s="2119"/>
      <c r="O5" s="2119"/>
      <c r="P5" s="3422"/>
      <c r="Q5" s="3423"/>
      <c r="R5" s="3408"/>
      <c r="S5" s="3409"/>
      <c r="T5" s="3408"/>
      <c r="U5" s="3409"/>
      <c r="V5" s="3426"/>
      <c r="W5" s="3426"/>
      <c r="X5" s="1553"/>
      <c r="Y5" s="3408"/>
      <c r="Z5" s="3409"/>
      <c r="AA5" s="3402"/>
      <c r="AB5" s="3426"/>
      <c r="AC5" s="3402"/>
    </row>
    <row r="6" spans="1:29" ht="15.75" thickBot="1">
      <c r="A6" s="517"/>
      <c r="B6" s="518"/>
      <c r="C6" s="3427" t="s">
        <v>2921</v>
      </c>
      <c r="D6" s="3428"/>
      <c r="E6" s="3446" t="s">
        <v>2921</v>
      </c>
      <c r="F6" s="3447"/>
      <c r="G6" s="3427" t="s">
        <v>2921</v>
      </c>
      <c r="H6" s="3428"/>
      <c r="I6" s="3427" t="s">
        <v>2921</v>
      </c>
      <c r="J6" s="3428"/>
      <c r="K6" s="514" t="s">
        <v>528</v>
      </c>
      <c r="L6" s="2118"/>
      <c r="M6" s="2119"/>
      <c r="N6" s="2119"/>
      <c r="O6" s="2119"/>
      <c r="P6" s="3424"/>
      <c r="Q6" s="3425"/>
      <c r="R6" s="3408"/>
      <c r="S6" s="3409"/>
      <c r="T6" s="3410"/>
      <c r="U6" s="3411"/>
      <c r="V6" s="3426"/>
      <c r="W6" s="3426"/>
      <c r="X6" s="1553"/>
      <c r="Y6" s="3410"/>
      <c r="Z6" s="3411"/>
      <c r="AA6" s="3403"/>
      <c r="AB6" s="3426"/>
      <c r="AC6" s="3403"/>
    </row>
    <row r="7" spans="1:29" s="1215" customFormat="1" ht="15.75" thickBot="1">
      <c r="A7" s="2867"/>
      <c r="B7" s="2874" t="s">
        <v>529</v>
      </c>
      <c r="C7" s="519">
        <f>'数据-取费表'!B2</f>
        <v>43994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4" t="s">
        <v>530</v>
      </c>
      <c r="Q7" s="3413"/>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2" t="s">
        <v>535</v>
      </c>
      <c r="Q9" s="1146" t="str">
        <f t="shared" ref="Q9:Q15" si="6">B9</f>
        <v>用途</v>
      </c>
      <c r="R9" s="1554" t="s">
        <v>8</v>
      </c>
      <c r="S9" s="1555">
        <f t="shared" si="0"/>
        <v>100</v>
      </c>
      <c r="T9" s="1554" t="s">
        <v>8</v>
      </c>
      <c r="U9" s="1555">
        <f t="shared" si="1"/>
        <v>100</v>
      </c>
      <c r="V9" s="1554" t="s">
        <v>8</v>
      </c>
      <c r="W9" s="1555">
        <f t="shared" si="2"/>
        <v>100</v>
      </c>
      <c r="X9" s="1556"/>
      <c r="Y9" s="336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2"/>
      <c r="Q10" s="1146" t="str">
        <f t="shared" si="6"/>
        <v>土地使用年限（年）</v>
      </c>
      <c r="R10" s="1554" t="s">
        <v>8</v>
      </c>
      <c r="S10" s="1555">
        <f t="shared" si="0"/>
        <v>100</v>
      </c>
      <c r="T10" s="1554" t="s">
        <v>8</v>
      </c>
      <c r="U10" s="1555">
        <f t="shared" si="1"/>
        <v>100</v>
      </c>
      <c r="V10" s="1554" t="s">
        <v>8</v>
      </c>
      <c r="W10" s="1555">
        <f t="shared" si="2"/>
        <v>100</v>
      </c>
      <c r="X10" s="1556"/>
      <c r="Y10" s="3366"/>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2"/>
      <c r="Q11" s="1146" t="str">
        <f t="shared" si="6"/>
        <v>容积率</v>
      </c>
      <c r="R11" s="1554" t="s">
        <v>8</v>
      </c>
      <c r="S11" s="1555" t="e">
        <f t="shared" si="0"/>
        <v>#N/A</v>
      </c>
      <c r="T11" s="1554" t="s">
        <v>8</v>
      </c>
      <c r="U11" s="1555" t="e">
        <f t="shared" si="1"/>
        <v>#N/A</v>
      </c>
      <c r="V11" s="1554" t="s">
        <v>8</v>
      </c>
      <c r="W11" s="1555" t="e">
        <f t="shared" si="2"/>
        <v>#N/A</v>
      </c>
      <c r="X11" s="1556"/>
      <c r="Y11" s="336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12"/>
      <c r="Q12" s="1146">
        <f t="shared" si="6"/>
        <v>111</v>
      </c>
      <c r="R12" s="1554" t="s">
        <v>8</v>
      </c>
      <c r="S12" s="1555">
        <f t="shared" si="0"/>
        <v>100</v>
      </c>
      <c r="T12" s="1554" t="s">
        <v>8</v>
      </c>
      <c r="U12" s="1555">
        <f t="shared" si="1"/>
        <v>100</v>
      </c>
      <c r="V12" s="1554" t="s">
        <v>8</v>
      </c>
      <c r="W12" s="1555">
        <f t="shared" si="2"/>
        <v>100</v>
      </c>
      <c r="X12" s="1556"/>
      <c r="Y12" s="3366"/>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12"/>
      <c r="Q13" s="1146">
        <f t="shared" si="6"/>
        <v>111</v>
      </c>
      <c r="R13" s="1554" t="s">
        <v>8</v>
      </c>
      <c r="S13" s="1555">
        <f t="shared" si="0"/>
        <v>100</v>
      </c>
      <c r="T13" s="1554" t="s">
        <v>8</v>
      </c>
      <c r="U13" s="1555">
        <f t="shared" si="1"/>
        <v>100</v>
      </c>
      <c r="V13" s="1554" t="s">
        <v>8</v>
      </c>
      <c r="W13" s="1555">
        <f t="shared" si="2"/>
        <v>100</v>
      </c>
      <c r="X13" s="1556"/>
      <c r="Y13" s="3366"/>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12"/>
      <c r="Q14" s="1146">
        <f t="shared" si="6"/>
        <v>111</v>
      </c>
      <c r="R14" s="1554" t="s">
        <v>8</v>
      </c>
      <c r="S14" s="1555">
        <f t="shared" si="0"/>
        <v>100</v>
      </c>
      <c r="T14" s="1554" t="s">
        <v>8</v>
      </c>
      <c r="U14" s="1555">
        <f t="shared" si="1"/>
        <v>100</v>
      </c>
      <c r="V14" s="1554" t="s">
        <v>8</v>
      </c>
      <c r="W14" s="1555">
        <f t="shared" si="2"/>
        <v>100</v>
      </c>
      <c r="X14" s="1556"/>
      <c r="Y14" s="3366"/>
      <c r="Z14" s="1145">
        <f t="shared" si="7"/>
        <v>111</v>
      </c>
      <c r="AA14" s="1557">
        <f t="shared" si="3"/>
        <v>1</v>
      </c>
      <c r="AB14" s="1557">
        <f t="shared" si="4"/>
        <v>1</v>
      </c>
      <c r="AC14" s="1557">
        <f t="shared" si="5"/>
        <v>1</v>
      </c>
    </row>
    <row r="15" spans="1:29" ht="15">
      <c r="A15" s="2865" t="s">
        <v>2747</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4" t="s">
        <v>540</v>
      </c>
      <c r="Q15" s="1558" t="str">
        <f t="shared" si="6"/>
        <v>商业繁华度</v>
      </c>
      <c r="R15" s="1559" t="s">
        <v>8</v>
      </c>
      <c r="S15" s="1560">
        <f t="shared" si="0"/>
        <v>100</v>
      </c>
      <c r="T15" s="1559" t="s">
        <v>8</v>
      </c>
      <c r="U15" s="1560">
        <f t="shared" si="1"/>
        <v>100</v>
      </c>
      <c r="V15" s="1559" t="s">
        <v>8</v>
      </c>
      <c r="W15" s="1560">
        <f t="shared" si="2"/>
        <v>100</v>
      </c>
      <c r="X15" s="1553"/>
      <c r="Y15" s="3414"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5"/>
      <c r="Q16" s="1558"/>
      <c r="R16" s="1559"/>
      <c r="S16" s="1560"/>
      <c r="T16" s="1559"/>
      <c r="U16" s="1560"/>
      <c r="V16" s="1559"/>
      <c r="W16" s="1560"/>
      <c r="X16" s="1553"/>
      <c r="Y16" s="3415"/>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5"/>
      <c r="Q17" s="1558" t="str">
        <f>B17</f>
        <v>交通便捷度</v>
      </c>
      <c r="R17" s="1559" t="s">
        <v>8</v>
      </c>
      <c r="S17" s="1560">
        <f>F17</f>
        <v>100</v>
      </c>
      <c r="T17" s="1559" t="s">
        <v>8</v>
      </c>
      <c r="U17" s="1560">
        <f>H17</f>
        <v>100</v>
      </c>
      <c r="V17" s="1559" t="s">
        <v>8</v>
      </c>
      <c r="W17" s="1560">
        <f>J17</f>
        <v>100</v>
      </c>
      <c r="X17" s="1553"/>
      <c r="Y17" s="341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5"/>
      <c r="Q18" s="1558"/>
      <c r="R18" s="1559"/>
      <c r="S18" s="1560"/>
      <c r="T18" s="1559"/>
      <c r="U18" s="1560"/>
      <c r="V18" s="1559"/>
      <c r="W18" s="1560"/>
      <c r="X18" s="1553"/>
      <c r="Y18" s="3415"/>
      <c r="Z18" s="1561"/>
      <c r="AA18" s="1562">
        <v>1</v>
      </c>
      <c r="AB18" s="1562">
        <v>1</v>
      </c>
      <c r="AC18" s="1562">
        <v>1</v>
      </c>
    </row>
    <row r="19" spans="1:29" ht="15">
      <c r="A19" s="532"/>
      <c r="B19" s="2564" t="s">
        <v>2540</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5"/>
      <c r="Q19" s="1558" t="str">
        <f>B19</f>
        <v>公共配套设施</v>
      </c>
      <c r="R19" s="1559" t="s">
        <v>8</v>
      </c>
      <c r="S19" s="1560">
        <f>F19</f>
        <v>100</v>
      </c>
      <c r="T19" s="1559" t="s">
        <v>8</v>
      </c>
      <c r="U19" s="1560">
        <f>H19</f>
        <v>100</v>
      </c>
      <c r="V19" s="1559" t="s">
        <v>8</v>
      </c>
      <c r="W19" s="1560">
        <f>J19</f>
        <v>100</v>
      </c>
      <c r="X19" s="1553"/>
      <c r="Y19" s="341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15"/>
      <c r="Q20" s="1558"/>
      <c r="R20" s="1559"/>
      <c r="S20" s="1560"/>
      <c r="T20" s="1559"/>
      <c r="U20" s="1560"/>
      <c r="V20" s="1559"/>
      <c r="W20" s="1560"/>
      <c r="X20" s="1553"/>
      <c r="Y20" s="3415"/>
      <c r="Z20" s="1561"/>
      <c r="AA20" s="1562">
        <v>1</v>
      </c>
      <c r="AB20" s="1562">
        <v>1</v>
      </c>
      <c r="AC20" s="1562">
        <v>1</v>
      </c>
    </row>
    <row r="21" spans="1:29" ht="15">
      <c r="A21" s="532"/>
      <c r="B21" s="2557" t="s">
        <v>2552</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5"/>
      <c r="Q21" s="2543" t="str">
        <f>B21</f>
        <v>基础设施水平</v>
      </c>
      <c r="R21" s="1559" t="s">
        <v>8</v>
      </c>
      <c r="S21" s="1560">
        <f>F21</f>
        <v>100</v>
      </c>
      <c r="T21" s="1559" t="s">
        <v>8</v>
      </c>
      <c r="U21" s="1560">
        <f>H21</f>
        <v>100</v>
      </c>
      <c r="V21" s="1559" t="s">
        <v>8</v>
      </c>
      <c r="W21" s="1560">
        <f>J21</f>
        <v>100</v>
      </c>
      <c r="X21" s="2545"/>
      <c r="Y21" s="341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15"/>
      <c r="Q22" s="2543"/>
      <c r="R22" s="1559"/>
      <c r="S22" s="1560"/>
      <c r="T22" s="1559"/>
      <c r="U22" s="1560"/>
      <c r="V22" s="1559"/>
      <c r="W22" s="1560"/>
      <c r="X22" s="2545"/>
      <c r="Y22" s="3415"/>
      <c r="Z22" s="2544"/>
      <c r="AA22" s="1562">
        <v>1</v>
      </c>
      <c r="AB22" s="1562">
        <v>1</v>
      </c>
      <c r="AC22" s="1562">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5"/>
      <c r="Q23" s="1558" t="str">
        <f>B23</f>
        <v>自然及人文环境</v>
      </c>
      <c r="R23" s="1559" t="s">
        <v>8</v>
      </c>
      <c r="S23" s="1560">
        <f>F23</f>
        <v>100</v>
      </c>
      <c r="T23" s="1559" t="s">
        <v>8</v>
      </c>
      <c r="U23" s="1560">
        <f>H23</f>
        <v>100</v>
      </c>
      <c r="V23" s="1559" t="s">
        <v>8</v>
      </c>
      <c r="W23" s="1560">
        <f>J23</f>
        <v>100</v>
      </c>
      <c r="X23" s="1553"/>
      <c r="Y23" s="341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15"/>
      <c r="Q24" s="1558"/>
      <c r="R24" s="1559"/>
      <c r="S24" s="1560"/>
      <c r="T24" s="1559"/>
      <c r="U24" s="1560"/>
      <c r="V24" s="1559"/>
      <c r="W24" s="1560"/>
      <c r="X24" s="1553"/>
      <c r="Y24" s="3415"/>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5"/>
      <c r="Q25" s="1558" t="str">
        <f t="shared" ref="Q25:Q46" si="11">B25</f>
        <v>临街状况</v>
      </c>
      <c r="R25" s="1559" t="s">
        <v>8</v>
      </c>
      <c r="S25" s="1560">
        <f>F25</f>
        <v>100</v>
      </c>
      <c r="T25" s="1559" t="s">
        <v>8</v>
      </c>
      <c r="U25" s="1560">
        <f>H25</f>
        <v>100</v>
      </c>
      <c r="V25" s="1559" t="s">
        <v>8</v>
      </c>
      <c r="W25" s="1560">
        <f>J25</f>
        <v>100</v>
      </c>
      <c r="X25" s="1553"/>
      <c r="Y25" s="3415"/>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5"/>
      <c r="Q26" s="1558" t="str">
        <f t="shared" si="11"/>
        <v>平面位置/可视性</v>
      </c>
      <c r="R26" s="1559" t="s">
        <v>8</v>
      </c>
      <c r="S26" s="1560">
        <f>F26</f>
        <v>100</v>
      </c>
      <c r="T26" s="1559" t="s">
        <v>8</v>
      </c>
      <c r="U26" s="1560">
        <f>H26</f>
        <v>100</v>
      </c>
      <c r="V26" s="1559" t="s">
        <v>8</v>
      </c>
      <c r="W26" s="1560">
        <f>J26</f>
        <v>100</v>
      </c>
      <c r="X26" s="1553"/>
      <c r="Y26" s="3415"/>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5"/>
      <c r="Q27" s="1146" t="str">
        <f t="shared" si="11"/>
        <v>人流量</v>
      </c>
      <c r="R27" s="1554" t="s">
        <v>8</v>
      </c>
      <c r="S27" s="1555">
        <f>F27</f>
        <v>100</v>
      </c>
      <c r="T27" s="1554" t="s">
        <v>8</v>
      </c>
      <c r="U27" s="1555">
        <f>H27</f>
        <v>100</v>
      </c>
      <c r="V27" s="1554" t="s">
        <v>8</v>
      </c>
      <c r="W27" s="1555">
        <f>J27</f>
        <v>100</v>
      </c>
      <c r="X27" s="1556"/>
      <c r="Y27" s="3415"/>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5"/>
      <c r="Q29" s="1558">
        <f t="shared" si="11"/>
        <v>111</v>
      </c>
      <c r="R29" s="1559" t="s">
        <v>8</v>
      </c>
      <c r="S29" s="1560">
        <f t="shared" si="12"/>
        <v>100</v>
      </c>
      <c r="T29" s="1559" t="s">
        <v>8</v>
      </c>
      <c r="U29" s="1560">
        <f t="shared" si="13"/>
        <v>100</v>
      </c>
      <c r="V29" s="1559" t="s">
        <v>8</v>
      </c>
      <c r="W29" s="1560">
        <f t="shared" si="14"/>
        <v>100</v>
      </c>
      <c r="X29" s="1553"/>
      <c r="Y29" s="341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5"/>
      <c r="Q30" s="1558">
        <f t="shared" si="11"/>
        <v>111</v>
      </c>
      <c r="R30" s="1559" t="s">
        <v>8</v>
      </c>
      <c r="S30" s="1560">
        <f t="shared" si="12"/>
        <v>100</v>
      </c>
      <c r="T30" s="1559" t="s">
        <v>8</v>
      </c>
      <c r="U30" s="1560">
        <f t="shared" si="13"/>
        <v>100</v>
      </c>
      <c r="V30" s="1559" t="s">
        <v>8</v>
      </c>
      <c r="W30" s="1560">
        <f t="shared" si="14"/>
        <v>100</v>
      </c>
      <c r="X30" s="1553"/>
      <c r="Y30" s="3415"/>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5"/>
      <c r="Q31" s="1558">
        <f t="shared" si="11"/>
        <v>111</v>
      </c>
      <c r="R31" s="1559" t="s">
        <v>8</v>
      </c>
      <c r="S31" s="1560">
        <f t="shared" si="12"/>
        <v>100</v>
      </c>
      <c r="T31" s="1559" t="s">
        <v>8</v>
      </c>
      <c r="U31" s="1560">
        <f t="shared" si="13"/>
        <v>100</v>
      </c>
      <c r="V31" s="1559" t="s">
        <v>8</v>
      </c>
      <c r="W31" s="1560">
        <f t="shared" si="14"/>
        <v>100</v>
      </c>
      <c r="X31" s="1553"/>
      <c r="Y31" s="3415"/>
      <c r="Z31" s="1561">
        <f t="shared" si="15"/>
        <v>111</v>
      </c>
      <c r="AA31" s="1562">
        <f t="shared" si="3"/>
        <v>1</v>
      </c>
      <c r="AB31" s="1562">
        <f t="shared" si="4"/>
        <v>1</v>
      </c>
      <c r="AC31" s="1562">
        <f t="shared" si="5"/>
        <v>1</v>
      </c>
    </row>
    <row r="32" spans="1:29" ht="15">
      <c r="A32" s="2862"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6" t="s">
        <v>550</v>
      </c>
      <c r="Q32" s="1558" t="str">
        <f t="shared" si="11"/>
        <v>商业类型</v>
      </c>
      <c r="R32" s="1559" t="s">
        <v>8</v>
      </c>
      <c r="S32" s="1560">
        <f t="shared" si="12"/>
        <v>100</v>
      </c>
      <c r="T32" s="1559" t="s">
        <v>8</v>
      </c>
      <c r="U32" s="1560">
        <f t="shared" si="13"/>
        <v>100</v>
      </c>
      <c r="V32" s="1559" t="s">
        <v>8</v>
      </c>
      <c r="W32" s="1560">
        <f t="shared" si="14"/>
        <v>100</v>
      </c>
      <c r="X32" s="1553"/>
      <c r="Y32" s="3417"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7"/>
      <c r="Q33" s="1590" t="str">
        <f t="shared" si="11"/>
        <v>项目建筑规模</v>
      </c>
      <c r="R33" s="1563" t="s">
        <v>8</v>
      </c>
      <c r="S33" s="1564" t="e">
        <f t="shared" si="12"/>
        <v>#N/A</v>
      </c>
      <c r="T33" s="1563" t="s">
        <v>8</v>
      </c>
      <c r="U33" s="1564" t="e">
        <f t="shared" si="13"/>
        <v>#N/A</v>
      </c>
      <c r="V33" s="1563" t="s">
        <v>8</v>
      </c>
      <c r="W33" s="1564" t="e">
        <f t="shared" si="14"/>
        <v>#N/A</v>
      </c>
      <c r="X33" s="1565"/>
      <c r="Y33" s="341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7"/>
      <c r="Q34" s="1558" t="str">
        <f t="shared" si="11"/>
        <v>建筑结构</v>
      </c>
      <c r="R34" s="1559" t="s">
        <v>8</v>
      </c>
      <c r="S34" s="1560">
        <f t="shared" si="12"/>
        <v>100</v>
      </c>
      <c r="T34" s="1559" t="s">
        <v>8</v>
      </c>
      <c r="U34" s="1560">
        <f t="shared" si="13"/>
        <v>100</v>
      </c>
      <c r="V34" s="1559" t="s">
        <v>8</v>
      </c>
      <c r="W34" s="1560">
        <f t="shared" si="14"/>
        <v>100</v>
      </c>
      <c r="X34" s="1553"/>
      <c r="Y34" s="3417"/>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7"/>
      <c r="Q35" s="1558" t="str">
        <f t="shared" si="11"/>
        <v>公共部分装修</v>
      </c>
      <c r="R35" s="1559" t="s">
        <v>8</v>
      </c>
      <c r="S35" s="1560">
        <f t="shared" si="12"/>
        <v>100</v>
      </c>
      <c r="T35" s="1559" t="s">
        <v>8</v>
      </c>
      <c r="U35" s="1560">
        <f t="shared" si="13"/>
        <v>100</v>
      </c>
      <c r="V35" s="1559" t="s">
        <v>8</v>
      </c>
      <c r="W35" s="1560">
        <f t="shared" si="14"/>
        <v>100</v>
      </c>
      <c r="X35" s="1553"/>
      <c r="Y35" s="3417"/>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7"/>
      <c r="Q36" s="1558" t="str">
        <f t="shared" si="11"/>
        <v>成新度</v>
      </c>
      <c r="R36" s="1559" t="s">
        <v>8</v>
      </c>
      <c r="S36" s="1560" t="e">
        <f t="shared" si="12"/>
        <v>#N/A</v>
      </c>
      <c r="T36" s="1559" t="s">
        <v>8</v>
      </c>
      <c r="U36" s="1560" t="e">
        <f t="shared" si="13"/>
        <v>#N/A</v>
      </c>
      <c r="V36" s="1559" t="s">
        <v>8</v>
      </c>
      <c r="W36" s="1560" t="e">
        <f t="shared" si="14"/>
        <v>#N/A</v>
      </c>
      <c r="X36" s="1553"/>
      <c r="Y36" s="3417"/>
      <c r="Z36" s="1561" t="str">
        <f t="shared" si="15"/>
        <v>成新度</v>
      </c>
      <c r="AA36" s="1562" t="e">
        <f t="shared" si="3"/>
        <v>#N/A</v>
      </c>
      <c r="AB36" s="1562" t="e">
        <f t="shared" si="4"/>
        <v>#N/A</v>
      </c>
      <c r="AC36" s="1562" t="e">
        <f t="shared" si="5"/>
        <v>#N/A</v>
      </c>
    </row>
    <row r="37" spans="1:29" s="1215" customFormat="1" ht="15">
      <c r="A37" s="600"/>
      <c r="B37" s="1880"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7"/>
      <c r="Q37" s="1146" t="str">
        <f t="shared" si="11"/>
        <v>市政基础设施</v>
      </c>
      <c r="R37" s="1554" t="s">
        <v>8</v>
      </c>
      <c r="S37" s="1555">
        <f t="shared" si="12"/>
        <v>100</v>
      </c>
      <c r="T37" s="1554" t="s">
        <v>8</v>
      </c>
      <c r="U37" s="1555">
        <f t="shared" si="13"/>
        <v>100</v>
      </c>
      <c r="V37" s="1554" t="s">
        <v>8</v>
      </c>
      <c r="W37" s="1555">
        <f t="shared" si="14"/>
        <v>100</v>
      </c>
      <c r="X37" s="1556"/>
      <c r="Y37" s="3417"/>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7" t="s">
        <v>766</v>
      </c>
      <c r="Q38" s="1558" t="str">
        <f t="shared" si="11"/>
        <v>业态</v>
      </c>
      <c r="R38" s="1559" t="s">
        <v>8</v>
      </c>
      <c r="S38" s="1560">
        <f t="shared" si="12"/>
        <v>100</v>
      </c>
      <c r="T38" s="1559" t="s">
        <v>8</v>
      </c>
      <c r="U38" s="1560">
        <f t="shared" si="13"/>
        <v>100</v>
      </c>
      <c r="V38" s="1559" t="s">
        <v>8</v>
      </c>
      <c r="W38" s="1560">
        <f t="shared" si="14"/>
        <v>100</v>
      </c>
      <c r="X38" s="1553"/>
      <c r="Y38" s="3417"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7"/>
      <c r="Q39" s="1558" t="str">
        <f t="shared" si="11"/>
        <v>层高</v>
      </c>
      <c r="R39" s="1559" t="s">
        <v>8</v>
      </c>
      <c r="S39" s="1560">
        <f t="shared" si="12"/>
        <v>100</v>
      </c>
      <c r="T39" s="1559" t="s">
        <v>8</v>
      </c>
      <c r="U39" s="1560">
        <f t="shared" si="13"/>
        <v>100</v>
      </c>
      <c r="V39" s="1559" t="s">
        <v>8</v>
      </c>
      <c r="W39" s="1560">
        <f t="shared" si="14"/>
        <v>100</v>
      </c>
      <c r="X39" s="1553"/>
      <c r="Y39" s="3417"/>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7"/>
      <c r="Q40" s="1558" t="str">
        <f t="shared" si="11"/>
        <v>单套建筑面积</v>
      </c>
      <c r="R40" s="1559" t="s">
        <v>8</v>
      </c>
      <c r="S40" s="1560">
        <f t="shared" si="12"/>
        <v>100</v>
      </c>
      <c r="T40" s="1559" t="s">
        <v>8</v>
      </c>
      <c r="U40" s="1560">
        <f t="shared" si="13"/>
        <v>100</v>
      </c>
      <c r="V40" s="1559" t="s">
        <v>8</v>
      </c>
      <c r="W40" s="1560">
        <f t="shared" si="14"/>
        <v>100</v>
      </c>
      <c r="X40" s="1553"/>
      <c r="Y40" s="3417"/>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7"/>
      <c r="Q41" s="1590" t="str">
        <f t="shared" si="11"/>
        <v>进深比</v>
      </c>
      <c r="R41" s="1563" t="s">
        <v>8</v>
      </c>
      <c r="S41" s="1564">
        <f t="shared" si="12"/>
        <v>100</v>
      </c>
      <c r="T41" s="1563" t="s">
        <v>8</v>
      </c>
      <c r="U41" s="1564">
        <f t="shared" si="13"/>
        <v>100</v>
      </c>
      <c r="V41" s="1563" t="s">
        <v>8</v>
      </c>
      <c r="W41" s="1564">
        <f t="shared" si="14"/>
        <v>100</v>
      </c>
      <c r="X41" s="1565"/>
      <c r="Y41" s="3417"/>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7"/>
      <c r="Q42" s="1558" t="str">
        <f t="shared" si="11"/>
        <v>内部装修</v>
      </c>
      <c r="R42" s="1559" t="s">
        <v>8</v>
      </c>
      <c r="S42" s="1560">
        <f t="shared" si="12"/>
        <v>100</v>
      </c>
      <c r="T42" s="1559" t="s">
        <v>8</v>
      </c>
      <c r="U42" s="1560">
        <f t="shared" si="13"/>
        <v>100</v>
      </c>
      <c r="V42" s="1559" t="s">
        <v>8</v>
      </c>
      <c r="W42" s="1560">
        <f t="shared" si="14"/>
        <v>100</v>
      </c>
      <c r="X42" s="1553"/>
      <c r="Y42" s="3417"/>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7"/>
      <c r="Q43" s="1558" t="str">
        <f t="shared" si="11"/>
        <v>内部装修维护情况</v>
      </c>
      <c r="R43" s="1559" t="s">
        <v>8</v>
      </c>
      <c r="S43" s="1560">
        <f t="shared" si="12"/>
        <v>100</v>
      </c>
      <c r="T43" s="1559" t="s">
        <v>8</v>
      </c>
      <c r="U43" s="1560">
        <f t="shared" si="13"/>
        <v>100</v>
      </c>
      <c r="V43" s="1559" t="s">
        <v>8</v>
      </c>
      <c r="W43" s="1560">
        <f t="shared" si="14"/>
        <v>100</v>
      </c>
      <c r="X43" s="1553"/>
      <c r="Y43" s="341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7"/>
      <c r="Q44" s="1146">
        <f t="shared" si="11"/>
        <v>111</v>
      </c>
      <c r="R44" s="1554" t="s">
        <v>8</v>
      </c>
      <c r="S44" s="1555">
        <f t="shared" si="12"/>
        <v>100</v>
      </c>
      <c r="T44" s="1554" t="s">
        <v>8</v>
      </c>
      <c r="U44" s="1555">
        <f t="shared" si="13"/>
        <v>100</v>
      </c>
      <c r="V44" s="1554" t="s">
        <v>8</v>
      </c>
      <c r="W44" s="1555">
        <f t="shared" si="14"/>
        <v>100</v>
      </c>
      <c r="X44" s="1556"/>
      <c r="Y44" s="341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7"/>
      <c r="Q45" s="1558">
        <f t="shared" si="11"/>
        <v>111</v>
      </c>
      <c r="R45" s="1559" t="s">
        <v>8</v>
      </c>
      <c r="S45" s="1560">
        <f t="shared" si="12"/>
        <v>100</v>
      </c>
      <c r="T45" s="1559" t="s">
        <v>8</v>
      </c>
      <c r="U45" s="1560">
        <f t="shared" si="13"/>
        <v>100</v>
      </c>
      <c r="V45" s="1559" t="s">
        <v>8</v>
      </c>
      <c r="W45" s="1560">
        <f t="shared" si="14"/>
        <v>100</v>
      </c>
      <c r="X45" s="1553"/>
      <c r="Y45" s="3417"/>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7"/>
      <c r="Q46" s="1558">
        <f t="shared" si="11"/>
        <v>111</v>
      </c>
      <c r="R46" s="1559" t="s">
        <v>8</v>
      </c>
      <c r="S46" s="1560">
        <f t="shared" si="12"/>
        <v>100</v>
      </c>
      <c r="T46" s="1559" t="s">
        <v>8</v>
      </c>
      <c r="U46" s="1560">
        <f t="shared" si="13"/>
        <v>100</v>
      </c>
      <c r="V46" s="1559" t="s">
        <v>8</v>
      </c>
      <c r="W46" s="1560">
        <f t="shared" si="14"/>
        <v>100</v>
      </c>
      <c r="X46" s="1553"/>
      <c r="Y46" s="3517"/>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412" t="str">
        <f>A47</f>
        <v>成交单价（元/平方米）</v>
      </c>
      <c r="Q47" s="3412"/>
      <c r="R47" s="3516">
        <f>E47</f>
        <v>0</v>
      </c>
      <c r="S47" s="3516"/>
      <c r="T47" s="3516">
        <f>G47</f>
        <v>0</v>
      </c>
      <c r="U47" s="3516"/>
      <c r="V47" s="3516">
        <f>I47</f>
        <v>0</v>
      </c>
      <c r="W47" s="3516"/>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7"/>
      <c r="L48" s="2129"/>
      <c r="M48" s="2130"/>
      <c r="N48" s="2119"/>
      <c r="O48" s="2130"/>
      <c r="P48" s="3412" t="str">
        <f>A48</f>
        <v>比较价格（元/平方米）</v>
      </c>
      <c r="Q48" s="3412"/>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5"/>
      <c r="Y48" s="1545"/>
      <c r="Z48" s="1545"/>
      <c r="AA48" s="1545"/>
      <c r="AB48" s="1545"/>
      <c r="AC48" s="1545"/>
    </row>
    <row r="49" spans="1:29" ht="15.75" thickBot="1">
      <c r="A49" s="621" t="s">
        <v>2923</v>
      </c>
      <c r="B49" s="622"/>
      <c r="C49" s="2600" t="e">
        <f>R49</f>
        <v>#DIV/0!</v>
      </c>
      <c r="D49" s="2600"/>
      <c r="E49" s="2600"/>
      <c r="F49" s="2600"/>
      <c r="G49" s="2600"/>
      <c r="H49" s="2600"/>
      <c r="I49" s="2600"/>
      <c r="J49" s="2600"/>
      <c r="K49" s="1598"/>
      <c r="L49" s="2129"/>
      <c r="M49" s="2130"/>
      <c r="N49" s="2119"/>
      <c r="O49" s="2130"/>
      <c r="P49" s="3433" t="str">
        <f>A49</f>
        <v>估价对象XX用房的比较价格（楼面单价，元/平方米）</v>
      </c>
      <c r="Q49" s="3434"/>
      <c r="R49" s="3515" t="e">
        <f>IF(F1="售价",ROUND(AVERAGE(R48:V48),0),ROUND(AVERAGE(R48:V48),1))</f>
        <v>#DIV/0!</v>
      </c>
      <c r="S49" s="3515"/>
      <c r="T49" s="3515"/>
      <c r="U49" s="3515"/>
      <c r="V49" s="3515"/>
      <c r="W49" s="351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2550</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18" t="s">
        <v>522</v>
      </c>
      <c r="D4" s="3419"/>
      <c r="E4" s="3442" t="s">
        <v>523</v>
      </c>
      <c r="F4" s="3443"/>
      <c r="G4" s="3418" t="s">
        <v>524</v>
      </c>
      <c r="H4" s="3419"/>
      <c r="I4" s="3418" t="s">
        <v>525</v>
      </c>
      <c r="J4" s="3419"/>
      <c r="K4" s="514" t="s">
        <v>526</v>
      </c>
      <c r="L4" s="2118"/>
      <c r="M4" s="2119"/>
      <c r="N4" s="2119"/>
      <c r="O4" s="2119"/>
      <c r="P4" s="3518" t="s">
        <v>527</v>
      </c>
      <c r="Q4" s="3421"/>
      <c r="R4" s="3406" t="s">
        <v>523</v>
      </c>
      <c r="S4" s="3407"/>
      <c r="T4" s="3406" t="s">
        <v>524</v>
      </c>
      <c r="U4" s="3407"/>
      <c r="V4" s="3426" t="s">
        <v>525</v>
      </c>
      <c r="W4" s="3426"/>
      <c r="X4" s="1553"/>
      <c r="Y4" s="3406" t="s">
        <v>527</v>
      </c>
      <c r="Z4" s="3407"/>
      <c r="AA4" s="3401" t="s">
        <v>523</v>
      </c>
      <c r="AB4" s="3401" t="s">
        <v>524</v>
      </c>
      <c r="AC4" s="3401" t="s">
        <v>525</v>
      </c>
    </row>
    <row r="5" spans="1:29" ht="15">
      <c r="A5" s="515"/>
      <c r="B5" s="516"/>
      <c r="C5" s="3429" t="s">
        <v>2917</v>
      </c>
      <c r="D5" s="3430"/>
      <c r="E5" s="3444" t="s">
        <v>2918</v>
      </c>
      <c r="F5" s="3445"/>
      <c r="G5" s="3429" t="s">
        <v>2919</v>
      </c>
      <c r="H5" s="3430"/>
      <c r="I5" s="3429" t="s">
        <v>2920</v>
      </c>
      <c r="J5" s="3430"/>
      <c r="K5" s="514"/>
      <c r="L5" s="2118"/>
      <c r="M5" s="2119"/>
      <c r="N5" s="2119"/>
      <c r="O5" s="2119"/>
      <c r="P5" s="3519"/>
      <c r="Q5" s="3423"/>
      <c r="R5" s="3408"/>
      <c r="S5" s="3409"/>
      <c r="T5" s="3408"/>
      <c r="U5" s="3409"/>
      <c r="V5" s="3426"/>
      <c r="W5" s="3426"/>
      <c r="X5" s="1553"/>
      <c r="Y5" s="3408"/>
      <c r="Z5" s="3409"/>
      <c r="AA5" s="3402"/>
      <c r="AB5" s="3402"/>
      <c r="AC5" s="3402"/>
    </row>
    <row r="6" spans="1:29" ht="15.75" thickBot="1">
      <c r="A6" s="517"/>
      <c r="B6" s="518"/>
      <c r="C6" s="3427" t="s">
        <v>2921</v>
      </c>
      <c r="D6" s="3428"/>
      <c r="E6" s="3446" t="s">
        <v>2921</v>
      </c>
      <c r="F6" s="3447"/>
      <c r="G6" s="3427" t="s">
        <v>2921</v>
      </c>
      <c r="H6" s="3428"/>
      <c r="I6" s="3427" t="s">
        <v>2921</v>
      </c>
      <c r="J6" s="3428"/>
      <c r="K6" s="514" t="s">
        <v>528</v>
      </c>
      <c r="L6" s="2118"/>
      <c r="M6" s="2119"/>
      <c r="N6" s="2119"/>
      <c r="O6" s="2119"/>
      <c r="P6" s="3520"/>
      <c r="Q6" s="3425"/>
      <c r="R6" s="3408"/>
      <c r="S6" s="3409"/>
      <c r="T6" s="3410"/>
      <c r="U6" s="3411"/>
      <c r="V6" s="3426"/>
      <c r="W6" s="3426"/>
      <c r="X6" s="1553"/>
      <c r="Y6" s="3410"/>
      <c r="Z6" s="3411"/>
      <c r="AA6" s="3403"/>
      <c r="AB6" s="3403"/>
      <c r="AC6" s="3403"/>
    </row>
    <row r="7" spans="1:29" s="1215" customFormat="1" ht="15.75" thickBot="1">
      <c r="A7" s="2867"/>
      <c r="B7" s="2874" t="s">
        <v>529</v>
      </c>
      <c r="C7" s="519">
        <f>'数据-取费表'!B2</f>
        <v>43994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3" t="s">
        <v>530</v>
      </c>
      <c r="Q7" s="3413"/>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3" t="s">
        <v>533</v>
      </c>
      <c r="Q8" s="3405"/>
      <c r="R8" s="1554" t="s">
        <v>8</v>
      </c>
      <c r="S8" s="1555">
        <f t="shared" si="0"/>
        <v>0</v>
      </c>
      <c r="T8" s="1554" t="s">
        <v>8</v>
      </c>
      <c r="U8" s="1555">
        <f t="shared" si="1"/>
        <v>0</v>
      </c>
      <c r="V8" s="1554" t="s">
        <v>8</v>
      </c>
      <c r="W8" s="1555">
        <f t="shared" si="2"/>
        <v>0</v>
      </c>
      <c r="X8" s="1556"/>
      <c r="Y8" s="3404" t="s">
        <v>533</v>
      </c>
      <c r="Z8" s="3405"/>
      <c r="AA8" s="1557" t="e">
        <f t="shared" ref="AA8:AA47" si="3">D8/F8</f>
        <v>#DIV/0!</v>
      </c>
      <c r="AB8" s="1557" t="e">
        <f t="shared" ref="AB8:AB47" si="4">D8/H8</f>
        <v>#DIV/0!</v>
      </c>
      <c r="AC8" s="1557" t="e">
        <f t="shared" ref="AC8:AC47" si="5">D8/J8</f>
        <v>#DIV/0!</v>
      </c>
    </row>
    <row r="9" spans="1:29" s="1215" customFormat="1" ht="15">
      <c r="A9" s="2869"/>
      <c r="B9" s="2876"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12" t="s">
        <v>535</v>
      </c>
      <c r="Q9" s="1146" t="str">
        <f t="shared" ref="Q9:Q15" si="6">B9</f>
        <v>用途</v>
      </c>
      <c r="R9" s="1554" t="s">
        <v>8</v>
      </c>
      <c r="S9" s="1555">
        <f t="shared" si="0"/>
        <v>100</v>
      </c>
      <c r="T9" s="1554" t="s">
        <v>8</v>
      </c>
      <c r="U9" s="1555">
        <f t="shared" si="1"/>
        <v>100</v>
      </c>
      <c r="V9" s="1554" t="s">
        <v>8</v>
      </c>
      <c r="W9" s="1555">
        <f t="shared" si="2"/>
        <v>100</v>
      </c>
      <c r="X9" s="1556"/>
      <c r="Y9" s="336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12"/>
      <c r="Q10" s="1146" t="str">
        <f t="shared" si="6"/>
        <v>土地使用年限（年）</v>
      </c>
      <c r="R10" s="1554" t="s">
        <v>8</v>
      </c>
      <c r="S10" s="1555">
        <f t="shared" si="0"/>
        <v>100</v>
      </c>
      <c r="T10" s="1554" t="s">
        <v>8</v>
      </c>
      <c r="U10" s="1555">
        <f t="shared" si="1"/>
        <v>100</v>
      </c>
      <c r="V10" s="1554" t="s">
        <v>8</v>
      </c>
      <c r="W10" s="1555">
        <f t="shared" si="2"/>
        <v>100</v>
      </c>
      <c r="X10" s="1556"/>
      <c r="Y10" s="3366"/>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12"/>
      <c r="Q11" s="1146" t="str">
        <f t="shared" si="6"/>
        <v>容积率</v>
      </c>
      <c r="R11" s="1554" t="s">
        <v>8</v>
      </c>
      <c r="S11" s="1555" t="e">
        <f t="shared" si="0"/>
        <v>#N/A</v>
      </c>
      <c r="T11" s="1554" t="s">
        <v>8</v>
      </c>
      <c r="U11" s="1555" t="e">
        <f t="shared" si="1"/>
        <v>#N/A</v>
      </c>
      <c r="V11" s="1554" t="s">
        <v>8</v>
      </c>
      <c r="W11" s="1555" t="e">
        <f t="shared" si="2"/>
        <v>#N/A</v>
      </c>
      <c r="X11" s="1556"/>
      <c r="Y11" s="336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12"/>
      <c r="Q12" s="1146">
        <f t="shared" si="6"/>
        <v>111</v>
      </c>
      <c r="R12" s="1554" t="s">
        <v>8</v>
      </c>
      <c r="S12" s="1555">
        <f t="shared" si="0"/>
        <v>100</v>
      </c>
      <c r="T12" s="1554" t="s">
        <v>8</v>
      </c>
      <c r="U12" s="1555">
        <f t="shared" si="1"/>
        <v>100</v>
      </c>
      <c r="V12" s="1554" t="s">
        <v>8</v>
      </c>
      <c r="W12" s="1555">
        <f t="shared" si="2"/>
        <v>100</v>
      </c>
      <c r="X12" s="1556"/>
      <c r="Y12" s="3366"/>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12"/>
      <c r="Q13" s="1146">
        <f t="shared" si="6"/>
        <v>111</v>
      </c>
      <c r="R13" s="1554" t="s">
        <v>8</v>
      </c>
      <c r="S13" s="1555">
        <f t="shared" si="0"/>
        <v>100</v>
      </c>
      <c r="T13" s="1554" t="s">
        <v>8</v>
      </c>
      <c r="U13" s="1555">
        <f t="shared" si="1"/>
        <v>100</v>
      </c>
      <c r="V13" s="1554" t="s">
        <v>8</v>
      </c>
      <c r="W13" s="1555">
        <f t="shared" si="2"/>
        <v>100</v>
      </c>
      <c r="X13" s="1556"/>
      <c r="Y13" s="3366"/>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12"/>
      <c r="Q14" s="1146">
        <f t="shared" si="6"/>
        <v>111</v>
      </c>
      <c r="R14" s="1554" t="s">
        <v>8</v>
      </c>
      <c r="S14" s="1555">
        <f t="shared" si="0"/>
        <v>100</v>
      </c>
      <c r="T14" s="1554" t="s">
        <v>8</v>
      </c>
      <c r="U14" s="1555">
        <f t="shared" si="1"/>
        <v>100</v>
      </c>
      <c r="V14" s="1554" t="s">
        <v>8</v>
      </c>
      <c r="W14" s="1555">
        <f t="shared" si="2"/>
        <v>100</v>
      </c>
      <c r="X14" s="1556"/>
      <c r="Y14" s="3366"/>
      <c r="Z14" s="1145">
        <f t="shared" si="7"/>
        <v>111</v>
      </c>
      <c r="AA14" s="1557">
        <f t="shared" si="3"/>
        <v>1</v>
      </c>
      <c r="AB14" s="1557">
        <f t="shared" si="4"/>
        <v>1</v>
      </c>
      <c r="AC14" s="1557">
        <f t="shared" si="5"/>
        <v>1</v>
      </c>
    </row>
    <row r="15" spans="1:29" ht="15">
      <c r="A15" s="2865" t="s">
        <v>2747</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4" t="s">
        <v>540</v>
      </c>
      <c r="Q15" s="1558" t="str">
        <f t="shared" si="6"/>
        <v>办公集聚程度</v>
      </c>
      <c r="R15" s="1559" t="s">
        <v>8</v>
      </c>
      <c r="S15" s="1560">
        <f t="shared" si="0"/>
        <v>100</v>
      </c>
      <c r="T15" s="1559" t="s">
        <v>8</v>
      </c>
      <c r="U15" s="1560">
        <f t="shared" si="1"/>
        <v>100</v>
      </c>
      <c r="V15" s="1559" t="s">
        <v>8</v>
      </c>
      <c r="W15" s="1560">
        <f t="shared" si="2"/>
        <v>100</v>
      </c>
      <c r="X15" s="1553"/>
      <c r="Y15" s="3414"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15"/>
      <c r="Q16" s="1558"/>
      <c r="R16" s="1559"/>
      <c r="S16" s="1560"/>
      <c r="T16" s="1559"/>
      <c r="U16" s="1560"/>
      <c r="V16" s="1559"/>
      <c r="W16" s="1560"/>
      <c r="X16" s="1553"/>
      <c r="Y16" s="3415"/>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5"/>
      <c r="Q17" s="1558" t="str">
        <f>B17</f>
        <v>交通便捷度</v>
      </c>
      <c r="R17" s="1559" t="s">
        <v>8</v>
      </c>
      <c r="S17" s="1560">
        <f>F17</f>
        <v>100</v>
      </c>
      <c r="T17" s="1559" t="s">
        <v>8</v>
      </c>
      <c r="U17" s="1560">
        <f>H17</f>
        <v>100</v>
      </c>
      <c r="V17" s="1559" t="s">
        <v>8</v>
      </c>
      <c r="W17" s="1560">
        <f>J17</f>
        <v>100</v>
      </c>
      <c r="X17" s="1553"/>
      <c r="Y17" s="341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15"/>
      <c r="Q18" s="1558"/>
      <c r="R18" s="1559"/>
      <c r="S18" s="1560"/>
      <c r="T18" s="1559"/>
      <c r="U18" s="1560"/>
      <c r="V18" s="1559"/>
      <c r="W18" s="1560"/>
      <c r="X18" s="1553"/>
      <c r="Y18" s="3415"/>
      <c r="Z18" s="1561"/>
      <c r="AA18" s="1562">
        <v>1</v>
      </c>
      <c r="AB18" s="1562">
        <v>1</v>
      </c>
      <c r="AC18" s="1562">
        <v>1</v>
      </c>
    </row>
    <row r="19" spans="1:29" ht="15">
      <c r="A19" s="532"/>
      <c r="B19" s="2567" t="s">
        <v>2540</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5"/>
      <c r="Q19" s="1558" t="str">
        <f>B19</f>
        <v>公共配套设施</v>
      </c>
      <c r="R19" s="1559" t="s">
        <v>8</v>
      </c>
      <c r="S19" s="1560">
        <f>F19</f>
        <v>100</v>
      </c>
      <c r="T19" s="1559" t="s">
        <v>8</v>
      </c>
      <c r="U19" s="1560">
        <f>H19</f>
        <v>100</v>
      </c>
      <c r="V19" s="1559" t="s">
        <v>8</v>
      </c>
      <c r="W19" s="1560">
        <f>J19</f>
        <v>100</v>
      </c>
      <c r="X19" s="1553"/>
      <c r="Y19" s="341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15"/>
      <c r="Q20" s="1558"/>
      <c r="R20" s="1559"/>
      <c r="S20" s="1560"/>
      <c r="T20" s="1559"/>
      <c r="U20" s="1560"/>
      <c r="V20" s="1559"/>
      <c r="W20" s="1560"/>
      <c r="X20" s="1553"/>
      <c r="Y20" s="3415"/>
      <c r="Z20" s="1561"/>
      <c r="AA20" s="1562">
        <v>1</v>
      </c>
      <c r="AB20" s="1562">
        <v>1</v>
      </c>
      <c r="AC20" s="1562">
        <v>1</v>
      </c>
    </row>
    <row r="21" spans="1:29" ht="15">
      <c r="A21" s="532"/>
      <c r="B21" s="2555" t="s">
        <v>2552</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5"/>
      <c r="Q21" s="2543" t="str">
        <f>B21</f>
        <v>基础设施水平</v>
      </c>
      <c r="R21" s="1559" t="s">
        <v>8</v>
      </c>
      <c r="S21" s="1560">
        <f>F21</f>
        <v>100</v>
      </c>
      <c r="T21" s="1559" t="s">
        <v>8</v>
      </c>
      <c r="U21" s="1560">
        <f>H21</f>
        <v>100</v>
      </c>
      <c r="V21" s="1559" t="s">
        <v>8</v>
      </c>
      <c r="W21" s="1560">
        <f>J21</f>
        <v>100</v>
      </c>
      <c r="X21" s="2545"/>
      <c r="Y21" s="3415"/>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15"/>
      <c r="Q22" s="2543"/>
      <c r="R22" s="1559"/>
      <c r="S22" s="1560"/>
      <c r="T22" s="1559"/>
      <c r="U22" s="1560"/>
      <c r="V22" s="1559"/>
      <c r="W22" s="1560"/>
      <c r="X22" s="2545"/>
      <c r="Y22" s="3415"/>
      <c r="Z22" s="2544"/>
      <c r="AA22" s="1562">
        <v>1</v>
      </c>
      <c r="AB22" s="1562">
        <v>1</v>
      </c>
      <c r="AC22" s="1562">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5"/>
      <c r="Q23" s="1558" t="str">
        <f>B23</f>
        <v>环境质量</v>
      </c>
      <c r="R23" s="1559" t="s">
        <v>8</v>
      </c>
      <c r="S23" s="1560">
        <f>F23</f>
        <v>100</v>
      </c>
      <c r="T23" s="1559" t="s">
        <v>8</v>
      </c>
      <c r="U23" s="1560">
        <f>H23</f>
        <v>100</v>
      </c>
      <c r="V23" s="1559" t="s">
        <v>8</v>
      </c>
      <c r="W23" s="1560">
        <f>J23</f>
        <v>100</v>
      </c>
      <c r="X23" s="1553"/>
      <c r="Y23" s="341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15"/>
      <c r="Q24" s="1558"/>
      <c r="R24" s="1559"/>
      <c r="S24" s="1560"/>
      <c r="T24" s="1559"/>
      <c r="U24" s="1560"/>
      <c r="V24" s="1559"/>
      <c r="W24" s="1560"/>
      <c r="X24" s="1553"/>
      <c r="Y24" s="3415"/>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5"/>
      <c r="Q25" s="1558" t="str">
        <f>B25</f>
        <v>毗邻道路的类型与等级</v>
      </c>
      <c r="R25" s="1559" t="s">
        <v>8</v>
      </c>
      <c r="S25" s="1560">
        <f>F25</f>
        <v>100</v>
      </c>
      <c r="T25" s="1559" t="s">
        <v>8</v>
      </c>
      <c r="U25" s="1560">
        <f>H25</f>
        <v>100</v>
      </c>
      <c r="V25" s="1559" t="s">
        <v>8</v>
      </c>
      <c r="W25" s="1560">
        <f>J25</f>
        <v>100</v>
      </c>
      <c r="X25" s="1553"/>
      <c r="Y25" s="341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15"/>
      <c r="Q26" s="1558"/>
      <c r="R26" s="1559"/>
      <c r="S26" s="1560"/>
      <c r="T26" s="1559"/>
      <c r="U26" s="1560"/>
      <c r="V26" s="1559"/>
      <c r="W26" s="1560"/>
      <c r="X26" s="1553"/>
      <c r="Y26" s="3415"/>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5"/>
      <c r="Q27" s="1558" t="str">
        <f t="shared" ref="Q27:Q47" si="11">B27</f>
        <v>楼层</v>
      </c>
      <c r="R27" s="1559" t="s">
        <v>8</v>
      </c>
      <c r="S27" s="1560">
        <f>F27</f>
        <v>100</v>
      </c>
      <c r="T27" s="1559" t="s">
        <v>8</v>
      </c>
      <c r="U27" s="1560">
        <f>H27</f>
        <v>100</v>
      </c>
      <c r="V27" s="1559" t="s">
        <v>8</v>
      </c>
      <c r="W27" s="1560">
        <f>J27</f>
        <v>100</v>
      </c>
      <c r="X27" s="1553"/>
      <c r="Y27" s="3415"/>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5"/>
      <c r="Q28" s="1146" t="str">
        <f t="shared" si="11"/>
        <v>朝向</v>
      </c>
      <c r="R28" s="1554" t="s">
        <v>8</v>
      </c>
      <c r="S28" s="1555">
        <f>F28</f>
        <v>100</v>
      </c>
      <c r="T28" s="1554" t="s">
        <v>8</v>
      </c>
      <c r="U28" s="1555">
        <f>H28</f>
        <v>100</v>
      </c>
      <c r="V28" s="1554" t="s">
        <v>8</v>
      </c>
      <c r="W28" s="1555">
        <f>J28</f>
        <v>100</v>
      </c>
      <c r="X28" s="1556"/>
      <c r="Y28" s="3415"/>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5"/>
      <c r="Q29" s="1558">
        <f t="shared" si="11"/>
        <v>111</v>
      </c>
      <c r="R29" s="1559" t="s">
        <v>8</v>
      </c>
      <c r="S29" s="1560">
        <f t="shared" ref="S29:S47" si="12">F29</f>
        <v>100</v>
      </c>
      <c r="T29" s="1559" t="s">
        <v>8</v>
      </c>
      <c r="U29" s="1560">
        <f t="shared" ref="U29:U47" si="13">H29</f>
        <v>100</v>
      </c>
      <c r="V29" s="1559" t="s">
        <v>8</v>
      </c>
      <c r="W29" s="1560">
        <f t="shared" ref="W29:W47" si="14">J29</f>
        <v>100</v>
      </c>
      <c r="X29" s="1553"/>
      <c r="Y29" s="3415"/>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5"/>
      <c r="Q30" s="1558">
        <f t="shared" si="11"/>
        <v>111</v>
      </c>
      <c r="R30" s="1559" t="s">
        <v>8</v>
      </c>
      <c r="S30" s="1560">
        <f t="shared" si="12"/>
        <v>100</v>
      </c>
      <c r="T30" s="1559" t="s">
        <v>8</v>
      </c>
      <c r="U30" s="1560">
        <f t="shared" si="13"/>
        <v>100</v>
      </c>
      <c r="V30" s="1559" t="s">
        <v>8</v>
      </c>
      <c r="W30" s="1560">
        <f t="shared" si="14"/>
        <v>100</v>
      </c>
      <c r="X30" s="1553"/>
      <c r="Y30" s="3415"/>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5"/>
      <c r="Q31" s="1558">
        <f t="shared" si="11"/>
        <v>111</v>
      </c>
      <c r="R31" s="1559" t="s">
        <v>8</v>
      </c>
      <c r="S31" s="1560">
        <f t="shared" si="12"/>
        <v>100</v>
      </c>
      <c r="T31" s="1559" t="s">
        <v>8</v>
      </c>
      <c r="U31" s="1560">
        <f t="shared" si="13"/>
        <v>100</v>
      </c>
      <c r="V31" s="1559" t="s">
        <v>8</v>
      </c>
      <c r="W31" s="1560">
        <f t="shared" si="14"/>
        <v>100</v>
      </c>
      <c r="X31" s="1553"/>
      <c r="Y31" s="3415"/>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5"/>
      <c r="Q32" s="1558">
        <f t="shared" si="11"/>
        <v>111</v>
      </c>
      <c r="R32" s="1559" t="s">
        <v>8</v>
      </c>
      <c r="S32" s="1560">
        <f t="shared" si="12"/>
        <v>100</v>
      </c>
      <c r="T32" s="1559" t="s">
        <v>8</v>
      </c>
      <c r="U32" s="1560">
        <f t="shared" si="13"/>
        <v>100</v>
      </c>
      <c r="V32" s="1559" t="s">
        <v>8</v>
      </c>
      <c r="W32" s="1560">
        <f t="shared" si="14"/>
        <v>100</v>
      </c>
      <c r="X32" s="1553"/>
      <c r="Y32" s="3415"/>
      <c r="Z32" s="1561">
        <f t="shared" si="15"/>
        <v>111</v>
      </c>
      <c r="AA32" s="1562">
        <f t="shared" si="3"/>
        <v>1</v>
      </c>
      <c r="AB32" s="1562">
        <f t="shared" si="4"/>
        <v>1</v>
      </c>
      <c r="AC32" s="1562">
        <f t="shared" si="5"/>
        <v>1</v>
      </c>
    </row>
    <row r="33" spans="1:29" ht="15">
      <c r="A33" s="2862"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6" t="s">
        <v>550</v>
      </c>
      <c r="Q33" s="1558" t="str">
        <f t="shared" si="11"/>
        <v>建筑类型</v>
      </c>
      <c r="R33" s="1559" t="s">
        <v>8</v>
      </c>
      <c r="S33" s="1560">
        <f t="shared" si="12"/>
        <v>100</v>
      </c>
      <c r="T33" s="1559" t="s">
        <v>8</v>
      </c>
      <c r="U33" s="1560">
        <f t="shared" si="13"/>
        <v>100</v>
      </c>
      <c r="V33" s="1559" t="s">
        <v>8</v>
      </c>
      <c r="W33" s="1560">
        <f t="shared" si="14"/>
        <v>100</v>
      </c>
      <c r="X33" s="1553"/>
      <c r="Y33" s="3417"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7"/>
      <c r="Q34" s="1590" t="str">
        <f t="shared" si="11"/>
        <v>项目建筑规模</v>
      </c>
      <c r="R34" s="1563" t="s">
        <v>8</v>
      </c>
      <c r="S34" s="1564" t="e">
        <f t="shared" si="12"/>
        <v>#N/A</v>
      </c>
      <c r="T34" s="1563" t="s">
        <v>8</v>
      </c>
      <c r="U34" s="1564" t="e">
        <f t="shared" si="13"/>
        <v>#N/A</v>
      </c>
      <c r="V34" s="1563" t="s">
        <v>8</v>
      </c>
      <c r="W34" s="1564" t="e">
        <f t="shared" si="14"/>
        <v>#N/A</v>
      </c>
      <c r="X34" s="1565"/>
      <c r="Y34" s="3417"/>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7"/>
      <c r="Q35" s="1558" t="str">
        <f t="shared" si="11"/>
        <v>建筑结构</v>
      </c>
      <c r="R35" s="1559" t="s">
        <v>8</v>
      </c>
      <c r="S35" s="1560">
        <f t="shared" si="12"/>
        <v>100</v>
      </c>
      <c r="T35" s="1559" t="s">
        <v>8</v>
      </c>
      <c r="U35" s="1560">
        <f t="shared" si="13"/>
        <v>100</v>
      </c>
      <c r="V35" s="1559" t="s">
        <v>8</v>
      </c>
      <c r="W35" s="1560">
        <f t="shared" si="14"/>
        <v>100</v>
      </c>
      <c r="X35" s="1553"/>
      <c r="Y35" s="3417"/>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7"/>
      <c r="Q36" s="1558" t="str">
        <f t="shared" si="11"/>
        <v>公共部分装修</v>
      </c>
      <c r="R36" s="1559" t="s">
        <v>8</v>
      </c>
      <c r="S36" s="1560">
        <f t="shared" si="12"/>
        <v>100</v>
      </c>
      <c r="T36" s="1559" t="s">
        <v>8</v>
      </c>
      <c r="U36" s="1560">
        <f t="shared" si="13"/>
        <v>100</v>
      </c>
      <c r="V36" s="1559" t="s">
        <v>8</v>
      </c>
      <c r="W36" s="1560">
        <f t="shared" si="14"/>
        <v>100</v>
      </c>
      <c r="X36" s="1553"/>
      <c r="Y36" s="3417"/>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7"/>
      <c r="Q37" s="1558" t="str">
        <f t="shared" si="11"/>
        <v>成新度</v>
      </c>
      <c r="R37" s="1559" t="s">
        <v>8</v>
      </c>
      <c r="S37" s="1560" t="e">
        <f t="shared" si="12"/>
        <v>#N/A</v>
      </c>
      <c r="T37" s="1559" t="s">
        <v>8</v>
      </c>
      <c r="U37" s="1560" t="e">
        <f t="shared" si="13"/>
        <v>#N/A</v>
      </c>
      <c r="V37" s="1559" t="s">
        <v>8</v>
      </c>
      <c r="W37" s="1560" t="e">
        <f t="shared" si="14"/>
        <v>#N/A</v>
      </c>
      <c r="X37" s="1553"/>
      <c r="Y37" s="3417"/>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7"/>
      <c r="Q38" s="1146" t="str">
        <f t="shared" si="11"/>
        <v>写字楼等级</v>
      </c>
      <c r="R38" s="1554" t="s">
        <v>8</v>
      </c>
      <c r="S38" s="1555">
        <f t="shared" si="12"/>
        <v>100</v>
      </c>
      <c r="T38" s="1554" t="s">
        <v>8</v>
      </c>
      <c r="U38" s="1555">
        <f t="shared" si="13"/>
        <v>100</v>
      </c>
      <c r="V38" s="1554" t="s">
        <v>8</v>
      </c>
      <c r="W38" s="1555">
        <f t="shared" si="14"/>
        <v>100</v>
      </c>
      <c r="X38" s="1556"/>
      <c r="Y38" s="3417"/>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7" t="s">
        <v>550</v>
      </c>
      <c r="Q39" s="1558" t="str">
        <f t="shared" si="11"/>
        <v>物业管理</v>
      </c>
      <c r="R39" s="1559" t="s">
        <v>8</v>
      </c>
      <c r="S39" s="1560">
        <f t="shared" si="12"/>
        <v>100</v>
      </c>
      <c r="T39" s="1559" t="s">
        <v>8</v>
      </c>
      <c r="U39" s="1560">
        <f t="shared" si="13"/>
        <v>100</v>
      </c>
      <c r="V39" s="1559" t="s">
        <v>8</v>
      </c>
      <c r="W39" s="1560">
        <f t="shared" si="14"/>
        <v>100</v>
      </c>
      <c r="X39" s="1553"/>
      <c r="Y39" s="3417" t="s">
        <v>550</v>
      </c>
      <c r="Z39" s="1561" t="str">
        <f t="shared" si="15"/>
        <v>物业管理</v>
      </c>
      <c r="AA39" s="1562">
        <f t="shared" si="3"/>
        <v>1</v>
      </c>
      <c r="AB39" s="1562">
        <f t="shared" si="4"/>
        <v>1</v>
      </c>
      <c r="AC39" s="1562">
        <f t="shared" si="5"/>
        <v>1</v>
      </c>
    </row>
    <row r="40" spans="1:29" ht="15">
      <c r="A40" s="594"/>
      <c r="B40" s="1880"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7"/>
      <c r="Q40" s="1558" t="str">
        <f t="shared" si="11"/>
        <v>市政基础设施</v>
      </c>
      <c r="R40" s="1559" t="s">
        <v>8</v>
      </c>
      <c r="S40" s="1560">
        <f t="shared" si="12"/>
        <v>100</v>
      </c>
      <c r="T40" s="1559" t="s">
        <v>8</v>
      </c>
      <c r="U40" s="1560">
        <f t="shared" si="13"/>
        <v>100</v>
      </c>
      <c r="V40" s="1559" t="s">
        <v>8</v>
      </c>
      <c r="W40" s="1560">
        <f t="shared" si="14"/>
        <v>100</v>
      </c>
      <c r="X40" s="1553"/>
      <c r="Y40" s="3417"/>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7"/>
      <c r="Q41" s="1558" t="str">
        <f t="shared" si="11"/>
        <v>层高</v>
      </c>
      <c r="R41" s="1559" t="s">
        <v>8</v>
      </c>
      <c r="S41" s="1560">
        <f t="shared" si="12"/>
        <v>100</v>
      </c>
      <c r="T41" s="1559" t="s">
        <v>8</v>
      </c>
      <c r="U41" s="1560">
        <f t="shared" si="13"/>
        <v>100</v>
      </c>
      <c r="V41" s="1559" t="s">
        <v>8</v>
      </c>
      <c r="W41" s="1560">
        <f t="shared" si="14"/>
        <v>100</v>
      </c>
      <c r="X41" s="1553"/>
      <c r="Y41" s="3417"/>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7"/>
      <c r="Q42" s="1590" t="str">
        <f t="shared" si="11"/>
        <v>单套建筑面积</v>
      </c>
      <c r="R42" s="1563" t="s">
        <v>8</v>
      </c>
      <c r="S42" s="1564">
        <f t="shared" si="12"/>
        <v>100</v>
      </c>
      <c r="T42" s="1563" t="s">
        <v>8</v>
      </c>
      <c r="U42" s="1564">
        <f t="shared" si="13"/>
        <v>100</v>
      </c>
      <c r="V42" s="1563" t="s">
        <v>8</v>
      </c>
      <c r="W42" s="1564">
        <f t="shared" si="14"/>
        <v>100</v>
      </c>
      <c r="X42" s="1565"/>
      <c r="Y42" s="3417"/>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7"/>
      <c r="Q43" s="1558" t="str">
        <f t="shared" si="11"/>
        <v>内部装修</v>
      </c>
      <c r="R43" s="1559" t="s">
        <v>8</v>
      </c>
      <c r="S43" s="1560">
        <f t="shared" si="12"/>
        <v>100</v>
      </c>
      <c r="T43" s="1559" t="s">
        <v>8</v>
      </c>
      <c r="U43" s="1560">
        <f t="shared" si="13"/>
        <v>100</v>
      </c>
      <c r="V43" s="1559" t="s">
        <v>8</v>
      </c>
      <c r="W43" s="1560">
        <f t="shared" si="14"/>
        <v>100</v>
      </c>
      <c r="X43" s="1553"/>
      <c r="Y43" s="3417"/>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7"/>
      <c r="Q44" s="1558" t="str">
        <f t="shared" si="11"/>
        <v>内部装修维护情况</v>
      </c>
      <c r="R44" s="1559" t="s">
        <v>8</v>
      </c>
      <c r="S44" s="1560">
        <f t="shared" si="12"/>
        <v>100</v>
      </c>
      <c r="T44" s="1559" t="s">
        <v>8</v>
      </c>
      <c r="U44" s="1560">
        <f t="shared" si="13"/>
        <v>100</v>
      </c>
      <c r="V44" s="1559" t="s">
        <v>8</v>
      </c>
      <c r="W44" s="1560">
        <f t="shared" si="14"/>
        <v>100</v>
      </c>
      <c r="X44" s="1553"/>
      <c r="Y44" s="3417"/>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7"/>
      <c r="Q45" s="1146">
        <f t="shared" si="11"/>
        <v>111</v>
      </c>
      <c r="R45" s="1554" t="s">
        <v>8</v>
      </c>
      <c r="S45" s="1555">
        <f t="shared" si="12"/>
        <v>100</v>
      </c>
      <c r="T45" s="1554" t="s">
        <v>8</v>
      </c>
      <c r="U45" s="1555">
        <f t="shared" si="13"/>
        <v>100</v>
      </c>
      <c r="V45" s="1554" t="s">
        <v>8</v>
      </c>
      <c r="W45" s="1555">
        <f t="shared" si="14"/>
        <v>100</v>
      </c>
      <c r="X45" s="1556"/>
      <c r="Y45" s="3417"/>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7"/>
      <c r="Q46" s="1558">
        <f t="shared" si="11"/>
        <v>111</v>
      </c>
      <c r="R46" s="1559" t="s">
        <v>8</v>
      </c>
      <c r="S46" s="1560">
        <f t="shared" si="12"/>
        <v>100</v>
      </c>
      <c r="T46" s="1559" t="s">
        <v>8</v>
      </c>
      <c r="U46" s="1560">
        <f t="shared" si="13"/>
        <v>100</v>
      </c>
      <c r="V46" s="1559" t="s">
        <v>8</v>
      </c>
      <c r="W46" s="1560">
        <f t="shared" si="14"/>
        <v>100</v>
      </c>
      <c r="X46" s="1553"/>
      <c r="Y46" s="3417"/>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7"/>
      <c r="Q47" s="1558">
        <f t="shared" si="11"/>
        <v>111</v>
      </c>
      <c r="R47" s="1559" t="s">
        <v>8</v>
      </c>
      <c r="S47" s="1560">
        <f t="shared" si="12"/>
        <v>100</v>
      </c>
      <c r="T47" s="1559" t="s">
        <v>8</v>
      </c>
      <c r="U47" s="1560">
        <f t="shared" si="13"/>
        <v>100</v>
      </c>
      <c r="V47" s="1559" t="s">
        <v>8</v>
      </c>
      <c r="W47" s="1560">
        <f t="shared" si="14"/>
        <v>100</v>
      </c>
      <c r="X47" s="1553"/>
      <c r="Y47" s="3517"/>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34" t="str">
        <f>A48</f>
        <v>成交单价（元/平方米）</v>
      </c>
      <c r="Q48" s="3412"/>
      <c r="R48" s="3516">
        <f>E48</f>
        <v>0</v>
      </c>
      <c r="S48" s="3516"/>
      <c r="T48" s="3516">
        <f>G48</f>
        <v>0</v>
      </c>
      <c r="U48" s="3516"/>
      <c r="V48" s="3516">
        <f>I48</f>
        <v>0</v>
      </c>
      <c r="W48" s="3516"/>
      <c r="X48" s="1545"/>
      <c r="Y48" s="1567"/>
      <c r="Z48" s="1545"/>
      <c r="AA48" s="1545"/>
      <c r="AB48" s="1545"/>
      <c r="AC48" s="1545"/>
    </row>
    <row r="49" spans="1:29" ht="15.75" thickBot="1">
      <c r="A49" s="615" t="s">
        <v>2753</v>
      </c>
      <c r="B49" s="888"/>
      <c r="C49" s="2597" t="e">
        <f>R50</f>
        <v>#DIV/0!</v>
      </c>
      <c r="D49" s="2598"/>
      <c r="E49" s="2599" t="e">
        <f>R49</f>
        <v>#DIV/0!</v>
      </c>
      <c r="F49" s="2599"/>
      <c r="G49" s="2597" t="e">
        <f>T49</f>
        <v>#DIV/0!</v>
      </c>
      <c r="H49" s="2598"/>
      <c r="I49" s="2599" t="e">
        <f>V49</f>
        <v>#DIV/0!</v>
      </c>
      <c r="J49" s="2598"/>
      <c r="K49" s="1597"/>
      <c r="L49" s="2129"/>
      <c r="M49" s="2119"/>
      <c r="N49" s="2119"/>
      <c r="O49" s="2119"/>
      <c r="P49" s="3434" t="str">
        <f>A49</f>
        <v>比较价格（元/平方米）</v>
      </c>
      <c r="Q49" s="3412"/>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45"/>
      <c r="Y49" s="1545"/>
      <c r="Z49" s="1545"/>
      <c r="AA49" s="1545"/>
      <c r="AB49" s="1545"/>
      <c r="AC49" s="1545"/>
    </row>
    <row r="50" spans="1:29" ht="15.75" thickBot="1">
      <c r="A50" s="621" t="s">
        <v>2923</v>
      </c>
      <c r="B50" s="622"/>
      <c r="C50" s="2600" t="e">
        <f>R50</f>
        <v>#DIV/0!</v>
      </c>
      <c r="D50" s="2600"/>
      <c r="E50" s="2600"/>
      <c r="F50" s="2600"/>
      <c r="G50" s="2600"/>
      <c r="H50" s="2600"/>
      <c r="I50" s="2600"/>
      <c r="J50" s="2600"/>
      <c r="K50" s="1598"/>
      <c r="L50" s="2129"/>
      <c r="M50" s="2119"/>
      <c r="N50" s="2119"/>
      <c r="O50" s="2119"/>
      <c r="P50" s="3521" t="str">
        <f>A50</f>
        <v>估价对象XX用房的比较价格（楼面单价，元/平方米）</v>
      </c>
      <c r="Q50" s="3434"/>
      <c r="R50" s="3515" t="e">
        <f>IF(F1="售价",ROUND(AVERAGE(R49:V49),0),ROUND(AVERAGE(R49:V49),1))</f>
        <v>#DIV/0!</v>
      </c>
      <c r="S50" s="3515"/>
      <c r="T50" s="3515"/>
      <c r="U50" s="3515"/>
      <c r="V50" s="3515"/>
      <c r="W50" s="351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2020-6</v>
      </c>
      <c r="D59" s="2759">
        <f>EDATE(C59,-1)</f>
        <v>43952</v>
      </c>
      <c r="E59" s="2759">
        <f t="shared" ref="E59:O59" si="16">EDATE(D59,-1)</f>
        <v>43922</v>
      </c>
      <c r="F59" s="2759">
        <f t="shared" si="16"/>
        <v>43891</v>
      </c>
      <c r="G59" s="2759">
        <f t="shared" si="16"/>
        <v>43862</v>
      </c>
      <c r="H59" s="2759">
        <f t="shared" si="16"/>
        <v>43831</v>
      </c>
      <c r="I59" s="2759">
        <f t="shared" si="16"/>
        <v>43800</v>
      </c>
      <c r="J59" s="2759">
        <f t="shared" si="16"/>
        <v>43770</v>
      </c>
      <c r="K59" s="2759">
        <f t="shared" si="16"/>
        <v>43739</v>
      </c>
      <c r="L59" s="2759">
        <f t="shared" si="16"/>
        <v>43709</v>
      </c>
      <c r="M59" s="2759">
        <f t="shared" si="16"/>
        <v>43678</v>
      </c>
      <c r="N59" s="2759">
        <f t="shared" si="16"/>
        <v>43647</v>
      </c>
      <c r="O59" s="2759">
        <f t="shared" si="16"/>
        <v>43617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2551</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2552</v>
      </c>
      <c r="C83" s="2562" t="s">
        <v>2553</v>
      </c>
      <c r="D83" s="2562" t="s">
        <v>2554</v>
      </c>
      <c r="E83" s="2562" t="s">
        <v>2555</v>
      </c>
      <c r="F83" s="2562" t="s">
        <v>2556</v>
      </c>
      <c r="G83" s="2562" t="s">
        <v>2557</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2550</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18" t="s">
        <v>522</v>
      </c>
      <c r="D4" s="3419"/>
      <c r="E4" s="3442" t="s">
        <v>523</v>
      </c>
      <c r="F4" s="3443"/>
      <c r="G4" s="3418" t="s">
        <v>524</v>
      </c>
      <c r="H4" s="3419"/>
      <c r="I4" s="3418" t="s">
        <v>525</v>
      </c>
      <c r="J4" s="3419"/>
      <c r="K4" s="514" t="s">
        <v>526</v>
      </c>
      <c r="L4" s="2118"/>
      <c r="M4" s="2119"/>
      <c r="N4" s="2119"/>
      <c r="O4" s="2119"/>
      <c r="P4" s="3420" t="s">
        <v>527</v>
      </c>
      <c r="Q4" s="3421"/>
      <c r="R4" s="3406" t="s">
        <v>523</v>
      </c>
      <c r="S4" s="3407"/>
      <c r="T4" s="3406" t="s">
        <v>524</v>
      </c>
      <c r="U4" s="3407"/>
      <c r="V4" s="3426" t="s">
        <v>525</v>
      </c>
      <c r="W4" s="3426"/>
      <c r="X4" s="1553"/>
      <c r="Y4" s="3406" t="s">
        <v>527</v>
      </c>
      <c r="Z4" s="3407"/>
      <c r="AA4" s="3401" t="s">
        <v>523</v>
      </c>
      <c r="AB4" s="3402" t="s">
        <v>524</v>
      </c>
      <c r="AC4" s="3401" t="s">
        <v>525</v>
      </c>
    </row>
    <row r="5" spans="1:29" ht="15">
      <c r="A5" s="515"/>
      <c r="B5" s="516"/>
      <c r="C5" s="3429" t="s">
        <v>2917</v>
      </c>
      <c r="D5" s="3430"/>
      <c r="E5" s="3444" t="s">
        <v>2918</v>
      </c>
      <c r="F5" s="3445"/>
      <c r="G5" s="3429" t="s">
        <v>2919</v>
      </c>
      <c r="H5" s="3430"/>
      <c r="I5" s="3429" t="s">
        <v>2920</v>
      </c>
      <c r="J5" s="3430"/>
      <c r="K5" s="514"/>
      <c r="L5" s="2118"/>
      <c r="M5" s="2119"/>
      <c r="N5" s="2119"/>
      <c r="O5" s="2119"/>
      <c r="P5" s="3422"/>
      <c r="Q5" s="3423"/>
      <c r="R5" s="3408"/>
      <c r="S5" s="3409"/>
      <c r="T5" s="3408"/>
      <c r="U5" s="3409"/>
      <c r="V5" s="3426"/>
      <c r="W5" s="3426"/>
      <c r="X5" s="1553"/>
      <c r="Y5" s="3408"/>
      <c r="Z5" s="3409"/>
      <c r="AA5" s="3402"/>
      <c r="AB5" s="3402"/>
      <c r="AC5" s="3402"/>
    </row>
    <row r="6" spans="1:29" ht="15.75" thickBot="1">
      <c r="A6" s="517"/>
      <c r="B6" s="518"/>
      <c r="C6" s="3427" t="s">
        <v>2921</v>
      </c>
      <c r="D6" s="3428"/>
      <c r="E6" s="3446" t="s">
        <v>2921</v>
      </c>
      <c r="F6" s="3447"/>
      <c r="G6" s="3427" t="s">
        <v>2921</v>
      </c>
      <c r="H6" s="3428"/>
      <c r="I6" s="3427" t="s">
        <v>2921</v>
      </c>
      <c r="J6" s="3428"/>
      <c r="K6" s="514" t="s">
        <v>528</v>
      </c>
      <c r="L6" s="2118"/>
      <c r="M6" s="2119"/>
      <c r="N6" s="2119"/>
      <c r="O6" s="2119"/>
      <c r="P6" s="3424"/>
      <c r="Q6" s="3425"/>
      <c r="R6" s="3408"/>
      <c r="S6" s="3409"/>
      <c r="T6" s="3410"/>
      <c r="U6" s="3411"/>
      <c r="V6" s="3426"/>
      <c r="W6" s="3426"/>
      <c r="X6" s="1553"/>
      <c r="Y6" s="3410"/>
      <c r="Z6" s="3411"/>
      <c r="AA6" s="3403"/>
      <c r="AB6" s="3403"/>
      <c r="AC6" s="3403"/>
    </row>
    <row r="7" spans="1:29" s="1215" customFormat="1" ht="15.75" thickBot="1">
      <c r="A7" s="2867"/>
      <c r="B7" s="2874" t="s">
        <v>529</v>
      </c>
      <c r="C7" s="519">
        <f>'数据-取费表'!B2</f>
        <v>43994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4" t="s">
        <v>530</v>
      </c>
      <c r="Q7" s="3413"/>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0" si="3">D8/F8</f>
        <v>#DIV/0!</v>
      </c>
      <c r="AB8" s="1557" t="e">
        <f t="shared" ref="AB8:AB40" si="4">D8/H8</f>
        <v>#DIV/0!</v>
      </c>
      <c r="AC8" s="1557" t="e">
        <f t="shared" ref="AC8:AC40" si="5">D8/J8</f>
        <v>#DIV/0!</v>
      </c>
    </row>
    <row r="9" spans="1:29" s="1215" customFormat="1" ht="15">
      <c r="A9" s="2869"/>
      <c r="B9" s="2876"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2" t="s">
        <v>535</v>
      </c>
      <c r="Q9" s="1146" t="str">
        <f t="shared" ref="Q9:Q15" si="6">B9</f>
        <v>用途</v>
      </c>
      <c r="R9" s="1554" t="s">
        <v>8</v>
      </c>
      <c r="S9" s="1555">
        <f t="shared" si="0"/>
        <v>100</v>
      </c>
      <c r="T9" s="1554" t="s">
        <v>8</v>
      </c>
      <c r="U9" s="1555">
        <f t="shared" si="1"/>
        <v>100</v>
      </c>
      <c r="V9" s="1554" t="s">
        <v>8</v>
      </c>
      <c r="W9" s="1555">
        <f t="shared" si="2"/>
        <v>100</v>
      </c>
      <c r="X9" s="1556"/>
      <c r="Y9" s="336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2"/>
      <c r="Q10" s="1146" t="str">
        <f t="shared" si="6"/>
        <v>土地使用年限（年）</v>
      </c>
      <c r="R10" s="1554" t="s">
        <v>8</v>
      </c>
      <c r="S10" s="1555">
        <f t="shared" si="0"/>
        <v>100</v>
      </c>
      <c r="T10" s="1554" t="s">
        <v>8</v>
      </c>
      <c r="U10" s="1555">
        <f t="shared" si="1"/>
        <v>100</v>
      </c>
      <c r="V10" s="1554" t="s">
        <v>8</v>
      </c>
      <c r="W10" s="1555">
        <f t="shared" si="2"/>
        <v>100</v>
      </c>
      <c r="X10" s="1556"/>
      <c r="Y10" s="3366"/>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2"/>
      <c r="Q11" s="1146" t="str">
        <f t="shared" si="6"/>
        <v>容积率</v>
      </c>
      <c r="R11" s="1554" t="s">
        <v>8</v>
      </c>
      <c r="S11" s="1555" t="e">
        <f t="shared" si="0"/>
        <v>#N/A</v>
      </c>
      <c r="T11" s="1554" t="s">
        <v>8</v>
      </c>
      <c r="U11" s="1555" t="e">
        <f t="shared" si="1"/>
        <v>#N/A</v>
      </c>
      <c r="V11" s="1554" t="s">
        <v>8</v>
      </c>
      <c r="W11" s="1555" t="e">
        <f t="shared" si="2"/>
        <v>#N/A</v>
      </c>
      <c r="X11" s="1556"/>
      <c r="Y11" s="336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12"/>
      <c r="Q12" s="1146">
        <f t="shared" si="6"/>
        <v>111</v>
      </c>
      <c r="R12" s="1554" t="s">
        <v>8</v>
      </c>
      <c r="S12" s="1555">
        <f t="shared" si="0"/>
        <v>100</v>
      </c>
      <c r="T12" s="1554" t="s">
        <v>8</v>
      </c>
      <c r="U12" s="1555">
        <f t="shared" si="1"/>
        <v>100</v>
      </c>
      <c r="V12" s="1554" t="s">
        <v>8</v>
      </c>
      <c r="W12" s="1555">
        <f t="shared" si="2"/>
        <v>100</v>
      </c>
      <c r="X12" s="1556"/>
      <c r="Y12" s="3366"/>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12"/>
      <c r="Q13" s="1146">
        <f t="shared" si="6"/>
        <v>111</v>
      </c>
      <c r="R13" s="1554" t="s">
        <v>8</v>
      </c>
      <c r="S13" s="1555">
        <f t="shared" si="0"/>
        <v>100</v>
      </c>
      <c r="T13" s="1554" t="s">
        <v>8</v>
      </c>
      <c r="U13" s="1555">
        <f t="shared" si="1"/>
        <v>100</v>
      </c>
      <c r="V13" s="1554" t="s">
        <v>8</v>
      </c>
      <c r="W13" s="1555">
        <f t="shared" si="2"/>
        <v>100</v>
      </c>
      <c r="X13" s="1556"/>
      <c r="Y13" s="3366"/>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12"/>
      <c r="Q14" s="1146">
        <f t="shared" si="6"/>
        <v>111</v>
      </c>
      <c r="R14" s="1554" t="s">
        <v>8</v>
      </c>
      <c r="S14" s="1555">
        <f t="shared" si="0"/>
        <v>100</v>
      </c>
      <c r="T14" s="1554" t="s">
        <v>8</v>
      </c>
      <c r="U14" s="1555">
        <f t="shared" si="1"/>
        <v>100</v>
      </c>
      <c r="V14" s="1554" t="s">
        <v>8</v>
      </c>
      <c r="W14" s="1555">
        <f t="shared" si="2"/>
        <v>100</v>
      </c>
      <c r="X14" s="1556"/>
      <c r="Y14" s="3366"/>
      <c r="Z14" s="1145">
        <f t="shared" si="7"/>
        <v>111</v>
      </c>
      <c r="AA14" s="1557">
        <f t="shared" si="3"/>
        <v>1</v>
      </c>
      <c r="AB14" s="1557">
        <f t="shared" si="4"/>
        <v>1</v>
      </c>
      <c r="AC14" s="1557">
        <f t="shared" si="5"/>
        <v>1</v>
      </c>
    </row>
    <row r="15" spans="1:29" ht="57">
      <c r="A15" s="2865"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4" t="s">
        <v>540</v>
      </c>
      <c r="Q15" s="1558" t="str">
        <f t="shared" si="6"/>
        <v>产业集聚程度</v>
      </c>
      <c r="R15" s="1559" t="s">
        <v>8</v>
      </c>
      <c r="S15" s="1560">
        <f t="shared" si="0"/>
        <v>100</v>
      </c>
      <c r="T15" s="1559" t="s">
        <v>8</v>
      </c>
      <c r="U15" s="1560">
        <f t="shared" si="1"/>
        <v>100</v>
      </c>
      <c r="V15" s="1559" t="s">
        <v>8</v>
      </c>
      <c r="W15" s="1560">
        <f t="shared" si="2"/>
        <v>100</v>
      </c>
      <c r="X15" s="1553"/>
      <c r="Y15" s="3414"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5"/>
      <c r="Q16" s="1558"/>
      <c r="R16" s="1559"/>
      <c r="S16" s="1560"/>
      <c r="T16" s="1559"/>
      <c r="U16" s="1560"/>
      <c r="V16" s="1559"/>
      <c r="W16" s="1560"/>
      <c r="X16" s="1553"/>
      <c r="Y16" s="3415"/>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5"/>
      <c r="Q17" s="1558" t="str">
        <f>B17</f>
        <v>交通便捷度</v>
      </c>
      <c r="R17" s="1559" t="s">
        <v>8</v>
      </c>
      <c r="S17" s="1560">
        <f>F17</f>
        <v>100</v>
      </c>
      <c r="T17" s="1559" t="s">
        <v>8</v>
      </c>
      <c r="U17" s="1560">
        <f>H17</f>
        <v>100</v>
      </c>
      <c r="V17" s="1559" t="s">
        <v>8</v>
      </c>
      <c r="W17" s="1560">
        <f>J17</f>
        <v>100</v>
      </c>
      <c r="X17" s="1553"/>
      <c r="Y17" s="341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5"/>
      <c r="Q18" s="1558"/>
      <c r="R18" s="1559"/>
      <c r="S18" s="1560"/>
      <c r="T18" s="1559"/>
      <c r="U18" s="1560"/>
      <c r="V18" s="1559"/>
      <c r="W18" s="1560"/>
      <c r="X18" s="1553"/>
      <c r="Y18" s="3415"/>
      <c r="Z18" s="1561"/>
      <c r="AA18" s="1562">
        <v>1</v>
      </c>
      <c r="AB18" s="1562">
        <v>1</v>
      </c>
      <c r="AC18" s="1562">
        <v>1</v>
      </c>
    </row>
    <row r="19" spans="1:29" ht="42.75">
      <c r="A19" s="532"/>
      <c r="B19" s="2567"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5"/>
      <c r="Q19" s="1558" t="str">
        <f>B19</f>
        <v>公共配套设施</v>
      </c>
      <c r="R19" s="1559" t="s">
        <v>8</v>
      </c>
      <c r="S19" s="1560">
        <f>F19</f>
        <v>100</v>
      </c>
      <c r="T19" s="1559" t="s">
        <v>8</v>
      </c>
      <c r="U19" s="1560">
        <f>H19</f>
        <v>100</v>
      </c>
      <c r="V19" s="1559" t="s">
        <v>8</v>
      </c>
      <c r="W19" s="1560">
        <f>J19</f>
        <v>100</v>
      </c>
      <c r="X19" s="1553"/>
      <c r="Y19" s="341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15"/>
      <c r="Q20" s="1558"/>
      <c r="R20" s="1559"/>
      <c r="S20" s="1560"/>
      <c r="T20" s="1559"/>
      <c r="U20" s="1560"/>
      <c r="V20" s="1559"/>
      <c r="W20" s="1560"/>
      <c r="X20" s="1553"/>
      <c r="Y20" s="3415"/>
      <c r="Z20" s="1561"/>
      <c r="AA20" s="1562">
        <v>1</v>
      </c>
      <c r="AB20" s="1562">
        <v>1</v>
      </c>
      <c r="AC20" s="1562">
        <v>1</v>
      </c>
    </row>
    <row r="21" spans="1:29" ht="28.5">
      <c r="A21" s="532"/>
      <c r="B21" s="2555"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5"/>
      <c r="Q21" s="2543" t="str">
        <f>B21</f>
        <v>基础设施水平</v>
      </c>
      <c r="R21" s="1559" t="s">
        <v>8</v>
      </c>
      <c r="S21" s="1560">
        <f>F21</f>
        <v>100</v>
      </c>
      <c r="T21" s="1559" t="s">
        <v>8</v>
      </c>
      <c r="U21" s="1560">
        <f>H21</f>
        <v>100</v>
      </c>
      <c r="V21" s="1559" t="s">
        <v>8</v>
      </c>
      <c r="W21" s="1560">
        <f>J21</f>
        <v>100</v>
      </c>
      <c r="X21" s="2545"/>
      <c r="Y21" s="3415"/>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15"/>
      <c r="Q22" s="2543"/>
      <c r="R22" s="1559"/>
      <c r="S22" s="1560"/>
      <c r="T22" s="1559"/>
      <c r="U22" s="1560"/>
      <c r="V22" s="1559"/>
      <c r="W22" s="1560"/>
      <c r="X22" s="2545"/>
      <c r="Y22" s="3415"/>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5"/>
      <c r="Q23" s="1558" t="str">
        <f>B23</f>
        <v>环境质量</v>
      </c>
      <c r="R23" s="1559" t="s">
        <v>8</v>
      </c>
      <c r="S23" s="1560">
        <f>F23</f>
        <v>100</v>
      </c>
      <c r="T23" s="1559" t="s">
        <v>8</v>
      </c>
      <c r="U23" s="1560">
        <f>H23</f>
        <v>100</v>
      </c>
      <c r="V23" s="1559" t="s">
        <v>8</v>
      </c>
      <c r="W23" s="1560">
        <f>J23</f>
        <v>100</v>
      </c>
      <c r="X23" s="1553"/>
      <c r="Y23" s="3415"/>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15"/>
      <c r="Q24" s="1558"/>
      <c r="R24" s="1559"/>
      <c r="S24" s="1560"/>
      <c r="T24" s="1559"/>
      <c r="U24" s="1560"/>
      <c r="V24" s="1559"/>
      <c r="W24" s="1560"/>
      <c r="X24" s="1553"/>
      <c r="Y24" s="341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5"/>
      <c r="Q25" s="1558">
        <f>B25</f>
        <v>111</v>
      </c>
      <c r="R25" s="1559" t="s">
        <v>8</v>
      </c>
      <c r="S25" s="1560">
        <f>F25</f>
        <v>100</v>
      </c>
      <c r="T25" s="1559" t="s">
        <v>8</v>
      </c>
      <c r="U25" s="1560">
        <f>H25</f>
        <v>100</v>
      </c>
      <c r="V25" s="1559" t="s">
        <v>8</v>
      </c>
      <c r="W25" s="1560">
        <f>J25</f>
        <v>100</v>
      </c>
      <c r="X25" s="1553"/>
      <c r="Y25" s="341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5"/>
      <c r="Q26" s="1558">
        <f t="shared" ref="Q26:Q40" si="11">B26</f>
        <v>111</v>
      </c>
      <c r="R26" s="1559" t="s">
        <v>8</v>
      </c>
      <c r="S26" s="1560">
        <f>F26</f>
        <v>100</v>
      </c>
      <c r="T26" s="1559" t="s">
        <v>8</v>
      </c>
      <c r="U26" s="1560">
        <f>H26</f>
        <v>100</v>
      </c>
      <c r="V26" s="1559" t="s">
        <v>8</v>
      </c>
      <c r="W26" s="1560">
        <f>J26</f>
        <v>100</v>
      </c>
      <c r="X26" s="1553"/>
      <c r="Y26" s="3415"/>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5"/>
      <c r="Q27" s="1146">
        <f t="shared" si="11"/>
        <v>111</v>
      </c>
      <c r="R27" s="1554" t="s">
        <v>8</v>
      </c>
      <c r="S27" s="1555">
        <f>F27</f>
        <v>100</v>
      </c>
      <c r="T27" s="1554" t="s">
        <v>8</v>
      </c>
      <c r="U27" s="1555">
        <f>H27</f>
        <v>100</v>
      </c>
      <c r="V27" s="1554" t="s">
        <v>8</v>
      </c>
      <c r="W27" s="1555">
        <f>J27</f>
        <v>100</v>
      </c>
      <c r="X27" s="1556"/>
      <c r="Y27" s="3415"/>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5"/>
      <c r="Q28" s="1558">
        <f t="shared" si="11"/>
        <v>111</v>
      </c>
      <c r="R28" s="1559" t="s">
        <v>8</v>
      </c>
      <c r="S28" s="1560">
        <f t="shared" ref="S28:S40" si="12">F28</f>
        <v>100</v>
      </c>
      <c r="T28" s="1559" t="s">
        <v>8</v>
      </c>
      <c r="U28" s="1560">
        <f t="shared" ref="U28:U40" si="13">H28</f>
        <v>100</v>
      </c>
      <c r="V28" s="1559" t="s">
        <v>8</v>
      </c>
      <c r="W28" s="1560">
        <f t="shared" ref="W28:W40" si="14">J28</f>
        <v>100</v>
      </c>
      <c r="X28" s="1553"/>
      <c r="Y28" s="3415"/>
      <c r="Z28" s="1561">
        <f t="shared" ref="Z28:Z40" si="15">Q28</f>
        <v>111</v>
      </c>
      <c r="AA28" s="1562">
        <f t="shared" si="3"/>
        <v>1</v>
      </c>
      <c r="AB28" s="1562">
        <f t="shared" si="4"/>
        <v>1</v>
      </c>
      <c r="AC28" s="1562">
        <f t="shared" si="5"/>
        <v>1</v>
      </c>
    </row>
    <row r="29" spans="1:29" ht="15">
      <c r="A29" s="2862"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6" t="s">
        <v>550</v>
      </c>
      <c r="Q29" s="1558" t="str">
        <f t="shared" si="11"/>
        <v>建筑类型</v>
      </c>
      <c r="R29" s="1559" t="s">
        <v>8</v>
      </c>
      <c r="S29" s="1560">
        <f t="shared" si="12"/>
        <v>100</v>
      </c>
      <c r="T29" s="1559" t="s">
        <v>8</v>
      </c>
      <c r="U29" s="1560">
        <f t="shared" si="13"/>
        <v>100</v>
      </c>
      <c r="V29" s="1559" t="s">
        <v>8</v>
      </c>
      <c r="W29" s="1560">
        <f t="shared" si="14"/>
        <v>100</v>
      </c>
      <c r="X29" s="1553"/>
      <c r="Y29" s="3417"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7"/>
      <c r="Q30" s="1590" t="str">
        <f t="shared" si="11"/>
        <v>项目建筑规模</v>
      </c>
      <c r="R30" s="1563" t="s">
        <v>8</v>
      </c>
      <c r="S30" s="1564" t="e">
        <f t="shared" si="12"/>
        <v>#N/A</v>
      </c>
      <c r="T30" s="1563" t="s">
        <v>8</v>
      </c>
      <c r="U30" s="1564" t="e">
        <f t="shared" si="13"/>
        <v>#N/A</v>
      </c>
      <c r="V30" s="1563" t="s">
        <v>8</v>
      </c>
      <c r="W30" s="1564" t="e">
        <f t="shared" si="14"/>
        <v>#N/A</v>
      </c>
      <c r="X30" s="1565"/>
      <c r="Y30" s="3417"/>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7"/>
      <c r="Q31" s="1558" t="str">
        <f t="shared" si="11"/>
        <v>建筑结构</v>
      </c>
      <c r="R31" s="1559" t="s">
        <v>8</v>
      </c>
      <c r="S31" s="1560">
        <f t="shared" si="12"/>
        <v>100</v>
      </c>
      <c r="T31" s="1559" t="s">
        <v>8</v>
      </c>
      <c r="U31" s="1560">
        <f t="shared" si="13"/>
        <v>100</v>
      </c>
      <c r="V31" s="1559" t="s">
        <v>8</v>
      </c>
      <c r="W31" s="1560">
        <f t="shared" si="14"/>
        <v>100</v>
      </c>
      <c r="X31" s="1553"/>
      <c r="Y31" s="3417"/>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7"/>
      <c r="Q32" s="1558" t="str">
        <f t="shared" si="11"/>
        <v>公共部分装修</v>
      </c>
      <c r="R32" s="1559" t="s">
        <v>8</v>
      </c>
      <c r="S32" s="1560">
        <f t="shared" si="12"/>
        <v>100</v>
      </c>
      <c r="T32" s="1559" t="s">
        <v>8</v>
      </c>
      <c r="U32" s="1560">
        <f t="shared" si="13"/>
        <v>100</v>
      </c>
      <c r="V32" s="1559" t="s">
        <v>8</v>
      </c>
      <c r="W32" s="1560">
        <f t="shared" si="14"/>
        <v>100</v>
      </c>
      <c r="X32" s="1553"/>
      <c r="Y32" s="3417"/>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7"/>
      <c r="Q33" s="1558" t="str">
        <f t="shared" si="11"/>
        <v>成新度</v>
      </c>
      <c r="R33" s="1559" t="s">
        <v>8</v>
      </c>
      <c r="S33" s="1560" t="e">
        <f t="shared" si="12"/>
        <v>#N/A</v>
      </c>
      <c r="T33" s="1559" t="s">
        <v>8</v>
      </c>
      <c r="U33" s="1560" t="e">
        <f t="shared" si="13"/>
        <v>#N/A</v>
      </c>
      <c r="V33" s="1559" t="s">
        <v>8</v>
      </c>
      <c r="W33" s="1560" t="e">
        <f t="shared" si="14"/>
        <v>#N/A</v>
      </c>
      <c r="X33" s="1553"/>
      <c r="Y33" s="3417"/>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7"/>
      <c r="Q34" s="1146" t="str">
        <f t="shared" si="11"/>
        <v>物业管理</v>
      </c>
      <c r="R34" s="1554" t="s">
        <v>8</v>
      </c>
      <c r="S34" s="1555">
        <f t="shared" si="12"/>
        <v>100</v>
      </c>
      <c r="T34" s="1554" t="s">
        <v>8</v>
      </c>
      <c r="U34" s="1555">
        <f t="shared" si="13"/>
        <v>100</v>
      </c>
      <c r="V34" s="1554" t="s">
        <v>8</v>
      </c>
      <c r="W34" s="1555">
        <f t="shared" si="14"/>
        <v>100</v>
      </c>
      <c r="X34" s="1556"/>
      <c r="Y34" s="3417"/>
      <c r="Z34" s="1145" t="str">
        <f t="shared" si="15"/>
        <v>物业管理</v>
      </c>
      <c r="AA34" s="1557">
        <f t="shared" si="3"/>
        <v>1</v>
      </c>
      <c r="AB34" s="1557">
        <f t="shared" si="4"/>
        <v>1</v>
      </c>
      <c r="AC34" s="1557">
        <f t="shared" si="5"/>
        <v>1</v>
      </c>
    </row>
    <row r="35" spans="1:29" ht="15">
      <c r="A35" s="594"/>
      <c r="B35" s="1880"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7" t="s">
        <v>550</v>
      </c>
      <c r="Q35" s="1558" t="str">
        <f t="shared" si="11"/>
        <v>市政基础设施</v>
      </c>
      <c r="R35" s="1559" t="s">
        <v>8</v>
      </c>
      <c r="S35" s="1560">
        <f t="shared" si="12"/>
        <v>100</v>
      </c>
      <c r="T35" s="1559" t="s">
        <v>8</v>
      </c>
      <c r="U35" s="1560">
        <f t="shared" si="13"/>
        <v>100</v>
      </c>
      <c r="V35" s="1559" t="s">
        <v>8</v>
      </c>
      <c r="W35" s="1560">
        <f t="shared" si="14"/>
        <v>100</v>
      </c>
      <c r="X35" s="1553"/>
      <c r="Y35" s="3417"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7"/>
      <c r="Q36" s="1558" t="str">
        <f t="shared" si="11"/>
        <v>内部装修</v>
      </c>
      <c r="R36" s="1559" t="s">
        <v>8</v>
      </c>
      <c r="S36" s="1560">
        <f t="shared" si="12"/>
        <v>100</v>
      </c>
      <c r="T36" s="1559" t="s">
        <v>8</v>
      </c>
      <c r="U36" s="1560">
        <f t="shared" si="13"/>
        <v>100</v>
      </c>
      <c r="V36" s="1559" t="s">
        <v>8</v>
      </c>
      <c r="W36" s="1560">
        <f t="shared" si="14"/>
        <v>100</v>
      </c>
      <c r="X36" s="1553"/>
      <c r="Y36" s="3417"/>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7"/>
      <c r="Q37" s="1558" t="str">
        <f t="shared" si="11"/>
        <v>内部装修状况</v>
      </c>
      <c r="R37" s="1559" t="s">
        <v>8</v>
      </c>
      <c r="S37" s="1560">
        <f t="shared" si="12"/>
        <v>100</v>
      </c>
      <c r="T37" s="1559" t="s">
        <v>8</v>
      </c>
      <c r="U37" s="1560">
        <f t="shared" si="13"/>
        <v>100</v>
      </c>
      <c r="V37" s="1559" t="s">
        <v>8</v>
      </c>
      <c r="W37" s="1560">
        <f t="shared" si="14"/>
        <v>100</v>
      </c>
      <c r="X37" s="1553"/>
      <c r="Y37" s="3417"/>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7"/>
      <c r="Q38" s="1590">
        <f t="shared" si="11"/>
        <v>111</v>
      </c>
      <c r="R38" s="1563" t="s">
        <v>8</v>
      </c>
      <c r="S38" s="1564">
        <f t="shared" si="12"/>
        <v>100</v>
      </c>
      <c r="T38" s="1563" t="s">
        <v>8</v>
      </c>
      <c r="U38" s="1564">
        <f t="shared" si="13"/>
        <v>100</v>
      </c>
      <c r="V38" s="1563" t="s">
        <v>8</v>
      </c>
      <c r="W38" s="1564">
        <f t="shared" si="14"/>
        <v>100</v>
      </c>
      <c r="X38" s="1565"/>
      <c r="Y38" s="3417"/>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7"/>
      <c r="Q39" s="1558">
        <f t="shared" si="11"/>
        <v>111</v>
      </c>
      <c r="R39" s="1559" t="s">
        <v>8</v>
      </c>
      <c r="S39" s="1560">
        <f t="shared" si="12"/>
        <v>100</v>
      </c>
      <c r="T39" s="1559" t="s">
        <v>8</v>
      </c>
      <c r="U39" s="1560">
        <f t="shared" si="13"/>
        <v>100</v>
      </c>
      <c r="V39" s="1559" t="s">
        <v>8</v>
      </c>
      <c r="W39" s="1560">
        <f t="shared" si="14"/>
        <v>100</v>
      </c>
      <c r="X39" s="1553"/>
      <c r="Y39" s="3417"/>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7"/>
      <c r="Q40" s="1558">
        <f t="shared" si="11"/>
        <v>111</v>
      </c>
      <c r="R40" s="1559" t="s">
        <v>8</v>
      </c>
      <c r="S40" s="1560">
        <f t="shared" si="12"/>
        <v>100</v>
      </c>
      <c r="T40" s="1559" t="s">
        <v>8</v>
      </c>
      <c r="U40" s="1560">
        <f t="shared" si="13"/>
        <v>100</v>
      </c>
      <c r="V40" s="1559" t="s">
        <v>8</v>
      </c>
      <c r="W40" s="1560">
        <f t="shared" si="14"/>
        <v>100</v>
      </c>
      <c r="X40" s="1553"/>
      <c r="Y40" s="3517"/>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412" t="str">
        <f>A41</f>
        <v>成交单价（元/平方米）</v>
      </c>
      <c r="Q41" s="3412"/>
      <c r="R41" s="3516">
        <f>E41</f>
        <v>0</v>
      </c>
      <c r="S41" s="3516"/>
      <c r="T41" s="3516">
        <f>G41</f>
        <v>0</v>
      </c>
      <c r="U41" s="3516"/>
      <c r="V41" s="3516">
        <f>I41</f>
        <v>0</v>
      </c>
      <c r="W41" s="3516"/>
      <c r="X41" s="1545"/>
      <c r="Y41" s="1567"/>
      <c r="Z41" s="1545"/>
      <c r="AA41" s="1545"/>
      <c r="AB41" s="1545"/>
      <c r="AC41" s="1545"/>
    </row>
    <row r="42" spans="1:29" ht="15.75" thickBot="1">
      <c r="A42" s="615" t="s">
        <v>2753</v>
      </c>
      <c r="B42" s="888"/>
      <c r="C42" s="2597" t="e">
        <f>R43</f>
        <v>#DIV/0!</v>
      </c>
      <c r="D42" s="2598"/>
      <c r="E42" s="2599" t="e">
        <f>R42</f>
        <v>#DIV/0!</v>
      </c>
      <c r="F42" s="2599"/>
      <c r="G42" s="2597" t="e">
        <f>T42</f>
        <v>#DIV/0!</v>
      </c>
      <c r="H42" s="2598"/>
      <c r="I42" s="2599" t="e">
        <f>V42</f>
        <v>#DIV/0!</v>
      </c>
      <c r="J42" s="2598"/>
      <c r="K42" s="1597"/>
      <c r="L42" s="2129"/>
      <c r="M42" s="2130"/>
      <c r="N42" s="2119"/>
      <c r="O42" s="2130"/>
      <c r="P42" s="3412" t="str">
        <f>A42</f>
        <v>比较价格（元/平方米）</v>
      </c>
      <c r="Q42" s="3412"/>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5"/>
      <c r="Y42" s="1545"/>
      <c r="Z42" s="1545"/>
      <c r="AA42" s="1545"/>
      <c r="AB42" s="1545"/>
      <c r="AC42" s="1545"/>
    </row>
    <row r="43" spans="1:29" ht="15.75" thickBot="1">
      <c r="A43" s="621" t="s">
        <v>2923</v>
      </c>
      <c r="B43" s="622"/>
      <c r="C43" s="2600" t="e">
        <f>R43</f>
        <v>#DIV/0!</v>
      </c>
      <c r="D43" s="2600"/>
      <c r="E43" s="2600"/>
      <c r="F43" s="2600"/>
      <c r="G43" s="2600"/>
      <c r="H43" s="2600"/>
      <c r="I43" s="2600"/>
      <c r="J43" s="2600"/>
      <c r="K43" s="1598"/>
      <c r="L43" s="2129"/>
      <c r="M43" s="2130"/>
      <c r="N43" s="2130"/>
      <c r="O43" s="2130"/>
      <c r="P43" s="3433" t="str">
        <f>A43</f>
        <v>估价对象XX用房的比较价格（楼面单价，元/平方米）</v>
      </c>
      <c r="Q43" s="3434"/>
      <c r="R43" s="3515" t="e">
        <f>IF(F1="售价",ROUND(AVERAGE(R42:V42),0),ROUND(AVERAGE(R42:V42),1))</f>
        <v>#DIV/0!</v>
      </c>
      <c r="S43" s="3515"/>
      <c r="T43" s="3515"/>
      <c r="U43" s="3515"/>
      <c r="V43" s="3515"/>
      <c r="W43" s="351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2020-6</v>
      </c>
      <c r="D52" s="2759">
        <f>EDATE(C52,-1)</f>
        <v>43952</v>
      </c>
      <c r="E52" s="2759">
        <f t="shared" ref="E52:O52" si="16">EDATE(D52,-1)</f>
        <v>43922</v>
      </c>
      <c r="F52" s="2759">
        <f t="shared" si="16"/>
        <v>43891</v>
      </c>
      <c r="G52" s="2759">
        <f t="shared" si="16"/>
        <v>43862</v>
      </c>
      <c r="H52" s="2759">
        <f t="shared" si="16"/>
        <v>43831</v>
      </c>
      <c r="I52" s="2759">
        <f t="shared" si="16"/>
        <v>43800</v>
      </c>
      <c r="J52" s="2759">
        <f t="shared" si="16"/>
        <v>43770</v>
      </c>
      <c r="K52" s="2759">
        <f t="shared" si="16"/>
        <v>43739</v>
      </c>
      <c r="L52" s="2759">
        <f t="shared" si="16"/>
        <v>43709</v>
      </c>
      <c r="M52" s="2759">
        <f t="shared" si="16"/>
        <v>43678</v>
      </c>
      <c r="N52" s="2759">
        <f t="shared" si="16"/>
        <v>43647</v>
      </c>
      <c r="O52" s="2759">
        <f t="shared" si="16"/>
        <v>43617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2551</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2552</v>
      </c>
      <c r="C76" s="2562" t="s">
        <v>2553</v>
      </c>
      <c r="D76" s="2562" t="s">
        <v>2554</v>
      </c>
      <c r="E76" s="2562" t="s">
        <v>2555</v>
      </c>
      <c r="F76" s="2562" t="s">
        <v>2556</v>
      </c>
      <c r="G76" s="2562" t="s">
        <v>2557</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2550</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56.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估价对象为使用的、位于出让国有建设用地使用权。根据，估价对象（分摊）出让国有建设用地使用权面积为49011平方米。根据，估价对象规划建筑面积为62924.7平方米。</v>
      </c>
    </row>
    <row r="7" spans="1:4" ht="93.75">
      <c r="A7" s="2828" t="s">
        <v>2741</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2020年6月12日（评估专业人员勘察现场之日）</v>
      </c>
    </row>
    <row r="12" spans="1:4" ht="18.75">
      <c r="A12" s="1782" t="s">
        <v>2020</v>
      </c>
    </row>
    <row r="13" spans="1:4" ht="18.75">
      <c r="A13" s="1776" t="s">
        <v>2066</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2068</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根据，估价对象（分摊）出让国有建设用地使用权面积为49011平方米。根据，估价对象规划建筑面积为62924.7平方米。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2069</v>
      </c>
    </row>
    <row r="23" spans="1:1" ht="18.75">
      <c r="A23" s="2830" t="s">
        <v>2742</v>
      </c>
    </row>
    <row r="24" spans="1:1" ht="18.75">
      <c r="A24" s="1776" t="s">
        <v>2070</v>
      </c>
    </row>
    <row r="25" spans="1:1" ht="75">
      <c r="A25" s="1776"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2071</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18" t="s">
        <v>798</v>
      </c>
      <c r="D4" s="3419"/>
      <c r="E4" s="3418" t="s">
        <v>799</v>
      </c>
      <c r="F4" s="3419"/>
      <c r="G4" s="3418" t="s">
        <v>800</v>
      </c>
      <c r="H4" s="3419"/>
      <c r="I4" s="3418" t="s">
        <v>801</v>
      </c>
      <c r="J4" s="3419"/>
      <c r="K4" s="514" t="s">
        <v>802</v>
      </c>
      <c r="L4" s="2118"/>
      <c r="M4" s="2119"/>
      <c r="N4" s="2119"/>
      <c r="O4" s="2119"/>
      <c r="P4" s="3420" t="s">
        <v>803</v>
      </c>
      <c r="Q4" s="3421"/>
      <c r="R4" s="3406" t="s">
        <v>799</v>
      </c>
      <c r="S4" s="3407"/>
      <c r="T4" s="3406" t="s">
        <v>800</v>
      </c>
      <c r="U4" s="3407"/>
      <c r="V4" s="3426" t="s">
        <v>801</v>
      </c>
      <c r="W4" s="3426"/>
      <c r="X4" s="1553"/>
      <c r="Y4" s="3406" t="s">
        <v>803</v>
      </c>
      <c r="Z4" s="3407"/>
      <c r="AA4" s="3401" t="s">
        <v>799</v>
      </c>
      <c r="AB4" s="3402" t="s">
        <v>800</v>
      </c>
      <c r="AC4" s="3401" t="s">
        <v>801</v>
      </c>
    </row>
    <row r="5" spans="1:29" ht="15">
      <c r="A5" s="515"/>
      <c r="B5" s="516"/>
      <c r="C5" s="3429" t="s">
        <v>2917</v>
      </c>
      <c r="D5" s="3430"/>
      <c r="E5" s="3429" t="s">
        <v>2918</v>
      </c>
      <c r="F5" s="3430"/>
      <c r="G5" s="3429" t="s">
        <v>2919</v>
      </c>
      <c r="H5" s="3430"/>
      <c r="I5" s="3429" t="s">
        <v>2920</v>
      </c>
      <c r="J5" s="3430"/>
      <c r="K5" s="514"/>
      <c r="L5" s="2118"/>
      <c r="M5" s="2119"/>
      <c r="N5" s="2119"/>
      <c r="O5" s="2119"/>
      <c r="P5" s="3422"/>
      <c r="Q5" s="3423"/>
      <c r="R5" s="3408"/>
      <c r="S5" s="3409"/>
      <c r="T5" s="3408"/>
      <c r="U5" s="3409"/>
      <c r="V5" s="3426"/>
      <c r="W5" s="3426"/>
      <c r="X5" s="1553"/>
      <c r="Y5" s="3408"/>
      <c r="Z5" s="3409"/>
      <c r="AA5" s="3402"/>
      <c r="AB5" s="3402"/>
      <c r="AC5" s="3402"/>
    </row>
    <row r="6" spans="1:29" ht="15.75" thickBot="1">
      <c r="A6" s="517"/>
      <c r="B6" s="518"/>
      <c r="C6" s="3427" t="s">
        <v>2921</v>
      </c>
      <c r="D6" s="3428"/>
      <c r="E6" s="3431" t="s">
        <v>2921</v>
      </c>
      <c r="F6" s="3432"/>
      <c r="G6" s="3427" t="s">
        <v>2921</v>
      </c>
      <c r="H6" s="3428"/>
      <c r="I6" s="3427" t="s">
        <v>2921</v>
      </c>
      <c r="J6" s="3428"/>
      <c r="K6" s="514" t="s">
        <v>528</v>
      </c>
      <c r="L6" s="2118"/>
      <c r="M6" s="2119"/>
      <c r="N6" s="2119"/>
      <c r="O6" s="2119"/>
      <c r="P6" s="3424"/>
      <c r="Q6" s="3425"/>
      <c r="R6" s="3408"/>
      <c r="S6" s="3409"/>
      <c r="T6" s="3410"/>
      <c r="U6" s="3411"/>
      <c r="V6" s="3426"/>
      <c r="W6" s="3426"/>
      <c r="X6" s="1553"/>
      <c r="Y6" s="3410"/>
      <c r="Z6" s="3411"/>
      <c r="AA6" s="3403"/>
      <c r="AB6" s="3403"/>
      <c r="AC6" s="3403"/>
    </row>
    <row r="7" spans="1:29" s="1215" customFormat="1" ht="15.75" thickBot="1">
      <c r="A7" s="2867"/>
      <c r="B7" s="2874" t="s">
        <v>529</v>
      </c>
      <c r="C7" s="519">
        <f>'数据-取费表'!B2</f>
        <v>43994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4" t="s">
        <v>530</v>
      </c>
      <c r="Q7" s="3413"/>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6" si="3">D8/F8</f>
        <v>#DIV/0!</v>
      </c>
      <c r="AB8" s="1557" t="e">
        <f t="shared" ref="AB8:AB36" si="4">D8/H8</f>
        <v>#DIV/0!</v>
      </c>
      <c r="AC8" s="1557" t="e">
        <f t="shared" ref="AC8:AC36" si="5">D8/J8</f>
        <v>#DIV/0!</v>
      </c>
    </row>
    <row r="9" spans="1:29" s="1215" customFormat="1" ht="15">
      <c r="A9" s="2869"/>
      <c r="B9" s="2876" t="s">
        <v>2749</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2" t="s">
        <v>535</v>
      </c>
      <c r="Q9" s="1146" t="str">
        <f t="shared" ref="Q9:Q14" si="6">B9</f>
        <v>用途</v>
      </c>
      <c r="R9" s="1554" t="s">
        <v>8</v>
      </c>
      <c r="S9" s="1555">
        <f t="shared" si="0"/>
        <v>100</v>
      </c>
      <c r="T9" s="1554" t="s">
        <v>8</v>
      </c>
      <c r="U9" s="1555">
        <f t="shared" si="1"/>
        <v>100</v>
      </c>
      <c r="V9" s="1554" t="s">
        <v>8</v>
      </c>
      <c r="W9" s="1555">
        <f t="shared" si="2"/>
        <v>100</v>
      </c>
      <c r="X9" s="1556"/>
      <c r="Y9" s="3366"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2"/>
      <c r="Q10" s="1146" t="str">
        <f t="shared" si="6"/>
        <v>土地使用年限（年）</v>
      </c>
      <c r="R10" s="1554" t="s">
        <v>8</v>
      </c>
      <c r="S10" s="1555">
        <f t="shared" si="0"/>
        <v>100</v>
      </c>
      <c r="T10" s="1554" t="s">
        <v>8</v>
      </c>
      <c r="U10" s="1555">
        <f t="shared" si="1"/>
        <v>100</v>
      </c>
      <c r="V10" s="1554" t="s">
        <v>8</v>
      </c>
      <c r="W10" s="1555">
        <f t="shared" si="2"/>
        <v>100</v>
      </c>
      <c r="X10" s="1556"/>
      <c r="Y10" s="3366"/>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2"/>
      <c r="Q11" s="1146">
        <f t="shared" si="6"/>
        <v>111</v>
      </c>
      <c r="R11" s="1554" t="s">
        <v>8</v>
      </c>
      <c r="S11" s="1555">
        <f t="shared" si="0"/>
        <v>100</v>
      </c>
      <c r="T11" s="1554" t="s">
        <v>8</v>
      </c>
      <c r="U11" s="1555">
        <f t="shared" si="1"/>
        <v>100</v>
      </c>
      <c r="V11" s="1554" t="s">
        <v>8</v>
      </c>
      <c r="W11" s="1555">
        <f t="shared" si="2"/>
        <v>100</v>
      </c>
      <c r="X11" s="1556"/>
      <c r="Y11" s="3366"/>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2"/>
      <c r="Q12" s="1146">
        <f t="shared" si="6"/>
        <v>111</v>
      </c>
      <c r="R12" s="1554" t="s">
        <v>8</v>
      </c>
      <c r="S12" s="1555">
        <f t="shared" si="0"/>
        <v>100</v>
      </c>
      <c r="T12" s="1554" t="s">
        <v>8</v>
      </c>
      <c r="U12" s="1555">
        <f t="shared" si="1"/>
        <v>100</v>
      </c>
      <c r="V12" s="1554" t="s">
        <v>8</v>
      </c>
      <c r="W12" s="1555">
        <f t="shared" si="2"/>
        <v>100</v>
      </c>
      <c r="X12" s="1556"/>
      <c r="Y12" s="3366"/>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2"/>
      <c r="Q13" s="1146">
        <f t="shared" si="6"/>
        <v>111</v>
      </c>
      <c r="R13" s="1554" t="s">
        <v>8</v>
      </c>
      <c r="S13" s="1555">
        <f t="shared" si="0"/>
        <v>100</v>
      </c>
      <c r="T13" s="1554" t="s">
        <v>8</v>
      </c>
      <c r="U13" s="1555">
        <f t="shared" si="1"/>
        <v>100</v>
      </c>
      <c r="V13" s="1554" t="s">
        <v>8</v>
      </c>
      <c r="W13" s="1555">
        <f t="shared" si="2"/>
        <v>100</v>
      </c>
      <c r="X13" s="1556"/>
      <c r="Y13" s="3366"/>
      <c r="Z13" s="1145">
        <f t="shared" si="7"/>
        <v>111</v>
      </c>
      <c r="AA13" s="1557">
        <f t="shared" si="3"/>
        <v>1</v>
      </c>
      <c r="AB13" s="1557">
        <f t="shared" si="4"/>
        <v>1</v>
      </c>
      <c r="AC13" s="1557">
        <f t="shared" si="5"/>
        <v>1</v>
      </c>
    </row>
    <row r="14" spans="1:29" ht="15">
      <c r="A14" s="2865" t="s">
        <v>2747</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4" t="s">
        <v>540</v>
      </c>
      <c r="Q14" s="1558" t="str">
        <f t="shared" si="6"/>
        <v>交通便捷度</v>
      </c>
      <c r="R14" s="1559" t="s">
        <v>8</v>
      </c>
      <c r="S14" s="1560">
        <f t="shared" si="0"/>
        <v>100</v>
      </c>
      <c r="T14" s="1559" t="s">
        <v>8</v>
      </c>
      <c r="U14" s="1560">
        <f t="shared" si="1"/>
        <v>100</v>
      </c>
      <c r="V14" s="1559" t="s">
        <v>8</v>
      </c>
      <c r="W14" s="1560">
        <f t="shared" si="2"/>
        <v>100</v>
      </c>
      <c r="X14" s="1553"/>
      <c r="Y14" s="3414"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15"/>
      <c r="Q15" s="1558"/>
      <c r="R15" s="1559"/>
      <c r="S15" s="1560"/>
      <c r="T15" s="1559"/>
      <c r="U15" s="1560"/>
      <c r="V15" s="1559"/>
      <c r="W15" s="1560"/>
      <c r="X15" s="1553"/>
      <c r="Y15" s="3415"/>
      <c r="Z15" s="1561"/>
      <c r="AA15" s="1562">
        <v>1</v>
      </c>
      <c r="AB15" s="1562">
        <v>1</v>
      </c>
      <c r="AC15" s="1562">
        <v>1</v>
      </c>
    </row>
    <row r="16" spans="1:29" ht="15">
      <c r="A16" s="515"/>
      <c r="B16" s="2567" t="s">
        <v>2540</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5"/>
      <c r="Q16" s="1558" t="str">
        <f>B16</f>
        <v>公共配套设施</v>
      </c>
      <c r="R16" s="1559" t="s">
        <v>8</v>
      </c>
      <c r="S16" s="1560">
        <f>F16</f>
        <v>100</v>
      </c>
      <c r="T16" s="1559" t="s">
        <v>8</v>
      </c>
      <c r="U16" s="1560">
        <f>H16</f>
        <v>100</v>
      </c>
      <c r="V16" s="1559" t="s">
        <v>8</v>
      </c>
      <c r="W16" s="1560">
        <f>J16</f>
        <v>100</v>
      </c>
      <c r="X16" s="1553"/>
      <c r="Y16" s="341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15"/>
      <c r="Q17" s="1558"/>
      <c r="R17" s="1559"/>
      <c r="S17" s="1560"/>
      <c r="T17" s="1559"/>
      <c r="U17" s="1560"/>
      <c r="V17" s="1559"/>
      <c r="W17" s="1560"/>
      <c r="X17" s="1553"/>
      <c r="Y17" s="3415"/>
      <c r="Z17" s="1561"/>
      <c r="AA17" s="1562">
        <v>1</v>
      </c>
      <c r="AB17" s="1562">
        <v>1</v>
      </c>
      <c r="AC17" s="1562">
        <v>1</v>
      </c>
    </row>
    <row r="18" spans="1:29" ht="15">
      <c r="A18" s="515"/>
      <c r="B18" s="2555" t="s">
        <v>2552</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5"/>
      <c r="Q18" s="2543" t="str">
        <f>B18</f>
        <v>基础设施水平</v>
      </c>
      <c r="R18" s="1559" t="s">
        <v>8</v>
      </c>
      <c r="S18" s="1560">
        <f>F18</f>
        <v>100</v>
      </c>
      <c r="T18" s="1559" t="s">
        <v>8</v>
      </c>
      <c r="U18" s="1560">
        <f>H18</f>
        <v>100</v>
      </c>
      <c r="V18" s="1559" t="s">
        <v>8</v>
      </c>
      <c r="W18" s="1560">
        <f>J18</f>
        <v>100</v>
      </c>
      <c r="X18" s="2545"/>
      <c r="Y18" s="3415"/>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15"/>
      <c r="Q19" s="2543"/>
      <c r="R19" s="1559"/>
      <c r="S19" s="1560"/>
      <c r="T19" s="1559"/>
      <c r="U19" s="1560"/>
      <c r="V19" s="1559"/>
      <c r="W19" s="1560"/>
      <c r="X19" s="2545"/>
      <c r="Y19" s="3415"/>
      <c r="Z19" s="2544"/>
      <c r="AA19" s="1562">
        <v>1</v>
      </c>
      <c r="AB19" s="1562">
        <v>1</v>
      </c>
      <c r="AC19" s="1562">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5"/>
      <c r="Q20" s="1558" t="str">
        <f>B20</f>
        <v>自然及人文环境</v>
      </c>
      <c r="R20" s="1559" t="s">
        <v>8</v>
      </c>
      <c r="S20" s="1560">
        <f>F20</f>
        <v>100</v>
      </c>
      <c r="T20" s="1559" t="s">
        <v>8</v>
      </c>
      <c r="U20" s="1560">
        <f>H20</f>
        <v>100</v>
      </c>
      <c r="V20" s="1559" t="s">
        <v>8</v>
      </c>
      <c r="W20" s="1560">
        <f>J20</f>
        <v>100</v>
      </c>
      <c r="X20" s="1553"/>
      <c r="Y20" s="341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15"/>
      <c r="Q21" s="1558"/>
      <c r="R21" s="1559"/>
      <c r="S21" s="1560"/>
      <c r="T21" s="1559"/>
      <c r="U21" s="1560"/>
      <c r="V21" s="1559"/>
      <c r="W21" s="1560"/>
      <c r="X21" s="1553"/>
      <c r="Y21" s="3415"/>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5"/>
      <c r="Q22" s="1558" t="str">
        <f>B22</f>
        <v>楼层</v>
      </c>
      <c r="R22" s="1559" t="s">
        <v>8</v>
      </c>
      <c r="S22" s="1560">
        <f>F22</f>
        <v>100</v>
      </c>
      <c r="T22" s="1559" t="s">
        <v>8</v>
      </c>
      <c r="U22" s="1560">
        <f>H22</f>
        <v>100</v>
      </c>
      <c r="V22" s="1559" t="s">
        <v>8</v>
      </c>
      <c r="W22" s="1560">
        <f>J22</f>
        <v>100</v>
      </c>
      <c r="X22" s="1553"/>
      <c r="Y22" s="3415"/>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5"/>
      <c r="Q23" s="1558">
        <f>B23</f>
        <v>111</v>
      </c>
      <c r="R23" s="1559" t="s">
        <v>8</v>
      </c>
      <c r="S23" s="1560">
        <f>F23</f>
        <v>100</v>
      </c>
      <c r="T23" s="1559" t="s">
        <v>8</v>
      </c>
      <c r="U23" s="1560">
        <f>H23</f>
        <v>100</v>
      </c>
      <c r="V23" s="1559" t="s">
        <v>8</v>
      </c>
      <c r="W23" s="1560">
        <f>J23</f>
        <v>100</v>
      </c>
      <c r="X23" s="1553"/>
      <c r="Y23" s="3415"/>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5"/>
      <c r="Q24" s="1558">
        <f t="shared" ref="Q24:Q36" si="11">B24</f>
        <v>111</v>
      </c>
      <c r="R24" s="1559" t="s">
        <v>8</v>
      </c>
      <c r="S24" s="1560">
        <f>F24</f>
        <v>100</v>
      </c>
      <c r="T24" s="1559" t="s">
        <v>8</v>
      </c>
      <c r="U24" s="1560">
        <f>H24</f>
        <v>100</v>
      </c>
      <c r="V24" s="1559" t="s">
        <v>8</v>
      </c>
      <c r="W24" s="1560">
        <f>J24</f>
        <v>100</v>
      </c>
      <c r="X24" s="1553"/>
      <c r="Y24" s="3415"/>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5"/>
      <c r="Q25" s="1146">
        <f t="shared" si="11"/>
        <v>111</v>
      </c>
      <c r="R25" s="1554" t="s">
        <v>8</v>
      </c>
      <c r="S25" s="1555">
        <f>F25</f>
        <v>100</v>
      </c>
      <c r="T25" s="1554" t="s">
        <v>8</v>
      </c>
      <c r="U25" s="1555">
        <f>H25</f>
        <v>100</v>
      </c>
      <c r="V25" s="1554" t="s">
        <v>8</v>
      </c>
      <c r="W25" s="1555">
        <f>J25</f>
        <v>100</v>
      </c>
      <c r="X25" s="1556"/>
      <c r="Y25" s="3415"/>
      <c r="Z25" s="1145">
        <f>Q25</f>
        <v>111</v>
      </c>
      <c r="AA25" s="1562">
        <f>D25/F25</f>
        <v>1</v>
      </c>
      <c r="AB25" s="1562">
        <f>D25/H25</f>
        <v>1</v>
      </c>
      <c r="AC25" s="1562">
        <f>D25/J25</f>
        <v>1</v>
      </c>
    </row>
    <row r="26" spans="1:29" ht="15">
      <c r="A26" s="2862"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6"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7"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7"/>
      <c r="Q27" s="1590" t="str">
        <f t="shared" si="11"/>
        <v>项目停车位配比</v>
      </c>
      <c r="R27" s="1563" t="s">
        <v>8</v>
      </c>
      <c r="S27" s="1564">
        <f t="shared" si="12"/>
        <v>100</v>
      </c>
      <c r="T27" s="1563" t="s">
        <v>8</v>
      </c>
      <c r="U27" s="1564">
        <f t="shared" si="13"/>
        <v>100</v>
      </c>
      <c r="V27" s="1563" t="s">
        <v>8</v>
      </c>
      <c r="W27" s="1564">
        <f t="shared" si="14"/>
        <v>100</v>
      </c>
      <c r="X27" s="1565"/>
      <c r="Y27" s="3417"/>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7"/>
      <c r="Q28" s="1558" t="str">
        <f t="shared" si="11"/>
        <v>公共部分装修</v>
      </c>
      <c r="R28" s="1559" t="s">
        <v>8</v>
      </c>
      <c r="S28" s="1560">
        <f t="shared" si="12"/>
        <v>100</v>
      </c>
      <c r="T28" s="1559" t="s">
        <v>8</v>
      </c>
      <c r="U28" s="1560">
        <f t="shared" si="13"/>
        <v>100</v>
      </c>
      <c r="V28" s="1559" t="s">
        <v>8</v>
      </c>
      <c r="W28" s="1560">
        <f t="shared" si="14"/>
        <v>100</v>
      </c>
      <c r="X28" s="1553"/>
      <c r="Y28" s="3417"/>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7"/>
      <c r="Q29" s="1558" t="str">
        <f t="shared" si="11"/>
        <v>成新率</v>
      </c>
      <c r="R29" s="1559" t="s">
        <v>8</v>
      </c>
      <c r="S29" s="1560" t="e">
        <f t="shared" si="12"/>
        <v>#N/A</v>
      </c>
      <c r="T29" s="1559" t="s">
        <v>8</v>
      </c>
      <c r="U29" s="1560" t="e">
        <f t="shared" si="13"/>
        <v>#N/A</v>
      </c>
      <c r="V29" s="1559" t="s">
        <v>8</v>
      </c>
      <c r="W29" s="1560" t="e">
        <f t="shared" si="14"/>
        <v>#N/A</v>
      </c>
      <c r="X29" s="1553"/>
      <c r="Y29" s="3417"/>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7"/>
      <c r="Q30" s="1558" t="str">
        <f t="shared" si="11"/>
        <v>物业等级</v>
      </c>
      <c r="R30" s="1559" t="s">
        <v>8</v>
      </c>
      <c r="S30" s="1560">
        <f t="shared" si="12"/>
        <v>100</v>
      </c>
      <c r="T30" s="1559" t="s">
        <v>8</v>
      </c>
      <c r="U30" s="1560">
        <f t="shared" si="13"/>
        <v>100</v>
      </c>
      <c r="V30" s="1559" t="s">
        <v>8</v>
      </c>
      <c r="W30" s="1560">
        <f t="shared" si="14"/>
        <v>100</v>
      </c>
      <c r="X30" s="1553"/>
      <c r="Y30" s="3417"/>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7"/>
      <c r="Q31" s="1146" t="str">
        <f t="shared" si="11"/>
        <v>停车位面积</v>
      </c>
      <c r="R31" s="1554" t="s">
        <v>8</v>
      </c>
      <c r="S31" s="1555" t="e">
        <f t="shared" si="12"/>
        <v>#N/A</v>
      </c>
      <c r="T31" s="1554" t="s">
        <v>8</v>
      </c>
      <c r="U31" s="1555" t="e">
        <f t="shared" si="13"/>
        <v>#N/A</v>
      </c>
      <c r="V31" s="1554" t="s">
        <v>8</v>
      </c>
      <c r="W31" s="1555" t="e">
        <f t="shared" si="14"/>
        <v>#N/A</v>
      </c>
      <c r="X31" s="1556"/>
      <c r="Y31" s="3417"/>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7" t="s">
        <v>550</v>
      </c>
      <c r="Q32" s="1558" t="str">
        <f t="shared" si="11"/>
        <v>车位类型</v>
      </c>
      <c r="R32" s="1559" t="s">
        <v>8</v>
      </c>
      <c r="S32" s="1560">
        <f t="shared" si="12"/>
        <v>100</v>
      </c>
      <c r="T32" s="1559" t="s">
        <v>8</v>
      </c>
      <c r="U32" s="1560">
        <f t="shared" si="13"/>
        <v>100</v>
      </c>
      <c r="V32" s="1559" t="s">
        <v>8</v>
      </c>
      <c r="W32" s="1560">
        <f t="shared" si="14"/>
        <v>100</v>
      </c>
      <c r="X32" s="1553"/>
      <c r="Y32" s="3417"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7"/>
      <c r="Q33" s="1558" t="str">
        <f t="shared" si="11"/>
        <v>是否直接入户</v>
      </c>
      <c r="R33" s="1559" t="s">
        <v>8</v>
      </c>
      <c r="S33" s="1560">
        <f t="shared" si="12"/>
        <v>100</v>
      </c>
      <c r="T33" s="1559" t="s">
        <v>8</v>
      </c>
      <c r="U33" s="1560">
        <f t="shared" si="13"/>
        <v>100</v>
      </c>
      <c r="V33" s="1559" t="s">
        <v>8</v>
      </c>
      <c r="W33" s="1560">
        <f t="shared" si="14"/>
        <v>100</v>
      </c>
      <c r="X33" s="1553"/>
      <c r="Y33" s="3417"/>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7"/>
      <c r="Q34" s="1558">
        <f t="shared" si="11"/>
        <v>111</v>
      </c>
      <c r="R34" s="1559" t="s">
        <v>8</v>
      </c>
      <c r="S34" s="1560">
        <f t="shared" si="12"/>
        <v>100</v>
      </c>
      <c r="T34" s="1559" t="s">
        <v>8</v>
      </c>
      <c r="U34" s="1560">
        <f t="shared" si="13"/>
        <v>100</v>
      </c>
      <c r="V34" s="1559" t="s">
        <v>8</v>
      </c>
      <c r="W34" s="1560">
        <f t="shared" si="14"/>
        <v>100</v>
      </c>
      <c r="X34" s="1553"/>
      <c r="Y34" s="3417"/>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7"/>
      <c r="Q35" s="1590">
        <f t="shared" si="11"/>
        <v>111</v>
      </c>
      <c r="R35" s="1563" t="s">
        <v>8</v>
      </c>
      <c r="S35" s="1564">
        <f t="shared" si="12"/>
        <v>100</v>
      </c>
      <c r="T35" s="1563" t="s">
        <v>8</v>
      </c>
      <c r="U35" s="1564">
        <f t="shared" si="13"/>
        <v>100</v>
      </c>
      <c r="V35" s="1563" t="s">
        <v>8</v>
      </c>
      <c r="W35" s="1564">
        <f t="shared" si="14"/>
        <v>100</v>
      </c>
      <c r="X35" s="1565"/>
      <c r="Y35" s="3417"/>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7"/>
      <c r="Q36" s="1558">
        <f t="shared" si="11"/>
        <v>111</v>
      </c>
      <c r="R36" s="1559" t="s">
        <v>8</v>
      </c>
      <c r="S36" s="1560">
        <f t="shared" si="12"/>
        <v>100</v>
      </c>
      <c r="T36" s="1559" t="s">
        <v>8</v>
      </c>
      <c r="U36" s="1560">
        <f t="shared" si="13"/>
        <v>100</v>
      </c>
      <c r="V36" s="1559" t="s">
        <v>8</v>
      </c>
      <c r="W36" s="1560">
        <f t="shared" si="14"/>
        <v>100</v>
      </c>
      <c r="X36" s="1553"/>
      <c r="Y36" s="3417"/>
      <c r="Z36" s="1561">
        <f t="shared" si="15"/>
        <v>111</v>
      </c>
      <c r="AA36" s="1562">
        <f t="shared" si="3"/>
        <v>1</v>
      </c>
      <c r="AB36" s="1562">
        <f t="shared" si="4"/>
        <v>1</v>
      </c>
      <c r="AC36" s="1562">
        <f t="shared" si="5"/>
        <v>1</v>
      </c>
    </row>
    <row r="37" spans="1:29" ht="15">
      <c r="A37" s="1831" t="s">
        <v>2072</v>
      </c>
      <c r="B37" s="1832" t="s">
        <v>2073</v>
      </c>
      <c r="C37" s="2591" t="s">
        <v>1</v>
      </c>
      <c r="D37" s="2592"/>
      <c r="E37" s="2593"/>
      <c r="F37" s="2594"/>
      <c r="G37" s="2595"/>
      <c r="H37" s="2596"/>
      <c r="I37" s="2593"/>
      <c r="J37" s="2596"/>
      <c r="K37" s="1596"/>
      <c r="L37" s="2129"/>
      <c r="M37" s="2130"/>
      <c r="N37" s="2119"/>
      <c r="O37" s="2130"/>
      <c r="P37" s="3412" t="str">
        <f>A37</f>
        <v>成交单价</v>
      </c>
      <c r="Q37" s="3412"/>
      <c r="R37" s="3516">
        <f>E37</f>
        <v>0</v>
      </c>
      <c r="S37" s="3516"/>
      <c r="T37" s="3516">
        <f>G37</f>
        <v>0</v>
      </c>
      <c r="U37" s="3516"/>
      <c r="V37" s="3516">
        <f>I37</f>
        <v>0</v>
      </c>
      <c r="W37" s="3516"/>
      <c r="X37" s="1545"/>
      <c r="Y37" s="1567"/>
      <c r="Z37" s="1545"/>
      <c r="AA37" s="1545"/>
      <c r="AB37" s="1545"/>
      <c r="AC37" s="1545"/>
    </row>
    <row r="38" spans="1:29" ht="15.75" thickBot="1">
      <c r="A38" s="615" t="s">
        <v>2753</v>
      </c>
      <c r="B38" s="888"/>
      <c r="C38" s="2597" t="e">
        <f>R39</f>
        <v>#DIV/0!</v>
      </c>
      <c r="D38" s="2598"/>
      <c r="E38" s="2599" t="e">
        <f>R38</f>
        <v>#DIV/0!</v>
      </c>
      <c r="F38" s="2599"/>
      <c r="G38" s="2597" t="e">
        <f>T38</f>
        <v>#DIV/0!</v>
      </c>
      <c r="H38" s="2598"/>
      <c r="I38" s="2599" t="e">
        <f>V38</f>
        <v>#DIV/0!</v>
      </c>
      <c r="J38" s="2598"/>
      <c r="K38" s="1597"/>
      <c r="L38" s="2129"/>
      <c r="M38" s="2130"/>
      <c r="N38" s="2130"/>
      <c r="O38" s="2130"/>
      <c r="P38" s="3412" t="str">
        <f>A38</f>
        <v>比较价格（元/平方米）</v>
      </c>
      <c r="Q38" s="3412"/>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5"/>
      <c r="Y38" s="1545"/>
      <c r="Z38" s="1545"/>
      <c r="AA38" s="1545"/>
      <c r="AB38" s="1545"/>
      <c r="AC38" s="1545"/>
    </row>
    <row r="39" spans="1:29" ht="15.75" thickBot="1">
      <c r="A39" s="621" t="s">
        <v>2923</v>
      </c>
      <c r="B39" s="622"/>
      <c r="C39" s="2600" t="e">
        <f>R39</f>
        <v>#DIV/0!</v>
      </c>
      <c r="D39" s="2600"/>
      <c r="E39" s="2600"/>
      <c r="F39" s="2600"/>
      <c r="G39" s="2600"/>
      <c r="H39" s="2600"/>
      <c r="I39" s="2600"/>
      <c r="J39" s="2600"/>
      <c r="K39" s="1598"/>
      <c r="L39" s="2129"/>
      <c r="M39" s="2130"/>
      <c r="N39" s="2130"/>
      <c r="O39" s="2130"/>
      <c r="P39" s="3433" t="str">
        <f>A39</f>
        <v>估价对象XX用房的比较价格（楼面单价，元/平方米）</v>
      </c>
      <c r="Q39" s="3434"/>
      <c r="R39" s="3515" t="e">
        <f>IF(F1="售价",ROUND(AVERAGE(R38:V38),0),ROUND(AVERAGE(R38:V38),1))</f>
        <v>#DIV/0!</v>
      </c>
      <c r="S39" s="3515"/>
      <c r="T39" s="3515"/>
      <c r="U39" s="3515"/>
      <c r="V39" s="3515"/>
      <c r="W39" s="351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2020-6</v>
      </c>
      <c r="D48" s="2759">
        <f>EDATE(C48,-1)</f>
        <v>43952</v>
      </c>
      <c r="E48" s="2759">
        <f t="shared" ref="E48:O48" si="16">EDATE(D48,-1)</f>
        <v>43922</v>
      </c>
      <c r="F48" s="2759">
        <f t="shared" si="16"/>
        <v>43891</v>
      </c>
      <c r="G48" s="2759">
        <f t="shared" si="16"/>
        <v>43862</v>
      </c>
      <c r="H48" s="2759">
        <f t="shared" si="16"/>
        <v>43831</v>
      </c>
      <c r="I48" s="2759">
        <f t="shared" si="16"/>
        <v>43800</v>
      </c>
      <c r="J48" s="2759">
        <f t="shared" si="16"/>
        <v>43770</v>
      </c>
      <c r="K48" s="2759">
        <f t="shared" si="16"/>
        <v>43739</v>
      </c>
      <c r="L48" s="2759">
        <f t="shared" si="16"/>
        <v>43709</v>
      </c>
      <c r="M48" s="2759">
        <f t="shared" si="16"/>
        <v>43678</v>
      </c>
      <c r="N48" s="2759">
        <f t="shared" si="16"/>
        <v>43647</v>
      </c>
      <c r="O48" s="2759">
        <f t="shared" si="16"/>
        <v>43617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2551</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2552</v>
      </c>
      <c r="C67" s="2562" t="s">
        <v>2553</v>
      </c>
      <c r="D67" s="2562" t="s">
        <v>2554</v>
      </c>
      <c r="E67" s="2562" t="s">
        <v>2555</v>
      </c>
      <c r="F67" s="2562" t="s">
        <v>2556</v>
      </c>
      <c r="G67" s="2562" t="s">
        <v>2557</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18" t="s">
        <v>798</v>
      </c>
      <c r="D4" s="3419"/>
      <c r="E4" s="3442" t="s">
        <v>799</v>
      </c>
      <c r="F4" s="3443"/>
      <c r="G4" s="3418" t="s">
        <v>800</v>
      </c>
      <c r="H4" s="3419"/>
      <c r="I4" s="3418" t="s">
        <v>801</v>
      </c>
      <c r="J4" s="3419"/>
      <c r="K4" s="514" t="s">
        <v>802</v>
      </c>
      <c r="L4" s="2118"/>
      <c r="M4" s="2119"/>
      <c r="N4" s="2119"/>
      <c r="O4" s="2119"/>
      <c r="P4" s="3420" t="s">
        <v>803</v>
      </c>
      <c r="Q4" s="3421"/>
      <c r="R4" s="3406" t="s">
        <v>799</v>
      </c>
      <c r="S4" s="3407"/>
      <c r="T4" s="3406" t="s">
        <v>800</v>
      </c>
      <c r="U4" s="3407"/>
      <c r="V4" s="3426" t="s">
        <v>801</v>
      </c>
      <c r="W4" s="3426"/>
      <c r="X4" s="1553"/>
      <c r="Y4" s="3406" t="s">
        <v>803</v>
      </c>
      <c r="Z4" s="3407"/>
      <c r="AA4" s="3401" t="s">
        <v>799</v>
      </c>
      <c r="AB4" s="3402" t="s">
        <v>800</v>
      </c>
      <c r="AC4" s="3401" t="s">
        <v>801</v>
      </c>
    </row>
    <row r="5" spans="1:29" ht="15">
      <c r="A5" s="515"/>
      <c r="B5" s="516"/>
      <c r="C5" s="3429" t="s">
        <v>2917</v>
      </c>
      <c r="D5" s="3430"/>
      <c r="E5" s="3444" t="s">
        <v>2918</v>
      </c>
      <c r="F5" s="3445"/>
      <c r="G5" s="3429" t="s">
        <v>2919</v>
      </c>
      <c r="H5" s="3430"/>
      <c r="I5" s="3429" t="s">
        <v>2920</v>
      </c>
      <c r="J5" s="3430"/>
      <c r="K5" s="514"/>
      <c r="L5" s="2118"/>
      <c r="M5" s="2119"/>
      <c r="N5" s="2119"/>
      <c r="O5" s="2119"/>
      <c r="P5" s="3422"/>
      <c r="Q5" s="3423"/>
      <c r="R5" s="3408"/>
      <c r="S5" s="3409"/>
      <c r="T5" s="3408"/>
      <c r="U5" s="3409"/>
      <c r="V5" s="3426"/>
      <c r="W5" s="3426"/>
      <c r="X5" s="1553"/>
      <c r="Y5" s="3408"/>
      <c r="Z5" s="3409"/>
      <c r="AA5" s="3402"/>
      <c r="AB5" s="3402"/>
      <c r="AC5" s="3402"/>
    </row>
    <row r="6" spans="1:29" ht="15.75" thickBot="1">
      <c r="A6" s="517"/>
      <c r="B6" s="518"/>
      <c r="C6" s="3427" t="s">
        <v>2921</v>
      </c>
      <c r="D6" s="3428"/>
      <c r="E6" s="3446" t="s">
        <v>2921</v>
      </c>
      <c r="F6" s="3447"/>
      <c r="G6" s="3427" t="s">
        <v>2921</v>
      </c>
      <c r="H6" s="3428"/>
      <c r="I6" s="3427" t="s">
        <v>2921</v>
      </c>
      <c r="J6" s="3428"/>
      <c r="K6" s="514" t="s">
        <v>528</v>
      </c>
      <c r="L6" s="2118"/>
      <c r="M6" s="2119"/>
      <c r="N6" s="2119"/>
      <c r="O6" s="2119"/>
      <c r="P6" s="3424"/>
      <c r="Q6" s="3425"/>
      <c r="R6" s="3408"/>
      <c r="S6" s="3409"/>
      <c r="T6" s="3410"/>
      <c r="U6" s="3411"/>
      <c r="V6" s="3426"/>
      <c r="W6" s="3426"/>
      <c r="X6" s="1553"/>
      <c r="Y6" s="3410"/>
      <c r="Z6" s="3411"/>
      <c r="AA6" s="3403"/>
      <c r="AB6" s="3403"/>
      <c r="AC6" s="3403"/>
    </row>
    <row r="7" spans="1:29" s="1215" customFormat="1" ht="15.75" thickBot="1">
      <c r="A7" s="2867"/>
      <c r="B7" s="2874" t="s">
        <v>529</v>
      </c>
      <c r="C7" s="519">
        <f>'数据-取费表'!B2</f>
        <v>43994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4" t="s">
        <v>530</v>
      </c>
      <c r="Q7" s="3413"/>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4" si="3">D8/F8</f>
        <v>#DIV/0!</v>
      </c>
      <c r="AB8" s="1557" t="e">
        <f t="shared" ref="AB8:AB34" si="4">D8/H8</f>
        <v>#DIV/0!</v>
      </c>
      <c r="AC8" s="1557" t="e">
        <f t="shared" ref="AC8:AC34" si="5">D8/J8</f>
        <v>#DIV/0!</v>
      </c>
    </row>
    <row r="9" spans="1:29" s="1215" customFormat="1" ht="15">
      <c r="A9" s="2869"/>
      <c r="B9" s="2876"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2" t="s">
        <v>535</v>
      </c>
      <c r="Q9" s="1146" t="str">
        <f t="shared" ref="Q9:Q14" si="6">B9</f>
        <v>用途</v>
      </c>
      <c r="R9" s="1554" t="s">
        <v>8</v>
      </c>
      <c r="S9" s="1555">
        <f t="shared" si="0"/>
        <v>100</v>
      </c>
      <c r="T9" s="1554" t="s">
        <v>8</v>
      </c>
      <c r="U9" s="1555">
        <f t="shared" si="1"/>
        <v>100</v>
      </c>
      <c r="V9" s="1554" t="s">
        <v>8</v>
      </c>
      <c r="W9" s="1555">
        <f t="shared" si="2"/>
        <v>100</v>
      </c>
      <c r="X9" s="1556"/>
      <c r="Y9" s="3366"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2"/>
      <c r="Q10" s="1146" t="str">
        <f t="shared" si="6"/>
        <v>土地使用年限（年）</v>
      </c>
      <c r="R10" s="1554" t="s">
        <v>8</v>
      </c>
      <c r="S10" s="1555">
        <f t="shared" si="0"/>
        <v>100</v>
      </c>
      <c r="T10" s="1554" t="s">
        <v>8</v>
      </c>
      <c r="U10" s="1555">
        <f t="shared" si="1"/>
        <v>100</v>
      </c>
      <c r="V10" s="1554" t="s">
        <v>8</v>
      </c>
      <c r="W10" s="1555">
        <f t="shared" si="2"/>
        <v>100</v>
      </c>
      <c r="X10" s="1556"/>
      <c r="Y10" s="3366"/>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12"/>
      <c r="Q11" s="1146">
        <f t="shared" si="6"/>
        <v>111</v>
      </c>
      <c r="R11" s="1554" t="s">
        <v>8</v>
      </c>
      <c r="S11" s="1555">
        <f t="shared" si="0"/>
        <v>100</v>
      </c>
      <c r="T11" s="1554" t="s">
        <v>8</v>
      </c>
      <c r="U11" s="1555">
        <f t="shared" si="1"/>
        <v>100</v>
      </c>
      <c r="V11" s="1554" t="s">
        <v>8</v>
      </c>
      <c r="W11" s="1555">
        <f t="shared" si="2"/>
        <v>100</v>
      </c>
      <c r="X11" s="1556"/>
      <c r="Y11" s="3366"/>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12"/>
      <c r="Q12" s="1146">
        <f t="shared" si="6"/>
        <v>111</v>
      </c>
      <c r="R12" s="1554" t="s">
        <v>8</v>
      </c>
      <c r="S12" s="1555">
        <f t="shared" si="0"/>
        <v>100</v>
      </c>
      <c r="T12" s="1554" t="s">
        <v>8</v>
      </c>
      <c r="U12" s="1555">
        <f t="shared" si="1"/>
        <v>100</v>
      </c>
      <c r="V12" s="1554" t="s">
        <v>8</v>
      </c>
      <c r="W12" s="1555">
        <f t="shared" si="2"/>
        <v>100</v>
      </c>
      <c r="X12" s="1556"/>
      <c r="Y12" s="3366"/>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12"/>
      <c r="Q13" s="1146">
        <f t="shared" si="6"/>
        <v>111</v>
      </c>
      <c r="R13" s="1554" t="s">
        <v>8</v>
      </c>
      <c r="S13" s="1555">
        <f t="shared" si="0"/>
        <v>100</v>
      </c>
      <c r="T13" s="1554" t="s">
        <v>8</v>
      </c>
      <c r="U13" s="1555">
        <f t="shared" si="1"/>
        <v>100</v>
      </c>
      <c r="V13" s="1554" t="s">
        <v>8</v>
      </c>
      <c r="W13" s="1555">
        <f t="shared" si="2"/>
        <v>100</v>
      </c>
      <c r="X13" s="1556"/>
      <c r="Y13" s="3366"/>
      <c r="Z13" s="1145">
        <f t="shared" si="7"/>
        <v>111</v>
      </c>
      <c r="AA13" s="1557">
        <f t="shared" si="3"/>
        <v>1</v>
      </c>
      <c r="AB13" s="1557">
        <f t="shared" si="4"/>
        <v>1</v>
      </c>
      <c r="AC13" s="1557">
        <f t="shared" si="5"/>
        <v>1</v>
      </c>
    </row>
    <row r="14" spans="1:29" ht="15">
      <c r="A14" s="2865" t="s">
        <v>2747</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4" t="s">
        <v>540</v>
      </c>
      <c r="Q14" s="1558" t="str">
        <f t="shared" si="6"/>
        <v>交通便捷度</v>
      </c>
      <c r="R14" s="1559" t="s">
        <v>8</v>
      </c>
      <c r="S14" s="1560">
        <f t="shared" si="0"/>
        <v>100</v>
      </c>
      <c r="T14" s="1559" t="s">
        <v>8</v>
      </c>
      <c r="U14" s="1560">
        <f t="shared" si="1"/>
        <v>100</v>
      </c>
      <c r="V14" s="1559" t="s">
        <v>8</v>
      </c>
      <c r="W14" s="1560">
        <f t="shared" si="2"/>
        <v>100</v>
      </c>
      <c r="X14" s="1553"/>
      <c r="Y14" s="3414"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15"/>
      <c r="Q15" s="1558"/>
      <c r="R15" s="1559"/>
      <c r="S15" s="1560"/>
      <c r="T15" s="1559"/>
      <c r="U15" s="1560"/>
      <c r="V15" s="1559"/>
      <c r="W15" s="1560"/>
      <c r="X15" s="1553"/>
      <c r="Y15" s="3415"/>
      <c r="Z15" s="1561"/>
      <c r="AA15" s="1562">
        <v>1</v>
      </c>
      <c r="AB15" s="1562">
        <v>1</v>
      </c>
      <c r="AC15" s="1562">
        <v>1</v>
      </c>
    </row>
    <row r="16" spans="1:29" ht="15">
      <c r="A16" s="532"/>
      <c r="B16" s="2567" t="s">
        <v>2540</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5"/>
      <c r="Q16" s="1558" t="str">
        <f>B16</f>
        <v>公共配套设施</v>
      </c>
      <c r="R16" s="1559" t="s">
        <v>8</v>
      </c>
      <c r="S16" s="1560">
        <f>F16</f>
        <v>100</v>
      </c>
      <c r="T16" s="1559" t="s">
        <v>8</v>
      </c>
      <c r="U16" s="1560">
        <f>H16</f>
        <v>100</v>
      </c>
      <c r="V16" s="1559" t="s">
        <v>8</v>
      </c>
      <c r="W16" s="1560">
        <f>J16</f>
        <v>100</v>
      </c>
      <c r="X16" s="1553"/>
      <c r="Y16" s="341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15"/>
      <c r="Q17" s="1558"/>
      <c r="R17" s="1559"/>
      <c r="S17" s="1560"/>
      <c r="T17" s="1559"/>
      <c r="U17" s="1560"/>
      <c r="V17" s="1559"/>
      <c r="W17" s="1560"/>
      <c r="X17" s="1553"/>
      <c r="Y17" s="3415"/>
      <c r="Z17" s="1561"/>
      <c r="AA17" s="1562">
        <v>1</v>
      </c>
      <c r="AB17" s="1562">
        <v>1</v>
      </c>
      <c r="AC17" s="1562">
        <v>1</v>
      </c>
    </row>
    <row r="18" spans="1:29" ht="15">
      <c r="A18" s="532"/>
      <c r="B18" s="2555" t="s">
        <v>2552</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5"/>
      <c r="Q18" s="2543" t="str">
        <f>B18</f>
        <v>基础设施水平</v>
      </c>
      <c r="R18" s="1559" t="s">
        <v>8</v>
      </c>
      <c r="S18" s="1560">
        <f>F18</f>
        <v>100</v>
      </c>
      <c r="T18" s="1559" t="s">
        <v>8</v>
      </c>
      <c r="U18" s="1560">
        <f>H18</f>
        <v>100</v>
      </c>
      <c r="V18" s="1559" t="s">
        <v>8</v>
      </c>
      <c r="W18" s="1560">
        <f>J18</f>
        <v>100</v>
      </c>
      <c r="X18" s="2545"/>
      <c r="Y18" s="3415"/>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15"/>
      <c r="Q19" s="2543"/>
      <c r="R19" s="1559"/>
      <c r="S19" s="1560"/>
      <c r="T19" s="1559"/>
      <c r="U19" s="1560"/>
      <c r="V19" s="1559"/>
      <c r="W19" s="1560"/>
      <c r="X19" s="2545"/>
      <c r="Y19" s="3415"/>
      <c r="Z19" s="2544"/>
      <c r="AA19" s="1562">
        <v>1</v>
      </c>
      <c r="AB19" s="1562">
        <v>1</v>
      </c>
      <c r="AC19" s="1562">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5"/>
      <c r="Q20" s="1558" t="str">
        <f>B20</f>
        <v>自然及人文环境</v>
      </c>
      <c r="R20" s="1559" t="s">
        <v>8</v>
      </c>
      <c r="S20" s="1560">
        <f>F20</f>
        <v>100</v>
      </c>
      <c r="T20" s="1559" t="s">
        <v>8</v>
      </c>
      <c r="U20" s="1560">
        <f>H20</f>
        <v>100</v>
      </c>
      <c r="V20" s="1559" t="s">
        <v>8</v>
      </c>
      <c r="W20" s="1560">
        <f>J20</f>
        <v>100</v>
      </c>
      <c r="X20" s="1553"/>
      <c r="Y20" s="341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15"/>
      <c r="Q21" s="1558"/>
      <c r="R21" s="1559"/>
      <c r="S21" s="1560"/>
      <c r="T21" s="1559"/>
      <c r="U21" s="1560"/>
      <c r="V21" s="1559"/>
      <c r="W21" s="1560"/>
      <c r="X21" s="1553"/>
      <c r="Y21" s="3415"/>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5"/>
      <c r="Q22" s="1558" t="str">
        <f>B22</f>
        <v>楼层</v>
      </c>
      <c r="R22" s="1559" t="s">
        <v>8</v>
      </c>
      <c r="S22" s="1560">
        <f>F22</f>
        <v>100</v>
      </c>
      <c r="T22" s="1559" t="s">
        <v>8</v>
      </c>
      <c r="U22" s="1560">
        <f>H22</f>
        <v>100</v>
      </c>
      <c r="V22" s="1559" t="s">
        <v>8</v>
      </c>
      <c r="W22" s="1560">
        <f>J22</f>
        <v>100</v>
      </c>
      <c r="X22" s="1553"/>
      <c r="Y22" s="341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5"/>
      <c r="Q23" s="1558">
        <f>B23</f>
        <v>111</v>
      </c>
      <c r="R23" s="1559" t="s">
        <v>8</v>
      </c>
      <c r="S23" s="1560">
        <f>F23</f>
        <v>100</v>
      </c>
      <c r="T23" s="1559" t="s">
        <v>8</v>
      </c>
      <c r="U23" s="1560">
        <f>H23</f>
        <v>100</v>
      </c>
      <c r="V23" s="1559" t="s">
        <v>8</v>
      </c>
      <c r="W23" s="1560">
        <f>J23</f>
        <v>100</v>
      </c>
      <c r="X23" s="1553"/>
      <c r="Y23" s="341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5"/>
      <c r="Q24" s="1558">
        <f t="shared" ref="Q24:Q34" si="11">B24</f>
        <v>111</v>
      </c>
      <c r="R24" s="1559" t="s">
        <v>8</v>
      </c>
      <c r="S24" s="1560">
        <f>F24</f>
        <v>100</v>
      </c>
      <c r="T24" s="1559" t="s">
        <v>8</v>
      </c>
      <c r="U24" s="1560">
        <f>H24</f>
        <v>100</v>
      </c>
      <c r="V24" s="1559" t="s">
        <v>8</v>
      </c>
      <c r="W24" s="1560">
        <f>J24</f>
        <v>100</v>
      </c>
      <c r="X24" s="1553"/>
      <c r="Y24" s="3415"/>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5"/>
      <c r="Q25" s="1146">
        <f t="shared" si="11"/>
        <v>111</v>
      </c>
      <c r="R25" s="1554" t="s">
        <v>8</v>
      </c>
      <c r="S25" s="1555">
        <f>F25</f>
        <v>100</v>
      </c>
      <c r="T25" s="1554" t="s">
        <v>8</v>
      </c>
      <c r="U25" s="1555">
        <f>H25</f>
        <v>100</v>
      </c>
      <c r="V25" s="1554" t="s">
        <v>8</v>
      </c>
      <c r="W25" s="1555">
        <f>J25</f>
        <v>100</v>
      </c>
      <c r="X25" s="1556"/>
      <c r="Y25" s="3415"/>
      <c r="Z25" s="1145">
        <f>Q25</f>
        <v>111</v>
      </c>
      <c r="AA25" s="1562">
        <f>D25/F25</f>
        <v>1</v>
      </c>
      <c r="AB25" s="1562">
        <f>D25/H25</f>
        <v>1</v>
      </c>
      <c r="AC25" s="1562">
        <f>D25/J25</f>
        <v>1</v>
      </c>
    </row>
    <row r="26" spans="1:29" ht="15">
      <c r="A26" s="2862"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6"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7"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7"/>
      <c r="Q27" s="1590" t="str">
        <f t="shared" si="11"/>
        <v>成新率</v>
      </c>
      <c r="R27" s="1563" t="s">
        <v>8</v>
      </c>
      <c r="S27" s="1564" t="e">
        <f t="shared" si="12"/>
        <v>#N/A</v>
      </c>
      <c r="T27" s="1563" t="s">
        <v>8</v>
      </c>
      <c r="U27" s="1564" t="e">
        <f t="shared" si="13"/>
        <v>#N/A</v>
      </c>
      <c r="V27" s="1563" t="s">
        <v>8</v>
      </c>
      <c r="W27" s="1564" t="e">
        <f t="shared" si="14"/>
        <v>#N/A</v>
      </c>
      <c r="X27" s="1565"/>
      <c r="Y27" s="3417"/>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7"/>
      <c r="Q28" s="1558" t="str">
        <f t="shared" si="11"/>
        <v>物业等级</v>
      </c>
      <c r="R28" s="1559" t="s">
        <v>8</v>
      </c>
      <c r="S28" s="1560">
        <f t="shared" si="12"/>
        <v>100</v>
      </c>
      <c r="T28" s="1559" t="s">
        <v>8</v>
      </c>
      <c r="U28" s="1560">
        <f t="shared" si="13"/>
        <v>100</v>
      </c>
      <c r="V28" s="1559" t="s">
        <v>8</v>
      </c>
      <c r="W28" s="1560">
        <f t="shared" si="14"/>
        <v>100</v>
      </c>
      <c r="X28" s="1553"/>
      <c r="Y28" s="3417"/>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7"/>
      <c r="Q29" s="1558" t="str">
        <f t="shared" si="11"/>
        <v>有无电梯</v>
      </c>
      <c r="R29" s="1559" t="s">
        <v>8</v>
      </c>
      <c r="S29" s="1560">
        <f t="shared" si="12"/>
        <v>100</v>
      </c>
      <c r="T29" s="1559" t="s">
        <v>8</v>
      </c>
      <c r="U29" s="1560">
        <f t="shared" si="13"/>
        <v>100</v>
      </c>
      <c r="V29" s="1559" t="s">
        <v>8</v>
      </c>
      <c r="W29" s="1560">
        <f t="shared" si="14"/>
        <v>100</v>
      </c>
      <c r="X29" s="1553"/>
      <c r="Y29" s="3417"/>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7"/>
      <c r="Q30" s="1558" t="str">
        <f t="shared" si="11"/>
        <v>建筑面积</v>
      </c>
      <c r="R30" s="1559" t="s">
        <v>8</v>
      </c>
      <c r="S30" s="1560" t="e">
        <f t="shared" si="12"/>
        <v>#N/A</v>
      </c>
      <c r="T30" s="1559" t="s">
        <v>8</v>
      </c>
      <c r="U30" s="1560" t="e">
        <f t="shared" si="13"/>
        <v>#N/A</v>
      </c>
      <c r="V30" s="1559" t="s">
        <v>8</v>
      </c>
      <c r="W30" s="1560" t="e">
        <f t="shared" si="14"/>
        <v>#N/A</v>
      </c>
      <c r="X30" s="1553"/>
      <c r="Y30" s="3417"/>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7"/>
      <c r="Q31" s="1146" t="str">
        <f t="shared" si="11"/>
        <v>是否封闭</v>
      </c>
      <c r="R31" s="1554" t="s">
        <v>8</v>
      </c>
      <c r="S31" s="1555">
        <f t="shared" si="12"/>
        <v>100</v>
      </c>
      <c r="T31" s="1554" t="s">
        <v>8</v>
      </c>
      <c r="U31" s="1555">
        <f t="shared" si="13"/>
        <v>100</v>
      </c>
      <c r="V31" s="1554" t="s">
        <v>8</v>
      </c>
      <c r="W31" s="1555">
        <f t="shared" si="14"/>
        <v>100</v>
      </c>
      <c r="X31" s="1556"/>
      <c r="Y31" s="3417"/>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7" t="s">
        <v>550</v>
      </c>
      <c r="Q32" s="1558">
        <f t="shared" si="11"/>
        <v>111</v>
      </c>
      <c r="R32" s="1559" t="s">
        <v>8</v>
      </c>
      <c r="S32" s="1560">
        <f t="shared" si="12"/>
        <v>100</v>
      </c>
      <c r="T32" s="1559" t="s">
        <v>8</v>
      </c>
      <c r="U32" s="1560">
        <f t="shared" si="13"/>
        <v>100</v>
      </c>
      <c r="V32" s="1559" t="s">
        <v>8</v>
      </c>
      <c r="W32" s="1560">
        <f t="shared" si="14"/>
        <v>100</v>
      </c>
      <c r="X32" s="1553"/>
      <c r="Y32" s="3417"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7"/>
      <c r="Q33" s="1558">
        <f t="shared" si="11"/>
        <v>111</v>
      </c>
      <c r="R33" s="1559" t="s">
        <v>8</v>
      </c>
      <c r="S33" s="1560">
        <f t="shared" si="12"/>
        <v>100</v>
      </c>
      <c r="T33" s="1559" t="s">
        <v>8</v>
      </c>
      <c r="U33" s="1560">
        <f t="shared" si="13"/>
        <v>100</v>
      </c>
      <c r="V33" s="1559" t="s">
        <v>8</v>
      </c>
      <c r="W33" s="1560">
        <f t="shared" si="14"/>
        <v>100</v>
      </c>
      <c r="X33" s="1553"/>
      <c r="Y33" s="3417"/>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7"/>
      <c r="Q34" s="1558">
        <f t="shared" si="11"/>
        <v>111</v>
      </c>
      <c r="R34" s="1559" t="s">
        <v>8</v>
      </c>
      <c r="S34" s="1560">
        <f t="shared" si="12"/>
        <v>100</v>
      </c>
      <c r="T34" s="1559" t="s">
        <v>8</v>
      </c>
      <c r="U34" s="1560">
        <f t="shared" si="13"/>
        <v>100</v>
      </c>
      <c r="V34" s="1559" t="s">
        <v>8</v>
      </c>
      <c r="W34" s="1560">
        <f t="shared" si="14"/>
        <v>100</v>
      </c>
      <c r="X34" s="1553"/>
      <c r="Y34" s="3417"/>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412" t="str">
        <f>A35</f>
        <v>成交单价（元/平方米）</v>
      </c>
      <c r="Q35" s="3412"/>
      <c r="R35" s="3516">
        <f>E35</f>
        <v>0</v>
      </c>
      <c r="S35" s="3516"/>
      <c r="T35" s="3516">
        <f>G35</f>
        <v>0</v>
      </c>
      <c r="U35" s="3516"/>
      <c r="V35" s="3516">
        <f>I35</f>
        <v>0</v>
      </c>
      <c r="W35" s="3516"/>
      <c r="X35" s="1545"/>
      <c r="Y35" s="1567"/>
      <c r="Z35" s="1545"/>
      <c r="AA35" s="1545"/>
      <c r="AB35" s="1545"/>
      <c r="AC35" s="1545"/>
    </row>
    <row r="36" spans="1:29" ht="15.75" thickBot="1">
      <c r="A36" s="615" t="s">
        <v>2753</v>
      </c>
      <c r="B36" s="888"/>
      <c r="C36" s="2597" t="e">
        <f>R37</f>
        <v>#DIV/0!</v>
      </c>
      <c r="D36" s="2598"/>
      <c r="E36" s="2599" t="e">
        <f>R36</f>
        <v>#DIV/0!</v>
      </c>
      <c r="F36" s="2599"/>
      <c r="G36" s="2597" t="e">
        <f>T36</f>
        <v>#DIV/0!</v>
      </c>
      <c r="H36" s="2598"/>
      <c r="I36" s="2599" t="e">
        <f>V36</f>
        <v>#DIV/0!</v>
      </c>
      <c r="J36" s="2598"/>
      <c r="K36" s="1597"/>
      <c r="L36" s="2129"/>
      <c r="M36" s="2130"/>
      <c r="N36" s="2119"/>
      <c r="O36" s="2130"/>
      <c r="P36" s="3412" t="str">
        <f>A36</f>
        <v>比较价格（元/平方米）</v>
      </c>
      <c r="Q36" s="3412"/>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5"/>
      <c r="Y36" s="1545"/>
      <c r="Z36" s="1545"/>
      <c r="AA36" s="1545"/>
      <c r="AB36" s="1545"/>
      <c r="AC36" s="1545"/>
    </row>
    <row r="37" spans="1:29" ht="15.75" thickBot="1">
      <c r="A37" s="621" t="s">
        <v>2923</v>
      </c>
      <c r="B37" s="622"/>
      <c r="C37" s="2600" t="e">
        <f>R37</f>
        <v>#DIV/0!</v>
      </c>
      <c r="D37" s="2600"/>
      <c r="E37" s="2600"/>
      <c r="F37" s="2600"/>
      <c r="G37" s="2600"/>
      <c r="H37" s="2600"/>
      <c r="I37" s="2600"/>
      <c r="J37" s="2600"/>
      <c r="K37" s="1598"/>
      <c r="L37" s="2129"/>
      <c r="M37" s="2130"/>
      <c r="N37" s="2130"/>
      <c r="O37" s="2130"/>
      <c r="P37" s="3433" t="str">
        <f>A37</f>
        <v>估价对象XX用房的比较价格（楼面单价，元/平方米）</v>
      </c>
      <c r="Q37" s="3434"/>
      <c r="R37" s="3515" t="e">
        <f>IF(F1="售价",ROUND(AVERAGE(R36:V36),0),ROUND(AVERAGE(R36:V36),1))</f>
        <v>#DIV/0!</v>
      </c>
      <c r="S37" s="3515"/>
      <c r="T37" s="3515"/>
      <c r="U37" s="3515"/>
      <c r="V37" s="3515"/>
      <c r="W37" s="351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2020-6</v>
      </c>
      <c r="D46" s="2759">
        <f>EDATE(C46,-1)</f>
        <v>43952</v>
      </c>
      <c r="E46" s="2759">
        <f t="shared" ref="E46:O46" si="16">EDATE(D46,-1)</f>
        <v>43922</v>
      </c>
      <c r="F46" s="2759">
        <f t="shared" si="16"/>
        <v>43891</v>
      </c>
      <c r="G46" s="2759">
        <f t="shared" si="16"/>
        <v>43862</v>
      </c>
      <c r="H46" s="2759">
        <f t="shared" si="16"/>
        <v>43831</v>
      </c>
      <c r="I46" s="2759">
        <f t="shared" si="16"/>
        <v>43800</v>
      </c>
      <c r="J46" s="2759">
        <f t="shared" si="16"/>
        <v>43770</v>
      </c>
      <c r="K46" s="2759">
        <f t="shared" si="16"/>
        <v>43739</v>
      </c>
      <c r="L46" s="2759">
        <f t="shared" si="16"/>
        <v>43709</v>
      </c>
      <c r="M46" s="2759">
        <f t="shared" si="16"/>
        <v>43678</v>
      </c>
      <c r="N46" s="2759">
        <f t="shared" si="16"/>
        <v>43647</v>
      </c>
      <c r="O46" s="2759">
        <f t="shared" si="16"/>
        <v>43617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2551</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2552</v>
      </c>
      <c r="C65" s="2562" t="s">
        <v>2553</v>
      </c>
      <c r="D65" s="2562" t="s">
        <v>2554</v>
      </c>
      <c r="E65" s="2562" t="s">
        <v>2555</v>
      </c>
      <c r="F65" s="2562" t="s">
        <v>2556</v>
      </c>
      <c r="G65" s="2562" t="s">
        <v>2557</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2297</v>
      </c>
      <c r="C1" s="3525" t="s">
        <v>2298</v>
      </c>
      <c r="D1" s="3526"/>
      <c r="E1" s="3526"/>
      <c r="F1" s="3526"/>
      <c r="G1" s="3526"/>
      <c r="H1" s="3526"/>
      <c r="I1" s="3526"/>
      <c r="J1" s="3526"/>
      <c r="K1" s="3526"/>
      <c r="L1" s="3526"/>
      <c r="M1" s="3526"/>
      <c r="N1" s="3526"/>
      <c r="O1" s="3526"/>
      <c r="P1" s="3526"/>
      <c r="Q1" s="3526"/>
      <c r="R1" s="3526"/>
      <c r="S1" s="3527"/>
      <c r="T1" s="2219" t="s">
        <v>2299</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6"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4" t="s">
        <v>2916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6" t="s">
        <v>2915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6" t="s">
        <v>2914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5"/>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4" t="s">
        <v>2927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4" t="s">
        <v>2913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4" t="s">
        <v>2912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2301</v>
      </c>
      <c r="B17" s="2263" t="s">
        <v>2302</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599" customFormat="1" ht="24">
      <c r="A23" s="17" t="s">
        <v>830</v>
      </c>
      <c r="B23" s="3187" t="s">
        <v>2935</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2781</v>
      </c>
      <c r="C1" s="2959">
        <f>项目基本情况!D3</f>
        <v>43994</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2812</v>
      </c>
      <c r="C2" s="2960">
        <f>'数据-取费表'!B22</f>
        <v>1</v>
      </c>
      <c r="D2" s="2955" t="s">
        <v>2782</v>
      </c>
      <c r="E2" s="2958">
        <f ca="1">INDIRECT("I"&amp;$I$1)/100</f>
        <v>4.3499999999999997E-2</v>
      </c>
      <c r="G2" s="2895"/>
      <c r="H2" s="2895"/>
      <c r="I2" s="2895" t="s">
        <v>2783</v>
      </c>
      <c r="K2" s="2895"/>
      <c r="L2" s="2895"/>
      <c r="M2" s="2895"/>
      <c r="N2" s="2895" t="s">
        <v>2784</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2814</v>
      </c>
      <c r="C3" s="2957">
        <f>'数据-取费表'!B19</f>
        <v>0</v>
      </c>
      <c r="D3" s="2955" t="s">
        <v>2782</v>
      </c>
      <c r="E3" s="2958">
        <f ca="1">INDIRECT("J"&amp;$J$1)/100</f>
        <v>0</v>
      </c>
      <c r="G3" s="2897" t="s">
        <v>2785</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2813</v>
      </c>
      <c r="C4" s="2958">
        <f ca="1">N4/100</f>
        <v>1.4999999999999999E-2</v>
      </c>
      <c r="G4" s="2903" t="s">
        <v>2786</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2787</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2788</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2789</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2790</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2791</v>
      </c>
      <c r="C10" s="2922"/>
      <c r="D10" s="2922"/>
      <c r="E10" s="2922"/>
      <c r="F10" s="2922"/>
      <c r="G10" s="2922"/>
      <c r="H10" s="2922"/>
      <c r="I10" s="2896"/>
      <c r="J10" s="2896"/>
      <c r="K10" s="2922"/>
      <c r="L10" s="2923" t="s">
        <v>2792</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2793</v>
      </c>
      <c r="C11" s="2927" t="s">
        <v>2794</v>
      </c>
      <c r="D11" s="2928" t="s">
        <v>2795</v>
      </c>
      <c r="E11" s="2929"/>
      <c r="F11" s="2928" t="s">
        <v>2796</v>
      </c>
      <c r="G11" s="2930"/>
      <c r="H11" s="2929"/>
      <c r="I11" s="2928" t="s">
        <v>2797</v>
      </c>
      <c r="J11" s="2929"/>
      <c r="K11" s="2925"/>
      <c r="L11" s="2926" t="s">
        <v>2793</v>
      </c>
      <c r="M11" s="2927" t="s">
        <v>2794</v>
      </c>
      <c r="N11" s="2926" t="s">
        <v>2798</v>
      </c>
      <c r="O11" s="2928" t="s">
        <v>2799</v>
      </c>
      <c r="P11" s="2930"/>
      <c r="Q11" s="2930"/>
      <c r="R11" s="2930"/>
      <c r="S11" s="2930"/>
      <c r="T11" s="2929"/>
      <c r="U11" s="2928" t="s">
        <v>2800</v>
      </c>
      <c r="V11" s="2930"/>
      <c r="W11" s="2929"/>
      <c r="X11" s="2926" t="s">
        <v>2801</v>
      </c>
      <c r="Y11" s="2926" t="s">
        <v>2802</v>
      </c>
      <c r="Z11" s="2926" t="s">
        <v>2803</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2804</v>
      </c>
      <c r="E12" s="2935" t="s">
        <v>2805</v>
      </c>
      <c r="F12" s="2935" t="s">
        <v>2806</v>
      </c>
      <c r="G12" s="2935" t="s">
        <v>2807</v>
      </c>
      <c r="H12" s="2935" t="s">
        <v>2789</v>
      </c>
      <c r="I12" s="2936" t="s">
        <v>2808</v>
      </c>
      <c r="J12" s="2936" t="s">
        <v>2808</v>
      </c>
      <c r="K12" s="2932"/>
      <c r="L12" s="2933"/>
      <c r="M12" s="2934"/>
      <c r="N12" s="2933"/>
      <c r="O12" s="2936" t="s">
        <v>2809</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2810</v>
      </c>
      <c r="C13" s="2940">
        <v>42301</v>
      </c>
      <c r="D13" s="2941">
        <v>4.3499999999999996</v>
      </c>
      <c r="E13" s="2941">
        <v>4.3499999999999996</v>
      </c>
      <c r="F13" s="2941">
        <v>4.75</v>
      </c>
      <c r="G13" s="2941">
        <v>4.75</v>
      </c>
      <c r="H13" s="2941">
        <v>4.9000000000000004</v>
      </c>
      <c r="I13" s="2941">
        <v>2.75</v>
      </c>
      <c r="J13" s="2941">
        <v>3.25</v>
      </c>
      <c r="K13" s="2938"/>
      <c r="L13" s="2939" t="s">
        <v>2810</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2811</v>
      </c>
      <c r="Y42" s="2945" t="s">
        <v>2811</v>
      </c>
      <c r="Z42" s="2945" t="s">
        <v>2811</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2811</v>
      </c>
      <c r="Y43" s="2945" t="s">
        <v>2811</v>
      </c>
      <c r="Z43" s="2945" t="s">
        <v>2811</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2811</v>
      </c>
      <c r="Y44" s="2945" t="s">
        <v>2811</v>
      </c>
      <c r="Z44" s="2945" t="s">
        <v>2811</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2811</v>
      </c>
      <c r="Y45" s="2945" t="s">
        <v>2811</v>
      </c>
      <c r="Z45" s="2945" t="s">
        <v>2811</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2811</v>
      </c>
      <c r="Y46" s="2945" t="s">
        <v>2811</v>
      </c>
      <c r="Z46" s="2945" t="s">
        <v>2811</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2811</v>
      </c>
      <c r="Y47" s="2945" t="s">
        <v>2811</v>
      </c>
      <c r="Z47" s="2945" t="s">
        <v>2811</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2811</v>
      </c>
      <c r="Y48" s="2945" t="s">
        <v>2811</v>
      </c>
      <c r="Z48" s="2945" t="s">
        <v>2811</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2811</v>
      </c>
      <c r="Y49" s="2945" t="s">
        <v>2811</v>
      </c>
      <c r="Z49" s="2945" t="s">
        <v>2811</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2811</v>
      </c>
      <c r="Y50" s="2945" t="s">
        <v>2811</v>
      </c>
      <c r="Z50" s="2945" t="s">
        <v>2811</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2811</v>
      </c>
      <c r="V51" s="2945" t="s">
        <v>2811</v>
      </c>
      <c r="W51" s="2945" t="s">
        <v>2811</v>
      </c>
      <c r="X51" s="2945" t="s">
        <v>2811</v>
      </c>
      <c r="Y51" s="2945" t="s">
        <v>2811</v>
      </c>
      <c r="Z51" s="2945" t="s">
        <v>2811</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2811</v>
      </c>
      <c r="J55" s="2945" t="s">
        <v>2811</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2033</v>
      </c>
      <c r="B1" s="3233"/>
      <c r="C1" s="3233"/>
      <c r="D1" s="3233"/>
      <c r="E1" s="3233"/>
      <c r="F1" s="3233"/>
      <c r="G1" s="3233"/>
      <c r="H1" s="3233"/>
      <c r="I1" s="3233"/>
      <c r="J1" s="3233"/>
      <c r="K1" s="3233"/>
      <c r="L1" s="3233"/>
      <c r="M1" s="3233"/>
      <c r="N1" s="3233"/>
      <c r="O1" s="3233"/>
      <c r="P1" s="3233"/>
      <c r="Q1" s="3233"/>
      <c r="R1" s="3233"/>
    </row>
    <row r="2" spans="1:18">
      <c r="A2" s="1792" t="s">
        <v>2035</v>
      </c>
      <c r="B2" s="1792"/>
      <c r="C2" s="1792"/>
      <c r="D2" s="1792"/>
      <c r="E2" s="1792"/>
      <c r="F2" s="1792"/>
      <c r="G2" s="1792"/>
      <c r="H2" s="1792"/>
      <c r="I2" s="1793"/>
      <c r="J2" s="1793"/>
      <c r="K2" s="1794" t="str">
        <f>"估价期日："&amp;TEXT(项目基本情况!D3,"yyyy年m月d日;;")</f>
        <v>估价期日：2020年6月12日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4" t="s">
        <v>2024</v>
      </c>
      <c r="B3" s="3234" t="s">
        <v>2724</v>
      </c>
      <c r="C3" s="3235" t="s">
        <v>2025</v>
      </c>
      <c r="D3" s="3234" t="s">
        <v>2728</v>
      </c>
      <c r="E3" s="3237" t="s">
        <v>2026</v>
      </c>
      <c r="F3" s="3237"/>
      <c r="G3" s="3237"/>
      <c r="H3" s="3237" t="s">
        <v>2027</v>
      </c>
      <c r="I3" s="3237"/>
      <c r="J3" s="3237"/>
      <c r="K3" s="3235" t="s">
        <v>2028</v>
      </c>
      <c r="L3" s="3235" t="s">
        <v>2029</v>
      </c>
      <c r="M3" s="3234" t="s">
        <v>2725</v>
      </c>
      <c r="N3" s="3236" t="str">
        <f>"（分摊）"&amp;项目基本情况!B16&amp;"国有建设用地使用权面积/㎡"</f>
        <v>（分摊）出让国有建设用地使用权面积/㎡</v>
      </c>
      <c r="O3" s="3234" t="s">
        <v>2058</v>
      </c>
      <c r="P3" s="3235" t="s">
        <v>2038</v>
      </c>
      <c r="Q3" s="3235" t="s">
        <v>2059</v>
      </c>
      <c r="R3" s="3235" t="s">
        <v>2030</v>
      </c>
    </row>
    <row r="4" spans="1:18" ht="36.75" customHeight="1">
      <c r="A4" s="3234"/>
      <c r="B4" s="3234"/>
      <c r="C4" s="3235"/>
      <c r="D4" s="3234"/>
      <c r="E4" s="2613" t="s">
        <v>2037</v>
      </c>
      <c r="F4" s="2613" t="s">
        <v>2737</v>
      </c>
      <c r="G4" s="2613" t="s">
        <v>2031</v>
      </c>
      <c r="H4" s="2613" t="s">
        <v>2032</v>
      </c>
      <c r="I4" s="2613" t="s">
        <v>2738</v>
      </c>
      <c r="J4" s="2613" t="s">
        <v>2031</v>
      </c>
      <c r="K4" s="3235"/>
      <c r="L4" s="3235"/>
      <c r="M4" s="3234"/>
      <c r="N4" s="3236"/>
      <c r="O4" s="3234"/>
      <c r="P4" s="3235"/>
      <c r="Q4" s="3235"/>
      <c r="R4" s="3235"/>
    </row>
    <row r="5" spans="1:18" ht="135" customHeight="1">
      <c r="A5" s="1928" t="s">
        <v>2648</v>
      </c>
      <c r="B5" s="2822" t="s">
        <v>2646</v>
      </c>
      <c r="C5" s="2612">
        <v>22</v>
      </c>
      <c r="D5" s="2611" t="s">
        <v>2647</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49011</v>
      </c>
      <c r="O5" s="1795">
        <f>项目基本情况!C21</f>
        <v>62924.7</v>
      </c>
      <c r="P5" s="1795">
        <f ca="1">结果表!E42</f>
        <v>8216</v>
      </c>
      <c r="Q5" s="1795">
        <f ca="1">结果表!D42</f>
        <v>6400</v>
      </c>
      <c r="R5" s="1796">
        <f ca="1">结果表!C42</f>
        <v>40269</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797" t="str">
        <f>结果表!O39</f>
        <v>——</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797" t="str">
        <f>结果表!O40</f>
        <v>——</v>
      </c>
    </row>
    <row r="8" spans="1:18">
      <c r="A8" s="3230">
        <f>IF(项目基本情况!B9="市场价格","——",项目基本情况!E9)</f>
        <v>0</v>
      </c>
      <c r="B8" s="3231"/>
      <c r="C8" s="3231"/>
      <c r="D8" s="3231"/>
      <c r="E8" s="3231"/>
      <c r="F8" s="3231"/>
      <c r="G8" s="3231"/>
      <c r="H8" s="3231"/>
      <c r="I8" s="3231"/>
      <c r="J8" s="3231"/>
      <c r="K8" s="3231"/>
      <c r="L8" s="3231"/>
      <c r="M8" s="3231"/>
      <c r="N8" s="3231"/>
      <c r="O8" s="3231"/>
      <c r="P8" s="3231"/>
      <c r="Q8" s="3232"/>
      <c r="R8" s="1797" t="str">
        <f>结果表!O41</f>
        <v>——</v>
      </c>
    </row>
    <row r="9" spans="1:18">
      <c r="A9" s="1798" t="s">
        <v>2036</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2023</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8" t="s">
        <v>2060</v>
      </c>
      <c r="B1" s="3238"/>
      <c r="C1" s="3238"/>
      <c r="D1" s="3238"/>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v>
      </c>
      <c r="B4" s="3238"/>
      <c r="C4" s="3238"/>
      <c r="D4" s="3238"/>
    </row>
    <row r="5" spans="1:4">
      <c r="A5" s="3241" t="s">
        <v>2061</v>
      </c>
      <c r="B5" s="3241"/>
      <c r="C5" s="3241"/>
      <c r="D5" s="3241"/>
    </row>
    <row r="6" spans="1:4">
      <c r="A6" s="3238" t="s">
        <v>2039</v>
      </c>
      <c r="B6" s="3238"/>
      <c r="C6" s="3238"/>
      <c r="D6" s="3238"/>
    </row>
    <row r="7" spans="1:4" ht="33" customHeight="1">
      <c r="A7" s="3238" t="s">
        <v>2568</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0"/>
      <c r="C11" s="3240"/>
      <c r="D11" s="3240"/>
    </row>
    <row r="12" spans="1:4" ht="168" customHeight="1">
      <c r="A12" s="3241" t="s">
        <v>2063</v>
      </c>
      <c r="B12" s="3241"/>
      <c r="C12" s="3241"/>
      <c r="D12" s="3241"/>
    </row>
    <row r="13" spans="1:4">
      <c r="A13" s="3239" t="s">
        <v>2739</v>
      </c>
      <c r="B13" s="3239"/>
      <c r="C13" s="3239"/>
      <c r="D13" s="3239"/>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2695</v>
      </c>
      <c r="B17" s="3238"/>
      <c r="C17" s="3238"/>
      <c r="D17" s="3238"/>
    </row>
    <row r="18" spans="1:4">
      <c r="A18" s="3238" t="s">
        <v>2687</v>
      </c>
      <c r="B18" s="3238"/>
      <c r="C18" s="3238"/>
      <c r="D18" s="3238"/>
    </row>
    <row r="19" spans="1:4">
      <c r="A19" s="2823" t="s">
        <v>2688</v>
      </c>
      <c r="B19" s="2823" t="s">
        <v>2689</v>
      </c>
      <c r="C19" s="2823" t="s">
        <v>2690</v>
      </c>
      <c r="D19" s="2823" t="s">
        <v>2691</v>
      </c>
    </row>
    <row r="20" spans="1:4">
      <c r="A20" s="2823" t="str">
        <f>项目基本情况!B4</f>
        <v>土地估价师</v>
      </c>
      <c r="B20" s="2823">
        <f>项目基本情况!C4</f>
        <v>0</v>
      </c>
      <c r="C20" s="2825"/>
      <c r="D20" s="1785" t="s">
        <v>2696</v>
      </c>
    </row>
    <row r="21" spans="1:4">
      <c r="A21" s="2823" t="str">
        <f>项目基本情况!D4</f>
        <v>土地估价师</v>
      </c>
      <c r="B21" s="2823">
        <f>项目基本情况!E4</f>
        <v>0</v>
      </c>
      <c r="C21" s="2825"/>
      <c r="D21" s="1785" t="s">
        <v>2697</v>
      </c>
    </row>
    <row r="23" spans="1:4">
      <c r="A23" s="3238" t="s">
        <v>2692</v>
      </c>
      <c r="B23" s="3238"/>
      <c r="C23" s="3238"/>
      <c r="D23" s="3238"/>
    </row>
    <row r="24" spans="1:4">
      <c r="A24" s="2823" t="s">
        <v>2688</v>
      </c>
      <c r="B24" s="2823" t="s">
        <v>2693</v>
      </c>
      <c r="C24" s="2823" t="s">
        <v>2690</v>
      </c>
      <c r="D24" s="2823" t="s">
        <v>2691</v>
      </c>
    </row>
    <row r="25" spans="1:4">
      <c r="A25" s="2826" t="s">
        <v>2694</v>
      </c>
      <c r="B25" s="2823" t="s">
        <v>950</v>
      </c>
      <c r="C25" s="2825"/>
      <c r="D25" s="1785" t="s">
        <v>2697</v>
      </c>
    </row>
    <row r="29" spans="1:4">
      <c r="D29" s="2824" t="s">
        <v>2034</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50" t="s">
        <v>53</v>
      </c>
      <c r="B15" s="3251" t="s">
        <v>844</v>
      </c>
      <c r="C15" s="3247"/>
    </row>
    <row r="16" spans="1:7" ht="14.25">
      <c r="A16" s="3250"/>
      <c r="B16" s="3248" t="s">
        <v>54</v>
      </c>
      <c r="C16" s="1167" t="s">
        <v>53</v>
      </c>
    </row>
    <row r="17" spans="1:3" ht="14.25">
      <c r="A17" s="3250"/>
      <c r="B17" s="3248"/>
      <c r="C17" s="1167" t="s">
        <v>55</v>
      </c>
    </row>
    <row r="18" spans="1:3" ht="14.25">
      <c r="A18" s="3250"/>
      <c r="B18" s="3248"/>
      <c r="C18" s="1167" t="s">
        <v>56</v>
      </c>
    </row>
    <row r="19" spans="1:3" ht="14.25">
      <c r="A19" s="3250"/>
      <c r="B19" s="3246" t="s">
        <v>57</v>
      </c>
      <c r="C19" s="3247"/>
    </row>
    <row r="20" spans="1:3" ht="14.25">
      <c r="A20" s="1168" t="s">
        <v>58</v>
      </c>
      <c r="B20" s="1169"/>
      <c r="C20" s="1170"/>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1" t="s">
        <v>835</v>
      </c>
    </row>
    <row r="25" spans="1:3" ht="14.25">
      <c r="A25" s="3249"/>
      <c r="B25" s="3253"/>
      <c r="C25" s="1171" t="s">
        <v>836</v>
      </c>
    </row>
    <row r="26" spans="1:3" ht="14.25">
      <c r="A26" s="3249"/>
      <c r="B26" s="3253"/>
      <c r="C26" s="1171" t="s">
        <v>837</v>
      </c>
    </row>
    <row r="27" spans="1:3" ht="14.25">
      <c r="A27" s="3249"/>
      <c r="B27" s="3253"/>
      <c r="C27" s="1171" t="s">
        <v>838</v>
      </c>
    </row>
    <row r="28" spans="1:3" ht="14.25">
      <c r="A28" s="3249"/>
      <c r="B28" s="3253"/>
      <c r="C28" s="1171" t="s">
        <v>839</v>
      </c>
    </row>
    <row r="29" spans="1:3" ht="14.25">
      <c r="A29" s="3249"/>
      <c r="B29" s="3253"/>
      <c r="C29" s="1171" t="s">
        <v>840</v>
      </c>
    </row>
    <row r="30" spans="1:3" ht="14.25">
      <c r="A30" s="3249"/>
      <c r="B30" s="3253"/>
      <c r="C30" s="1171" t="s">
        <v>841</v>
      </c>
    </row>
    <row r="31" spans="1:3" ht="14.25">
      <c r="A31" s="3249"/>
      <c r="B31" s="3253"/>
      <c r="C31" s="1171" t="s">
        <v>842</v>
      </c>
    </row>
    <row r="32" spans="1:3" ht="14.25">
      <c r="A32" s="3249"/>
      <c r="B32" s="3253"/>
      <c r="C32" s="1171" t="s">
        <v>1644</v>
      </c>
    </row>
    <row r="33" spans="1:3" ht="14.25">
      <c r="A33" s="3249"/>
      <c r="B33" s="3243" t="s">
        <v>1650</v>
      </c>
      <c r="C33" s="1171" t="s">
        <v>1645</v>
      </c>
    </row>
    <row r="34" spans="1:3" ht="14.25">
      <c r="A34" s="3249"/>
      <c r="B34" s="3244"/>
      <c r="C34" s="1176" t="s">
        <v>1646</v>
      </c>
    </row>
    <row r="35" spans="1:3" ht="14.25">
      <c r="A35" s="3249"/>
      <c r="B35" s="3244"/>
      <c r="C35" s="1177" t="s">
        <v>1647</v>
      </c>
    </row>
    <row r="36" spans="1:3" ht="14.25">
      <c r="A36" s="3249"/>
      <c r="B36" s="3244"/>
      <c r="C36" s="1177" t="s">
        <v>1648</v>
      </c>
    </row>
    <row r="37" spans="1:3" ht="14.25">
      <c r="A37" s="3249"/>
      <c r="B37" s="3245"/>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43994</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2968</v>
      </c>
      <c r="B14" s="3124">
        <f ca="1">IF(C14&lt;B2,"已过期",1120040230)</f>
        <v>1120040230</v>
      </c>
      <c r="C14" s="3128">
        <v>44864</v>
      </c>
      <c r="D14" s="3129" t="s">
        <v>2969</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2982</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2984</v>
      </c>
      <c r="B23" s="3124">
        <v>1119980106</v>
      </c>
      <c r="C23" s="3126">
        <v>44969</v>
      </c>
      <c r="D23" s="3124"/>
      <c r="E23" s="3124"/>
      <c r="F23" s="3124"/>
    </row>
    <row r="24" spans="1:7" s="3132" customFormat="1" ht="20.25" customHeight="1">
      <c r="A24" s="3123" t="s">
        <v>2048</v>
      </c>
      <c r="B24" s="3123" t="s">
        <v>2048</v>
      </c>
      <c r="C24" s="3126"/>
      <c r="D24" s="3131" t="s">
        <v>2048</v>
      </c>
      <c r="E24" s="3123" t="s">
        <v>2048</v>
      </c>
      <c r="F24" s="3130"/>
    </row>
    <row r="25" spans="1:7" ht="20.25" customHeight="1">
      <c r="A25" s="3254" t="s">
        <v>1922</v>
      </c>
      <c r="B25" s="3254"/>
      <c r="C25" s="3254"/>
      <c r="D25" s="3254"/>
      <c r="E25" s="3254"/>
      <c r="F25" s="3254"/>
      <c r="G25" s="3254"/>
    </row>
    <row r="26" spans="1:7" ht="20.25" customHeight="1">
      <c r="A26" s="3255" t="s">
        <v>1923</v>
      </c>
      <c r="B26" s="3255"/>
      <c r="C26" s="3255"/>
      <c r="D26" s="3255" t="s">
        <v>1924</v>
      </c>
      <c r="E26" s="3255"/>
      <c r="F26" s="3255"/>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2983</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2539</v>
      </c>
      <c r="R1" s="2546" t="s">
        <v>2533</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7" t="s">
        <v>2942</v>
      </c>
      <c r="C18" s="1540"/>
    </row>
    <row r="19" spans="1:3">
      <c r="A19" s="8" t="s">
        <v>120</v>
      </c>
      <c r="B19" s="3057" t="s">
        <v>2950</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56"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c r="D53" s="1752"/>
      <c r="E53" s="1752"/>
    </row>
    <row r="54" spans="1:5">
      <c r="A54" s="3256"/>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6"/>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6"/>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6"/>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2044</v>
      </c>
      <c r="B58" s="1751"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明细</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市调</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2020-06-12T09:26:40Z</dcterms:modified>
</cp:coreProperties>
</file>