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82北京市丰台区西四环南路35号院中都科技大厦\"/>
    </mc:Choice>
  </mc:AlternateContent>
  <xr:revisionPtr revIDLastSave="0" documentId="13_ncr:1_{92451322-57A0-4F06-A676-87A50B2AC7D9}"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8" hidden="1">租赁台账!$A$1:$M$116</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AK8" i="1" l="1"/>
  <c r="AM7" i="1"/>
  <c r="AM8" i="1" s="1"/>
  <c r="AL7" i="1"/>
  <c r="AL8" i="1" s="1"/>
  <c r="AK7" i="1"/>
  <c r="I13" i="4"/>
  <c r="I15" i="4" s="1"/>
  <c r="AF6" i="1" s="1"/>
  <c r="Z6" i="1" s="1"/>
  <c r="U6" i="1"/>
  <c r="Q24" i="1"/>
  <c r="T24" i="1" s="1"/>
  <c r="AI25" i="80"/>
  <c r="AD6"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C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H116" i="43"/>
  <c r="F116" i="43"/>
  <c r="B116" i="43"/>
  <c r="I122" i="43" s="1"/>
  <c r="J122" i="43" s="1"/>
  <c r="K122" i="43" s="1"/>
  <c r="L122" i="43" s="1"/>
  <c r="M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E26" i="43"/>
  <c r="P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M116" i="81"/>
  <c r="L116" i="81"/>
  <c r="I116" i="81"/>
  <c r="M115" i="81"/>
  <c r="L115" i="81"/>
  <c r="M114" i="81"/>
  <c r="L114" i="81"/>
  <c r="M111" i="81"/>
  <c r="L111" i="81"/>
  <c r="M110" i="81"/>
  <c r="L110" i="81"/>
  <c r="M109" i="81"/>
  <c r="L109" i="81"/>
  <c r="M108" i="81"/>
  <c r="L108" i="81"/>
  <c r="M107" i="81"/>
  <c r="L107" i="81"/>
  <c r="M106" i="81"/>
  <c r="L106" i="81"/>
  <c r="M105" i="81"/>
  <c r="M104" i="81"/>
  <c r="L104" i="81"/>
  <c r="M103" i="81"/>
  <c r="L103" i="81"/>
  <c r="M102" i="81"/>
  <c r="L102" i="81"/>
  <c r="M101" i="81"/>
  <c r="L101" i="81"/>
  <c r="M100" i="81"/>
  <c r="L100" i="81"/>
  <c r="M99" i="81"/>
  <c r="L99" i="81"/>
  <c r="M98" i="81"/>
  <c r="L98" i="81"/>
  <c r="M97" i="81"/>
  <c r="L97" i="81"/>
  <c r="M96" i="81"/>
  <c r="L96" i="81"/>
  <c r="M95" i="81"/>
  <c r="L95" i="81"/>
  <c r="M94" i="81"/>
  <c r="L94" i="81"/>
  <c r="M93" i="81"/>
  <c r="L93" i="81"/>
  <c r="M92" i="81"/>
  <c r="L92" i="81"/>
  <c r="M91" i="81"/>
  <c r="L91" i="81"/>
  <c r="M90" i="81"/>
  <c r="L90" i="81"/>
  <c r="M89" i="81"/>
  <c r="L89" i="81"/>
  <c r="M88" i="81"/>
  <c r="L88" i="81"/>
  <c r="M87" i="81"/>
  <c r="L87" i="81"/>
  <c r="M86" i="81"/>
  <c r="L86" i="81"/>
  <c r="M85" i="81"/>
  <c r="L85" i="81"/>
  <c r="M84" i="81"/>
  <c r="L84" i="81"/>
  <c r="M83" i="81"/>
  <c r="L83" i="81"/>
  <c r="M82" i="81"/>
  <c r="L82" i="81"/>
  <c r="M81" i="81"/>
  <c r="L81" i="81"/>
  <c r="M80" i="81"/>
  <c r="L80" i="81"/>
  <c r="M79" i="81"/>
  <c r="L79" i="81"/>
  <c r="M78" i="81"/>
  <c r="L78" i="81"/>
  <c r="M77" i="81"/>
  <c r="L77" i="81"/>
  <c r="M76" i="81"/>
  <c r="L76" i="81"/>
  <c r="M75" i="81"/>
  <c r="L75" i="81"/>
  <c r="M74" i="81"/>
  <c r="L74" i="81"/>
  <c r="M73" i="81"/>
  <c r="L73" i="81"/>
  <c r="M72" i="81"/>
  <c r="L72" i="81"/>
  <c r="M71" i="81"/>
  <c r="L71" i="81"/>
  <c r="M70" i="81"/>
  <c r="L70" i="81"/>
  <c r="M69" i="81"/>
  <c r="L69" i="81"/>
  <c r="M68" i="81"/>
  <c r="L68" i="81"/>
  <c r="M67" i="81"/>
  <c r="L67"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50" i="81"/>
  <c r="L50" i="81"/>
  <c r="M49" i="81"/>
  <c r="L49" i="81"/>
  <c r="M48" i="81"/>
  <c r="L48" i="81"/>
  <c r="M47" i="81"/>
  <c r="L47" i="81"/>
  <c r="M46" i="81"/>
  <c r="L46" i="81"/>
  <c r="M45" i="81"/>
  <c r="L45" i="81"/>
  <c r="M44" i="81"/>
  <c r="L44" i="81"/>
  <c r="M43" i="81"/>
  <c r="L43" i="81"/>
  <c r="M42" i="81"/>
  <c r="L42" i="81"/>
  <c r="M41" i="81"/>
  <c r="L41" i="81"/>
  <c r="M40" i="81"/>
  <c r="L40" i="81"/>
  <c r="M39" i="81"/>
  <c r="L39" i="81"/>
  <c r="M38" i="81"/>
  <c r="L38" i="81"/>
  <c r="M37" i="81"/>
  <c r="L37" i="81"/>
  <c r="M36" i="81"/>
  <c r="L36" i="81"/>
  <c r="M35" i="81"/>
  <c r="L35" i="81"/>
  <c r="M34" i="81"/>
  <c r="L34" i="81"/>
  <c r="M33" i="81"/>
  <c r="L33" i="81"/>
  <c r="M32" i="81"/>
  <c r="L32" i="81"/>
  <c r="M31" i="81"/>
  <c r="L31" i="81"/>
  <c r="M30" i="81"/>
  <c r="L30" i="81"/>
  <c r="M29" i="81"/>
  <c r="L29" i="81"/>
  <c r="M28" i="81"/>
  <c r="L28" i="81"/>
  <c r="M27" i="81"/>
  <c r="L27" i="81"/>
  <c r="M26" i="81"/>
  <c r="L26" i="81"/>
  <c r="M25" i="81"/>
  <c r="L25" i="81"/>
  <c r="M24" i="81"/>
  <c r="L24" i="81"/>
  <c r="M23" i="81"/>
  <c r="L23" i="81"/>
  <c r="M22" i="81"/>
  <c r="L22" i="81"/>
  <c r="M21" i="81"/>
  <c r="L21" i="81"/>
  <c r="M20" i="81"/>
  <c r="L20" i="81"/>
  <c r="M19" i="81"/>
  <c r="L19" i="81"/>
  <c r="M18" i="81"/>
  <c r="L18" i="81"/>
  <c r="M17" i="81"/>
  <c r="L17" i="81"/>
  <c r="M16" i="81"/>
  <c r="L16" i="81"/>
  <c r="M15" i="81"/>
  <c r="L15" i="81"/>
  <c r="M14" i="81"/>
  <c r="L14" i="81"/>
  <c r="M13" i="81"/>
  <c r="L13" i="81"/>
  <c r="M12" i="81"/>
  <c r="L12" i="81"/>
  <c r="M11" i="81"/>
  <c r="L11" i="81"/>
  <c r="M10" i="81"/>
  <c r="L10" i="81"/>
  <c r="M9" i="81"/>
  <c r="L9" i="81"/>
  <c r="M8" i="81"/>
  <c r="L8" i="81"/>
  <c r="M7" i="81"/>
  <c r="L7" i="81"/>
  <c r="M6" i="81"/>
  <c r="L6" i="81"/>
  <c r="M5" i="81"/>
  <c r="L5" i="81"/>
  <c r="M4" i="81"/>
  <c r="L4" i="81"/>
  <c r="M3" i="81"/>
  <c r="L3" i="81"/>
  <c r="M2" i="81"/>
  <c r="L2" i="8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E10" i="68"/>
  <c r="D10" i="68"/>
  <c r="C10" i="68" s="1"/>
  <c r="B29" i="1" s="1"/>
  <c r="C8" i="68" s="1"/>
  <c r="C5" i="68" s="1"/>
  <c r="E9" i="68"/>
  <c r="D9" i="68"/>
  <c r="C9" i="68" s="1"/>
  <c r="F7" i="68"/>
  <c r="C7" i="68"/>
  <c r="G1" i="68"/>
  <c r="D127" i="9"/>
  <c r="D13" i="52" s="1"/>
  <c r="A126" i="9"/>
  <c r="D124" i="9"/>
  <c r="D125" i="9" s="1"/>
  <c r="D11" i="52" s="1"/>
  <c r="A124" i="9"/>
  <c r="A122" i="9"/>
  <c r="D121" i="9"/>
  <c r="K120" i="9"/>
  <c r="D120" i="9"/>
  <c r="A120"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K15" i="1"/>
  <c r="P14" i="1"/>
  <c r="O14" i="1"/>
  <c r="N14" i="1"/>
  <c r="K14" i="1"/>
  <c r="M14" i="1" s="1"/>
  <c r="AR13" i="1"/>
  <c r="AQ13" i="1"/>
  <c r="AP13" i="1"/>
  <c r="AG13" i="1"/>
  <c r="AE13" i="1"/>
  <c r="T13" i="1"/>
  <c r="S13" i="1"/>
  <c r="R13" i="1"/>
  <c r="P13" i="1"/>
  <c r="O13" i="1"/>
  <c r="N13" i="1"/>
  <c r="K13" i="1"/>
  <c r="M13" i="1" s="1"/>
  <c r="F13" i="1"/>
  <c r="G13" i="1" s="1"/>
  <c r="E13" i="1"/>
  <c r="D13" i="1"/>
  <c r="B13" i="1"/>
  <c r="A13" i="1"/>
  <c r="AP12" i="1"/>
  <c r="AG12" i="1"/>
  <c r="AE12" i="1"/>
  <c r="S12" i="1"/>
  <c r="AR12" i="1" s="1"/>
  <c r="R12" i="1"/>
  <c r="P12" i="1"/>
  <c r="O12" i="1"/>
  <c r="N12" i="1"/>
  <c r="M12" i="1"/>
  <c r="K12" i="1"/>
  <c r="F12" i="1"/>
  <c r="G12" i="1" s="1"/>
  <c r="E12" i="1"/>
  <c r="D12" i="1"/>
  <c r="B12" i="1"/>
  <c r="A12" i="1"/>
  <c r="AR11" i="1"/>
  <c r="AQ11" i="1"/>
  <c r="AP11" i="1"/>
  <c r="AG11" i="1"/>
  <c r="AE11" i="1"/>
  <c r="T11" i="1"/>
  <c r="S11" i="1"/>
  <c r="R11" i="1"/>
  <c r="P11" i="1"/>
  <c r="O11" i="1"/>
  <c r="N11" i="1"/>
  <c r="K11" i="1"/>
  <c r="M11" i="1" s="1"/>
  <c r="F11" i="1"/>
  <c r="G11" i="1" s="1"/>
  <c r="E11" i="1"/>
  <c r="D11" i="1"/>
  <c r="B11" i="1"/>
  <c r="A11" i="1"/>
  <c r="AP10" i="1"/>
  <c r="AG10" i="1"/>
  <c r="AE10" i="1"/>
  <c r="S10" i="1"/>
  <c r="AR10" i="1" s="1"/>
  <c r="R10" i="1"/>
  <c r="P10" i="1"/>
  <c r="O10" i="1"/>
  <c r="N10" i="1"/>
  <c r="M10" i="1"/>
  <c r="K10" i="1"/>
  <c r="F10" i="1"/>
  <c r="G10" i="1" s="1"/>
  <c r="E10" i="1"/>
  <c r="D10" i="1"/>
  <c r="B10" i="1"/>
  <c r="A10" i="1"/>
  <c r="AR9" i="1"/>
  <c r="AP9" i="1"/>
  <c r="AG9" i="1"/>
  <c r="AE9" i="1"/>
  <c r="S9" i="1"/>
  <c r="AQ9" i="1" s="1"/>
  <c r="R9" i="1"/>
  <c r="P9" i="1"/>
  <c r="O9" i="1"/>
  <c r="K9" i="1"/>
  <c r="M9" i="1" s="1"/>
  <c r="E9" i="1"/>
  <c r="D9" i="1"/>
  <c r="B9" i="1"/>
  <c r="A9" i="1"/>
  <c r="AP8" i="1"/>
  <c r="AG8" i="1"/>
  <c r="Y8" i="1"/>
  <c r="P8" i="1"/>
  <c r="O8" i="1"/>
  <c r="N8" i="1"/>
  <c r="M8" i="1"/>
  <c r="K8" i="1"/>
  <c r="E8" i="1"/>
  <c r="D8" i="1"/>
  <c r="B8" i="1"/>
  <c r="A8" i="1"/>
  <c r="AP7" i="1"/>
  <c r="AG7" i="1"/>
  <c r="Y7" i="1"/>
  <c r="P7" i="1"/>
  <c r="O7" i="1"/>
  <c r="N7" i="1"/>
  <c r="E7" i="1"/>
  <c r="D7" i="1"/>
  <c r="B7" i="1"/>
  <c r="A7" i="1"/>
  <c r="AP6" i="1"/>
  <c r="C36" i="69" s="1"/>
  <c r="Y6" i="1"/>
  <c r="P6" i="1"/>
  <c r="P16" i="1" s="1"/>
  <c r="C11" i="12" s="1"/>
  <c r="O6" i="1"/>
  <c r="O16" i="1" s="1"/>
  <c r="N6" i="1"/>
  <c r="K6" i="1"/>
  <c r="E6" i="1"/>
  <c r="D6" i="1"/>
  <c r="B6" i="1"/>
  <c r="A6" i="1"/>
  <c r="T4" i="1"/>
  <c r="B2" i="1"/>
  <c r="E32" i="6"/>
  <c r="G31" i="6"/>
  <c r="G30" i="6"/>
  <c r="F30" i="6"/>
  <c r="E30" i="6"/>
  <c r="D30" i="6"/>
  <c r="G29" i="6"/>
  <c r="F29" i="6"/>
  <c r="E29" i="6"/>
  <c r="D29" i="6"/>
  <c r="G28" i="6"/>
  <c r="F28" i="6"/>
  <c r="E28" i="6"/>
  <c r="D28" i="6"/>
  <c r="P27" i="6"/>
  <c r="O27" i="6"/>
  <c r="N27" i="6"/>
  <c r="G27" i="6"/>
  <c r="P26" i="6"/>
  <c r="L26" i="6"/>
  <c r="E26" i="6"/>
  <c r="D26" i="6"/>
  <c r="P25" i="6"/>
  <c r="L25" i="6"/>
  <c r="E25" i="6"/>
  <c r="D25" i="6"/>
  <c r="P24" i="6"/>
  <c r="L24" i="6"/>
  <c r="E24" i="6"/>
  <c r="D24" i="6"/>
  <c r="P23" i="6"/>
  <c r="L23" i="6"/>
  <c r="E23" i="6"/>
  <c r="D23" i="6"/>
  <c r="P22" i="6"/>
  <c r="L22" i="6"/>
  <c r="E22" i="6"/>
  <c r="D22" i="6"/>
  <c r="P21" i="6"/>
  <c r="L21" i="6"/>
  <c r="G21" i="6"/>
  <c r="E21" i="6"/>
  <c r="D21" i="6"/>
  <c r="P20" i="6"/>
  <c r="L20" i="6"/>
  <c r="F20" i="6"/>
  <c r="F27" i="6" s="1"/>
  <c r="F31" i="6" s="1"/>
  <c r="E20" i="6"/>
  <c r="P19" i="6"/>
  <c r="L19" i="6"/>
  <c r="F19" i="6"/>
  <c r="E19" i="6"/>
  <c r="D19" i="6"/>
  <c r="E16" i="6"/>
  <c r="D16" i="6"/>
  <c r="E15" i="6"/>
  <c r="D15" i="6"/>
  <c r="E14" i="6"/>
  <c r="D14" i="6"/>
  <c r="E13" i="6"/>
  <c r="D13" i="6"/>
  <c r="E12" i="6"/>
  <c r="D12" i="6"/>
  <c r="E11" i="6"/>
  <c r="D11" i="6"/>
  <c r="E10" i="6"/>
  <c r="D10" i="6"/>
  <c r="D9" i="6"/>
  <c r="E8" i="6"/>
  <c r="D8" i="6"/>
  <c r="E6" i="6"/>
  <c r="D6" i="6"/>
  <c r="E5" i="6"/>
  <c r="D5" i="6"/>
  <c r="I4" i="6"/>
  <c r="I3" i="6"/>
  <c r="E3" i="6"/>
  <c r="D3" i="6"/>
  <c r="AE229" i="80"/>
  <c r="D51" i="80"/>
  <c r="C51" i="80"/>
  <c r="H49" i="80"/>
  <c r="G49" i="80"/>
  <c r="AK25" i="80"/>
  <c r="AJ25" i="80"/>
  <c r="AI23" i="80"/>
  <c r="AI16" i="80"/>
  <c r="AJ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H15" i="4"/>
  <c r="G15" i="4"/>
  <c r="F15" i="4"/>
  <c r="F8" i="1" s="1"/>
  <c r="G8" i="1" s="1"/>
  <c r="E15" i="4"/>
  <c r="D15" i="4"/>
  <c r="F7" i="1" s="1"/>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B4" i="62"/>
  <c r="B71" i="72" s="1"/>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26" i="67"/>
  <c r="D2" i="37"/>
  <c r="J15" i="83"/>
  <c r="F26" i="15"/>
  <c r="F16" i="83"/>
  <c r="D2" i="21"/>
  <c r="M28" i="15"/>
  <c r="AO11" i="1"/>
  <c r="F6" i="67"/>
  <c r="F38" i="15"/>
  <c r="E13" i="76"/>
  <c r="D2" i="34"/>
  <c r="M26" i="15"/>
  <c r="M9" i="67"/>
  <c r="F7" i="82"/>
  <c r="M24" i="83"/>
  <c r="F7" i="15"/>
  <c r="AO13" i="1"/>
  <c r="E2" i="68"/>
  <c r="M6" i="67"/>
  <c r="B10" i="76"/>
  <c r="F42" i="83"/>
  <c r="AO12" i="1"/>
  <c r="B9" i="76"/>
  <c r="F9" i="15"/>
  <c r="F38" i="83"/>
  <c r="F26" i="82"/>
  <c r="AO9" i="1"/>
  <c r="M6" i="15"/>
  <c r="J15" i="15"/>
  <c r="M28" i="82"/>
  <c r="J15" i="67"/>
  <c r="B7" i="76"/>
  <c r="D2" i="33"/>
  <c r="F5" i="73"/>
  <c r="C76" i="15"/>
  <c r="B11" i="76"/>
  <c r="M29" i="82"/>
  <c r="E12" i="76"/>
  <c r="F38" i="67"/>
  <c r="M26" i="67"/>
  <c r="M9" i="15"/>
  <c r="J15" i="82"/>
  <c r="M22" i="83"/>
  <c r="F13" i="82"/>
  <c r="F16" i="82"/>
  <c r="M27" i="83"/>
  <c r="F8" i="67"/>
  <c r="F8" i="83"/>
  <c r="F35" i="67"/>
  <c r="M22" i="67"/>
  <c r="L47" i="67"/>
  <c r="F13" i="83"/>
  <c r="F16" i="67"/>
  <c r="D2" i="36"/>
  <c r="F40" i="82"/>
  <c r="F4" i="73"/>
  <c r="M8" i="83"/>
  <c r="L47" i="83"/>
  <c r="M8" i="82"/>
  <c r="D4" i="73"/>
  <c r="M6" i="83"/>
  <c r="M23" i="15"/>
  <c r="M23" i="82"/>
  <c r="D3" i="73"/>
  <c r="E8" i="76"/>
  <c r="F40" i="83"/>
  <c r="L48" i="83"/>
  <c r="F43" i="67"/>
  <c r="F9" i="67"/>
  <c r="F41" i="15"/>
  <c r="F7" i="67"/>
  <c r="M6" i="82"/>
  <c r="B12" i="76"/>
  <c r="M9" i="82"/>
  <c r="F36" i="15"/>
  <c r="F26" i="83"/>
  <c r="F16" i="15"/>
  <c r="B8" i="76"/>
  <c r="D7" i="73"/>
  <c r="F6" i="73"/>
  <c r="F6" i="82"/>
  <c r="E10" i="76"/>
  <c r="E9" i="76"/>
  <c r="F36" i="83"/>
  <c r="M22" i="15"/>
  <c r="M27" i="82"/>
  <c r="L47" i="82"/>
  <c r="F36" i="82"/>
  <c r="F9" i="83"/>
  <c r="F8" i="82"/>
  <c r="C76" i="67"/>
  <c r="F13" i="15"/>
  <c r="D6" i="73"/>
  <c r="F37" i="15"/>
  <c r="M27" i="67"/>
  <c r="E7" i="76"/>
  <c r="C76" i="82"/>
  <c r="M21" i="67"/>
  <c r="D5" i="73"/>
  <c r="M29" i="67"/>
  <c r="AO10" i="1"/>
  <c r="E2" i="69"/>
  <c r="M8" i="15"/>
  <c r="F42" i="67"/>
  <c r="D2" i="35"/>
  <c r="M29" i="15"/>
  <c r="F42" i="82"/>
  <c r="E11" i="76"/>
  <c r="F40" i="15"/>
  <c r="C76" i="83"/>
  <c r="F6" i="15"/>
  <c r="M23" i="67"/>
  <c r="M26" i="83"/>
  <c r="F40" i="67"/>
  <c r="M8" i="67"/>
  <c r="B13" i="76"/>
  <c r="F41" i="67"/>
  <c r="M24" i="67"/>
  <c r="F37" i="67"/>
  <c r="M22" i="82"/>
  <c r="M28" i="67"/>
  <c r="M28" i="83"/>
  <c r="L48" i="82"/>
  <c r="F36" i="67"/>
  <c r="M26" i="82"/>
  <c r="M24" i="82"/>
  <c r="F37" i="82"/>
  <c r="F43" i="82"/>
  <c r="M23" i="83"/>
  <c r="M9" i="83"/>
  <c r="L47" i="15"/>
  <c r="F8" i="15"/>
  <c r="F3" i="73"/>
  <c r="F13" i="67"/>
  <c r="F42" i="15"/>
  <c r="F43" i="15"/>
  <c r="F20" i="31"/>
  <c r="F9" i="82"/>
  <c r="F38" i="82"/>
  <c r="M24" i="15"/>
  <c r="F37" i="83"/>
  <c r="F7" i="73"/>
  <c r="G7" i="1" l="1"/>
  <c r="F9" i="1"/>
  <c r="U24" i="1"/>
  <c r="G47" i="40"/>
  <c r="H47" i="40" s="1"/>
  <c r="L27" i="6"/>
  <c r="D20" i="6"/>
  <c r="K7" i="1"/>
  <c r="Q16" i="1" s="1"/>
  <c r="E27" i="6"/>
  <c r="C34" i="69"/>
  <c r="C35" i="69" s="1"/>
  <c r="B118" i="43"/>
  <c r="B120" i="43"/>
  <c r="C120" i="43" s="1"/>
  <c r="B121" i="43"/>
  <c r="C121" i="43" s="1"/>
  <c r="B122" i="43"/>
  <c r="C122" i="43" s="1"/>
  <c r="K19" i="6"/>
  <c r="M6" i="1"/>
  <c r="G121" i="43"/>
  <c r="H121" i="43" s="1"/>
  <c r="B119" i="43"/>
  <c r="C119" i="43" s="1"/>
  <c r="T10" i="1"/>
  <c r="AQ10" i="1"/>
  <c r="T12" i="1"/>
  <c r="AQ12" i="1"/>
  <c r="F26" i="43"/>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T9" i="1"/>
  <c r="G52" i="39"/>
  <c r="H52" i="39" s="1"/>
  <c r="Z7" i="43"/>
  <c r="G26"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C18" i="12"/>
  <c r="D19" i="68"/>
  <c r="D37" i="68" s="1"/>
  <c r="C37" i="68" s="1"/>
  <c r="F14" i="49"/>
  <c r="H14" i="49" s="1"/>
  <c r="B4" i="49"/>
  <c r="D4" i="49" s="1"/>
  <c r="B8" i="49"/>
  <c r="D8" i="49" s="1"/>
  <c r="B12" i="49"/>
  <c r="D12" i="49" s="1"/>
  <c r="B5" i="49"/>
  <c r="D5" i="49" s="1"/>
  <c r="B9" i="49"/>
  <c r="D9" i="49" s="1"/>
  <c r="B13" i="49"/>
  <c r="D13" i="49" s="1"/>
  <c r="F15" i="49"/>
  <c r="H15" i="49" s="1"/>
  <c r="F6" i="49"/>
  <c r="H6" i="49" s="1"/>
  <c r="F10" i="49"/>
  <c r="H10" i="49" s="1"/>
  <c r="B6" i="49"/>
  <c r="D6" i="49" s="1"/>
  <c r="B10" i="49"/>
  <c r="D10" i="49" s="1"/>
  <c r="B14" i="49"/>
  <c r="D14" i="49" s="1"/>
  <c r="C14" i="12"/>
  <c r="E46" i="40"/>
  <c r="F46" i="40" s="1"/>
  <c r="I47" i="40"/>
  <c r="J47" i="40" s="1"/>
  <c r="E47" i="40"/>
  <c r="F47" i="40" s="1"/>
  <c r="E51" i="39"/>
  <c r="F51" i="39" s="1"/>
  <c r="I52" i="39"/>
  <c r="J52" i="39" s="1"/>
  <c r="E52" i="39"/>
  <c r="F52" i="39" s="1"/>
  <c r="C40" i="43"/>
  <c r="C38" i="43"/>
  <c r="T12" i="43"/>
  <c r="V12" i="43" s="1"/>
  <c r="T11" i="43"/>
  <c r="V11" i="43" s="1"/>
  <c r="T7" i="43"/>
  <c r="V7" i="43" s="1"/>
  <c r="T15" i="43"/>
  <c r="V15" i="43" s="1"/>
  <c r="T13" i="43"/>
  <c r="V13" i="43" s="1"/>
  <c r="T8" i="43"/>
  <c r="V8" i="43" s="1"/>
  <c r="T6" i="43"/>
  <c r="V6" i="43" s="1"/>
  <c r="C39" i="43"/>
  <c r="C37" i="43"/>
  <c r="T10" i="43"/>
  <c r="V10" i="43" s="1"/>
  <c r="T4" i="43"/>
  <c r="V4" i="43" s="1"/>
  <c r="T2" i="43"/>
  <c r="V2" i="43" s="1"/>
  <c r="T16" i="43"/>
  <c r="V16" i="43" s="1"/>
  <c r="T14" i="43"/>
  <c r="V14" i="43" s="1"/>
  <c r="T9" i="43"/>
  <c r="V9" i="43" s="1"/>
  <c r="T5" i="43"/>
  <c r="V5" i="43" s="1"/>
  <c r="T3" i="43"/>
  <c r="V3" i="43" s="1"/>
  <c r="D17" i="12"/>
  <c r="C17" i="12" s="1"/>
  <c r="G51" i="39"/>
  <c r="H51" i="39" s="1"/>
  <c r="G46" i="40"/>
  <c r="H46" i="40" s="1"/>
  <c r="F4" i="49"/>
  <c r="H4" i="49" s="1"/>
  <c r="F7" i="49"/>
  <c r="H7" i="49" s="1"/>
  <c r="F9" i="49"/>
  <c r="H9" i="49" s="1"/>
  <c r="B11" i="49"/>
  <c r="D11" i="49" s="1"/>
  <c r="F12" i="49"/>
  <c r="H12" i="49" s="1"/>
  <c r="F6" i="1"/>
  <c r="R48" i="39"/>
  <c r="R43" i="40"/>
  <c r="F5" i="49"/>
  <c r="H5" i="49" s="1"/>
  <c r="B7" i="49"/>
  <c r="D7" i="49" s="1"/>
  <c r="F8" i="49"/>
  <c r="H8" i="49" s="1"/>
  <c r="F11" i="49"/>
  <c r="H11" i="49" s="1"/>
  <c r="N59" i="15"/>
  <c r="M59" i="15"/>
  <c r="L59" i="15"/>
  <c r="C27" i="15"/>
  <c r="G1" i="73"/>
  <c r="B40" i="1" s="1"/>
  <c r="F69" i="15"/>
  <c r="F64" i="83"/>
  <c r="C6" i="82"/>
  <c r="F64" i="67"/>
  <c r="B9" i="70"/>
  <c r="B10" i="70"/>
  <c r="B11" i="70"/>
  <c r="B12" i="70"/>
  <c r="B13" i="70"/>
  <c r="C6" i="15"/>
  <c r="F64" i="82"/>
  <c r="F51" i="15"/>
  <c r="F66" i="15"/>
  <c r="F71" i="15"/>
  <c r="Q71" i="83"/>
  <c r="F50" i="82"/>
  <c r="M7" i="82"/>
  <c r="J6" i="82" s="1"/>
  <c r="F66" i="82"/>
  <c r="F66" i="67"/>
  <c r="F66" i="83"/>
  <c r="B20" i="31"/>
  <c r="B21" i="31" s="1"/>
  <c r="M7" i="15"/>
  <c r="J6" i="15" s="1"/>
  <c r="F50" i="15"/>
  <c r="F64" i="15"/>
  <c r="F68" i="15"/>
  <c r="N59" i="67"/>
  <c r="M59" i="67"/>
  <c r="L59" i="67"/>
  <c r="F65" i="15"/>
  <c r="Q71" i="15"/>
  <c r="C27" i="83"/>
  <c r="F65" i="83"/>
  <c r="F51" i="82"/>
  <c r="F69" i="67"/>
  <c r="F51" i="83"/>
  <c r="F68" i="83"/>
  <c r="L59" i="83"/>
  <c r="N59" i="83"/>
  <c r="M59" i="83"/>
  <c r="L58" i="83"/>
  <c r="L60" i="83"/>
  <c r="I54" i="83"/>
  <c r="J59" i="83"/>
  <c r="L57" i="83"/>
  <c r="J60" i="83"/>
  <c r="Q48" i="83" s="1"/>
  <c r="J57" i="83"/>
  <c r="J55" i="83" s="1"/>
  <c r="J58" i="83" s="1"/>
  <c r="Q50" i="83" s="1"/>
  <c r="J53" i="83"/>
  <c r="L56" i="83"/>
  <c r="Q71" i="82"/>
  <c r="M7" i="67"/>
  <c r="J6" i="67" s="1"/>
  <c r="F50" i="67"/>
  <c r="C27" i="82"/>
  <c r="F65" i="82"/>
  <c r="C6" i="67"/>
  <c r="J20" i="67"/>
  <c r="C27" i="67"/>
  <c r="C34" i="67"/>
  <c r="F63" i="67"/>
  <c r="C62" i="67" s="1"/>
  <c r="F65" i="67"/>
  <c r="Q71" i="67"/>
  <c r="M3" i="35"/>
  <c r="F68" i="82"/>
  <c r="F71" i="82"/>
  <c r="L59" i="82"/>
  <c r="N59" i="82"/>
  <c r="L58" i="82"/>
  <c r="M59" i="82"/>
  <c r="L60" i="82"/>
  <c r="I54" i="82"/>
  <c r="J60" i="82"/>
  <c r="Q48" i="82" s="1"/>
  <c r="J59" i="82"/>
  <c r="L57" i="82"/>
  <c r="L56" i="82"/>
  <c r="J53" i="82"/>
  <c r="J57" i="82"/>
  <c r="J55" i="82" s="1"/>
  <c r="J58" i="82" s="1"/>
  <c r="Q50" i="82" s="1"/>
  <c r="F51" i="67"/>
  <c r="F68" i="67"/>
  <c r="F71" i="67"/>
  <c r="I1" i="73"/>
  <c r="B39" i="1" s="1"/>
  <c r="C12" i="12"/>
  <c r="C15" i="12"/>
  <c r="C9" i="69"/>
  <c r="C8" i="69" s="1"/>
  <c r="C5" i="69" s="1"/>
  <c r="D19" i="69"/>
  <c r="C20" i="11"/>
  <c r="C36" i="68"/>
  <c r="L48" i="67"/>
  <c r="C14" i="67"/>
  <c r="F43" i="83"/>
  <c r="C17" i="67"/>
  <c r="C16" i="67"/>
  <c r="M29" i="83"/>
  <c r="F7" i="83"/>
  <c r="L48" i="15"/>
  <c r="C16" i="15"/>
  <c r="C16" i="82"/>
  <c r="C38" i="69" l="1"/>
  <c r="C19" i="68"/>
  <c r="I54" i="67"/>
  <c r="J57" i="67"/>
  <c r="J55" i="67" s="1"/>
  <c r="J58" i="67" s="1"/>
  <c r="Q50" i="67" s="1"/>
  <c r="L58" i="67"/>
  <c r="Q73" i="67" s="1"/>
  <c r="J60" i="67"/>
  <c r="Q48" i="67" s="1"/>
  <c r="J53" i="67"/>
  <c r="F1" i="67" s="1"/>
  <c r="J59" i="67"/>
  <c r="L56" i="67"/>
  <c r="G9" i="1"/>
  <c r="C49" i="82"/>
  <c r="C61" i="82" s="1"/>
  <c r="C49" i="67"/>
  <c r="C61" i="67" s="1"/>
  <c r="F50" i="83"/>
  <c r="C49" i="83" s="1"/>
  <c r="C61" i="83" s="1"/>
  <c r="M7" i="83"/>
  <c r="J6" i="83" s="1"/>
  <c r="J19" i="83" s="1"/>
  <c r="F71" i="83"/>
  <c r="F27" i="69"/>
  <c r="F27" i="68"/>
  <c r="F27" i="11"/>
  <c r="F28" i="12"/>
  <c r="C29" i="12" s="1"/>
  <c r="D28" i="12" s="1"/>
  <c r="D26" i="43"/>
  <c r="C25" i="43" s="1"/>
  <c r="C33" i="43" s="1"/>
  <c r="E33" i="43" s="1"/>
  <c r="M19" i="6"/>
  <c r="S6" i="1"/>
  <c r="C118" i="43"/>
  <c r="D116" i="43"/>
  <c r="K25" i="6"/>
  <c r="M25" i="6" s="1"/>
  <c r="I25" i="6" s="1"/>
  <c r="K23" i="6"/>
  <c r="M23" i="6" s="1"/>
  <c r="I23" i="6" s="1"/>
  <c r="K21" i="6"/>
  <c r="E31" i="6"/>
  <c r="I5" i="6" s="1"/>
  <c r="K26" i="6"/>
  <c r="M26" i="6" s="1"/>
  <c r="I26" i="6" s="1"/>
  <c r="K24" i="6"/>
  <c r="M24" i="6" s="1"/>
  <c r="I24" i="6" s="1"/>
  <c r="K22" i="6"/>
  <c r="M22" i="6" s="1"/>
  <c r="I22" i="6" s="1"/>
  <c r="K20" i="6"/>
  <c r="K27" i="6" s="1"/>
  <c r="Q23" i="1"/>
  <c r="M7" i="1"/>
  <c r="K16" i="1"/>
  <c r="H16" i="1"/>
  <c r="D27" i="6"/>
  <c r="D31" i="6" s="1"/>
  <c r="I6" i="6" s="1"/>
  <c r="C16" i="12"/>
  <c r="C21" i="12" s="1"/>
  <c r="C22" i="12" s="1"/>
  <c r="L46" i="83"/>
  <c r="L58" i="15"/>
  <c r="Q60" i="15" s="1"/>
  <c r="J60" i="15"/>
  <c r="Q48" i="15" s="1"/>
  <c r="J57" i="15"/>
  <c r="J55" i="15" s="1"/>
  <c r="J58" i="15" s="1"/>
  <c r="Q50" i="15" s="1"/>
  <c r="L56" i="15"/>
  <c r="L60" i="15"/>
  <c r="Q57" i="15" s="1"/>
  <c r="J59" i="15"/>
  <c r="J53" i="15"/>
  <c r="Q52" i="15" s="1"/>
  <c r="I54" i="15"/>
  <c r="L57" i="15"/>
  <c r="E39" i="43"/>
  <c r="G39" i="43"/>
  <c r="I39" i="43" s="1"/>
  <c r="G38" i="43"/>
  <c r="I38" i="43" s="1"/>
  <c r="E38" i="43"/>
  <c r="G6" i="1"/>
  <c r="G16" i="1" s="1"/>
  <c r="G40" i="43"/>
  <c r="I40" i="43" s="1"/>
  <c r="E40" i="43"/>
  <c r="C34" i="43"/>
  <c r="E34" i="43" s="1"/>
  <c r="C48" i="39"/>
  <c r="C47" i="39"/>
  <c r="C43" i="40"/>
  <c r="C42" i="40"/>
  <c r="E37" i="43"/>
  <c r="G37" i="43"/>
  <c r="I37" i="43" s="1"/>
  <c r="C18" i="67"/>
  <c r="C15" i="67"/>
  <c r="J18" i="15"/>
  <c r="J19" i="15"/>
  <c r="J19" i="67"/>
  <c r="J18" i="67"/>
  <c r="Q66" i="82"/>
  <c r="Q57" i="82"/>
  <c r="Q61" i="82"/>
  <c r="Q74" i="82"/>
  <c r="J19" i="82"/>
  <c r="J18" i="82"/>
  <c r="Q74" i="15"/>
  <c r="Q61" i="15"/>
  <c r="M11" i="67"/>
  <c r="J10" i="67" s="1"/>
  <c r="J5" i="67" s="1"/>
  <c r="F11" i="67"/>
  <c r="M11" i="83"/>
  <c r="J10" i="83" s="1"/>
  <c r="F11" i="83"/>
  <c r="F11" i="15"/>
  <c r="C53" i="15" s="1"/>
  <c r="M11" i="82"/>
  <c r="J10" i="82" s="1"/>
  <c r="J5" i="82" s="1"/>
  <c r="F11" i="82"/>
  <c r="M11" i="15"/>
  <c r="J10" i="15" s="1"/>
  <c r="J5" i="15" s="1"/>
  <c r="Q66" i="83"/>
  <c r="Q57" i="83"/>
  <c r="Q61" i="83"/>
  <c r="Q74" i="83"/>
  <c r="Q74" i="67"/>
  <c r="Q61" i="67"/>
  <c r="C28" i="11"/>
  <c r="C27" i="11" s="1"/>
  <c r="C20" i="68"/>
  <c r="Q52" i="82"/>
  <c r="F1" i="82"/>
  <c r="D37" i="69"/>
  <c r="C37" i="69" s="1"/>
  <c r="C33" i="69" s="1"/>
  <c r="C19" i="69"/>
  <c r="L46" i="82"/>
  <c r="Q60" i="82"/>
  <c r="Q73" i="82"/>
  <c r="F1" i="83"/>
  <c r="Q52" i="83"/>
  <c r="Q60" i="83"/>
  <c r="Q73" i="83"/>
  <c r="C49" i="15"/>
  <c r="L36" i="43"/>
  <c r="F24" i="67"/>
  <c r="C24" i="67" s="1"/>
  <c r="F24" i="82"/>
  <c r="C24" i="82" s="1"/>
  <c r="F24" i="15"/>
  <c r="C24" i="15" s="1"/>
  <c r="F25" i="12"/>
  <c r="C26" i="12" s="1"/>
  <c r="D25" i="12" s="1"/>
  <c r="F22" i="69"/>
  <c r="F22" i="11"/>
  <c r="C25" i="11" s="1"/>
  <c r="F24" i="83"/>
  <c r="C24" i="83" s="1"/>
  <c r="F22" i="68"/>
  <c r="C33" i="67"/>
  <c r="C32" i="67"/>
  <c r="C33" i="15"/>
  <c r="C32" i="15"/>
  <c r="C33" i="82"/>
  <c r="C32" i="82"/>
  <c r="AE7" i="1"/>
  <c r="C17" i="15"/>
  <c r="C16" i="83"/>
  <c r="AE8" i="1"/>
  <c r="Q52" i="67" l="1"/>
  <c r="C30" i="12"/>
  <c r="C28" i="12" s="1"/>
  <c r="Q60" i="67"/>
  <c r="Q73" i="15"/>
  <c r="J18" i="83"/>
  <c r="J5" i="83"/>
  <c r="J26" i="83" s="1"/>
  <c r="Q25" i="1"/>
  <c r="U23" i="1"/>
  <c r="U25" i="1" s="1"/>
  <c r="T25" i="1" s="1"/>
  <c r="U7" i="1" s="1"/>
  <c r="H24" i="6"/>
  <c r="R24" i="6" s="1"/>
  <c r="S24" i="6"/>
  <c r="H23" i="6"/>
  <c r="R23" i="6" s="1"/>
  <c r="S23" i="6"/>
  <c r="H26" i="6"/>
  <c r="R26" i="6" s="1"/>
  <c r="S26" i="6"/>
  <c r="H25" i="6"/>
  <c r="R25" i="6" s="1"/>
  <c r="S25" i="6"/>
  <c r="AR6" i="1"/>
  <c r="T6" i="1"/>
  <c r="AQ6" i="1"/>
  <c r="E6" i="70"/>
  <c r="C47" i="11"/>
  <c r="D45" i="11" s="1"/>
  <c r="C29" i="11"/>
  <c r="D27" i="11" s="1"/>
  <c r="S7" i="1"/>
  <c r="M20" i="6"/>
  <c r="I20" i="6" s="1"/>
  <c r="I19" i="6"/>
  <c r="C29" i="68"/>
  <c r="D27" i="68" s="1"/>
  <c r="C47" i="68"/>
  <c r="D45" i="68" s="1"/>
  <c r="F45" i="68"/>
  <c r="H22" i="6"/>
  <c r="R22" i="6" s="1"/>
  <c r="S22" i="6"/>
  <c r="S8" i="1"/>
  <c r="M21" i="6"/>
  <c r="I21" i="6" s="1"/>
  <c r="M16" i="1"/>
  <c r="C47" i="69"/>
  <c r="D45" i="69" s="1"/>
  <c r="C29" i="69"/>
  <c r="D27" i="69" s="1"/>
  <c r="F45" i="69"/>
  <c r="Q66" i="15"/>
  <c r="L46" i="15"/>
  <c r="C10" i="15"/>
  <c r="C5" i="15" s="1"/>
  <c r="C38" i="15" s="1"/>
  <c r="C19" i="67"/>
  <c r="C20" i="67" s="1"/>
  <c r="C23" i="67" s="1"/>
  <c r="C30" i="43"/>
  <c r="H10" i="40"/>
  <c r="J10" i="39"/>
  <c r="F10" i="40"/>
  <c r="H10" i="39"/>
  <c r="F10" i="39"/>
  <c r="J10" i="40"/>
  <c r="B60" i="40"/>
  <c r="F60" i="40" s="1"/>
  <c r="B58" i="40"/>
  <c r="F58" i="40" s="1"/>
  <c r="B56" i="40"/>
  <c r="F56" i="40" s="1"/>
  <c r="F61" i="40"/>
  <c r="B2" i="40" s="1"/>
  <c r="B3" i="40" s="1"/>
  <c r="B54" i="40"/>
  <c r="F54" i="40" s="1"/>
  <c r="B59" i="40"/>
  <c r="F59" i="40" s="1"/>
  <c r="B57" i="40"/>
  <c r="F57" i="40" s="1"/>
  <c r="B53" i="40"/>
  <c r="F53" i="40" s="1"/>
  <c r="B51" i="40"/>
  <c r="F51" i="40" s="1"/>
  <c r="B52" i="40"/>
  <c r="F52" i="40" s="1"/>
  <c r="C31" i="43"/>
  <c r="B64" i="39"/>
  <c r="F64" i="39" s="1"/>
  <c r="B62" i="39"/>
  <c r="F62" i="39" s="1"/>
  <c r="B60" i="39"/>
  <c r="F60" i="39" s="1"/>
  <c r="B59" i="39"/>
  <c r="F59" i="39" s="1"/>
  <c r="B63" i="39"/>
  <c r="F63" i="39" s="1"/>
  <c r="B61" i="39"/>
  <c r="F61" i="39" s="1"/>
  <c r="B58" i="39"/>
  <c r="F58" i="39" s="1"/>
  <c r="B56" i="39"/>
  <c r="F56" i="39" s="1"/>
  <c r="F65" i="39" s="1"/>
  <c r="B2" i="39" s="1"/>
  <c r="B3" i="39" s="1"/>
  <c r="B57" i="39"/>
  <c r="F57" i="39" s="1"/>
  <c r="F1" i="15"/>
  <c r="J24" i="15"/>
  <c r="J26" i="82"/>
  <c r="J24" i="82"/>
  <c r="J26" i="67"/>
  <c r="J29" i="67" s="1"/>
  <c r="J24" i="67"/>
  <c r="C26" i="69"/>
  <c r="D22" i="69" s="1"/>
  <c r="C44" i="69"/>
  <c r="D41" i="69" s="1"/>
  <c r="F41" i="69"/>
  <c r="C10" i="67"/>
  <c r="C5" i="67" s="1"/>
  <c r="C53" i="67"/>
  <c r="C48" i="67" s="1"/>
  <c r="J17" i="67"/>
  <c r="C26" i="68"/>
  <c r="D22" i="68" s="1"/>
  <c r="F41" i="68"/>
  <c r="C44" i="68"/>
  <c r="D41" i="68" s="1"/>
  <c r="C23" i="68"/>
  <c r="N36" i="43"/>
  <c r="Q36" i="43"/>
  <c r="M36" i="43"/>
  <c r="L37" i="43"/>
  <c r="P36" i="43"/>
  <c r="O36" i="43"/>
  <c r="C24" i="69"/>
  <c r="C25" i="68"/>
  <c r="C28" i="68"/>
  <c r="C27" i="68" s="1"/>
  <c r="C27" i="12"/>
  <c r="C25" i="12" s="1"/>
  <c r="C48" i="15"/>
  <c r="C61" i="15"/>
  <c r="C42" i="69"/>
  <c r="C39" i="69"/>
  <c r="C43" i="69" s="1"/>
  <c r="C24" i="68"/>
  <c r="C23" i="69"/>
  <c r="C53" i="83"/>
  <c r="C48" i="83" s="1"/>
  <c r="C31" i="67"/>
  <c r="C24" i="11"/>
  <c r="C44" i="11"/>
  <c r="D41" i="11" s="1"/>
  <c r="C26" i="11"/>
  <c r="D22" i="11" s="1"/>
  <c r="C23" i="11"/>
  <c r="C20" i="69"/>
  <c r="C25" i="69" s="1"/>
  <c r="C53" i="82"/>
  <c r="C48" i="82" s="1"/>
  <c r="C10" i="82"/>
  <c r="C5" i="82" s="1"/>
  <c r="F6" i="83"/>
  <c r="C14" i="15"/>
  <c r="F41" i="83"/>
  <c r="E6" i="76"/>
  <c r="C17" i="82"/>
  <c r="C17" i="83"/>
  <c r="F41" i="82"/>
  <c r="AE6" i="1"/>
  <c r="C32" i="12" l="1"/>
  <c r="B2" i="12" s="1"/>
  <c r="B3" i="12" s="1"/>
  <c r="C6" i="83"/>
  <c r="J24" i="83"/>
  <c r="C15" i="15"/>
  <c r="C18" i="15"/>
  <c r="C22" i="11"/>
  <c r="C31" i="11" s="1"/>
  <c r="H21" i="6"/>
  <c r="R21" i="6" s="1"/>
  <c r="R8" i="1" s="1"/>
  <c r="S21" i="6"/>
  <c r="M27" i="6"/>
  <c r="AR8" i="1"/>
  <c r="AQ8" i="1"/>
  <c r="T8" i="1"/>
  <c r="E8" i="70"/>
  <c r="H20" i="6"/>
  <c r="R20" i="6" s="1"/>
  <c r="R7" i="1" s="1"/>
  <c r="S20" i="6"/>
  <c r="AQ7" i="1"/>
  <c r="T7" i="1"/>
  <c r="T16" i="1" s="1"/>
  <c r="AR7" i="1"/>
  <c r="E7" i="70"/>
  <c r="E2" i="70" s="1"/>
  <c r="S16" i="1"/>
  <c r="L16" i="1"/>
  <c r="C34" i="11"/>
  <c r="C34" i="68"/>
  <c r="N16" i="1"/>
  <c r="H19" i="6"/>
  <c r="I27" i="6"/>
  <c r="S19" i="6"/>
  <c r="S27" i="6" s="1"/>
  <c r="F69" i="82"/>
  <c r="F69" i="83"/>
  <c r="J29" i="82"/>
  <c r="J29" i="83"/>
  <c r="C26" i="67"/>
  <c r="C29" i="67" s="1"/>
  <c r="C36" i="67" s="1"/>
  <c r="AG6" i="1"/>
  <c r="E2" i="76"/>
  <c r="AC10" i="40"/>
  <c r="W10" i="40"/>
  <c r="AC10" i="39"/>
  <c r="W10" i="39"/>
  <c r="AA10" i="39"/>
  <c r="S10" i="39"/>
  <c r="AB10" i="40"/>
  <c r="U10" i="40"/>
  <c r="AA10" i="40"/>
  <c r="S10" i="40"/>
  <c r="C22" i="69"/>
  <c r="AB10" i="39"/>
  <c r="U10" i="39"/>
  <c r="B2" i="43"/>
  <c r="C66" i="67"/>
  <c r="C60" i="67"/>
  <c r="C59" i="67" s="1"/>
  <c r="C41" i="69"/>
  <c r="C38" i="67"/>
  <c r="C28" i="69"/>
  <c r="C27" i="69" s="1"/>
  <c r="C38" i="82"/>
  <c r="C60" i="82"/>
  <c r="C66" i="82"/>
  <c r="C46" i="69"/>
  <c r="C45" i="69" s="1"/>
  <c r="C60" i="83"/>
  <c r="C66" i="83"/>
  <c r="C66" i="15"/>
  <c r="C60" i="15"/>
  <c r="N37" i="43"/>
  <c r="Q37" i="43"/>
  <c r="M37" i="43"/>
  <c r="P37" i="43"/>
  <c r="O37" i="43"/>
  <c r="C22" i="68"/>
  <c r="C31" i="68" s="1"/>
  <c r="B6" i="76"/>
  <c r="M21" i="82"/>
  <c r="C14" i="82"/>
  <c r="M27" i="15"/>
  <c r="F35" i="83"/>
  <c r="M21" i="83"/>
  <c r="C14" i="83"/>
  <c r="F35" i="82"/>
  <c r="C33" i="83" l="1"/>
  <c r="C32" i="83"/>
  <c r="C10" i="83"/>
  <c r="C5" i="83" s="1"/>
  <c r="C38" i="83" s="1"/>
  <c r="C19" i="15"/>
  <c r="C20" i="15" s="1"/>
  <c r="C23" i="15" s="1"/>
  <c r="Q49" i="67"/>
  <c r="C18" i="83"/>
  <c r="C15" i="83"/>
  <c r="C15" i="82"/>
  <c r="C18" i="82"/>
  <c r="F63" i="83"/>
  <c r="C62" i="83" s="1"/>
  <c r="C59" i="83" s="1"/>
  <c r="C34" i="83"/>
  <c r="J20" i="83"/>
  <c r="J17" i="83" s="1"/>
  <c r="F63" i="82"/>
  <c r="C62" i="82" s="1"/>
  <c r="C59" i="82" s="1"/>
  <c r="C34" i="82"/>
  <c r="C31" i="82" s="1"/>
  <c r="J20" i="82"/>
  <c r="J17" i="82" s="1"/>
  <c r="H27" i="6"/>
  <c r="R19" i="6"/>
  <c r="F50" i="68"/>
  <c r="F50" i="69"/>
  <c r="F50" i="11"/>
  <c r="C35" i="68"/>
  <c r="C38" i="68"/>
  <c r="C35" i="11"/>
  <c r="C33" i="11" s="1"/>
  <c r="C38" i="11"/>
  <c r="C31" i="69"/>
  <c r="C57" i="67"/>
  <c r="C64" i="67" s="1"/>
  <c r="B2" i="76"/>
  <c r="B3" i="76" s="1"/>
  <c r="C13" i="67"/>
  <c r="C37" i="67" s="1"/>
  <c r="C30" i="67" s="1"/>
  <c r="C39" i="67" s="1"/>
  <c r="J14" i="67"/>
  <c r="J13" i="67" s="1"/>
  <c r="J23" i="67" s="1"/>
  <c r="B3" i="43"/>
  <c r="C49" i="69"/>
  <c r="C51" i="69" s="1"/>
  <c r="C31" i="83" l="1"/>
  <c r="C26" i="15"/>
  <c r="C29" i="15" s="1"/>
  <c r="C19" i="83"/>
  <c r="C20" i="83" s="1"/>
  <c r="C26" i="83" s="1"/>
  <c r="C19" i="82"/>
  <c r="C20" i="82" s="1"/>
  <c r="C26" i="82" s="1"/>
  <c r="C33" i="68"/>
  <c r="C42" i="68" s="1"/>
  <c r="C39" i="11"/>
  <c r="C43" i="11" s="1"/>
  <c r="C42" i="11"/>
  <c r="R27" i="6"/>
  <c r="R6" i="1"/>
  <c r="C56" i="67"/>
  <c r="C65" i="67" s="1"/>
  <c r="C58" i="67" s="1"/>
  <c r="C67" i="67" s="1"/>
  <c r="C68" i="67" s="1"/>
  <c r="C71" i="67" s="1"/>
  <c r="Q70" i="67"/>
  <c r="C75" i="67"/>
  <c r="C80" i="67" s="1"/>
  <c r="C79" i="67" s="1"/>
  <c r="J22" i="67"/>
  <c r="J16" i="67" s="1"/>
  <c r="J25" i="67" s="1"/>
  <c r="Q69" i="67"/>
  <c r="C40" i="67"/>
  <c r="C52" i="69"/>
  <c r="B2" i="69" s="1"/>
  <c r="B3" i="69" s="1"/>
  <c r="F35" i="15"/>
  <c r="L51" i="67"/>
  <c r="M21" i="15"/>
  <c r="C57" i="15" l="1"/>
  <c r="C64" i="15" s="1"/>
  <c r="Q49" i="15"/>
  <c r="C13" i="15"/>
  <c r="C36" i="15"/>
  <c r="J14" i="15"/>
  <c r="C23" i="83"/>
  <c r="C29" i="83" s="1"/>
  <c r="J14" i="83" s="1"/>
  <c r="C23" i="82"/>
  <c r="C29" i="82" s="1"/>
  <c r="Q49" i="82" s="1"/>
  <c r="C41" i="11"/>
  <c r="C39" i="68"/>
  <c r="C43" i="68" s="1"/>
  <c r="C41" i="68" s="1"/>
  <c r="Q68" i="67"/>
  <c r="C34" i="15"/>
  <c r="C31" i="15" s="1"/>
  <c r="F63" i="15"/>
  <c r="C62" i="15" s="1"/>
  <c r="C59" i="15" s="1"/>
  <c r="J20" i="15"/>
  <c r="J17" i="15" s="1"/>
  <c r="R16" i="1"/>
  <c r="C46" i="11"/>
  <c r="C45" i="11" s="1"/>
  <c r="C46" i="68"/>
  <c r="C45" i="68" s="1"/>
  <c r="Q67" i="67"/>
  <c r="L57" i="67"/>
  <c r="L60" i="67" s="1"/>
  <c r="Q56" i="67"/>
  <c r="Q47" i="67"/>
  <c r="Q53" i="67" s="1"/>
  <c r="C43" i="67"/>
  <c r="Q65" i="67"/>
  <c r="C83" i="67"/>
  <c r="C82" i="67" s="1"/>
  <c r="C45" i="67"/>
  <c r="C46" i="67" s="1"/>
  <c r="C57" i="69"/>
  <c r="C56" i="69" s="1"/>
  <c r="C13" i="83" l="1"/>
  <c r="Q70" i="83" s="1"/>
  <c r="C36" i="83"/>
  <c r="C57" i="83"/>
  <c r="C64" i="83" s="1"/>
  <c r="Q49" i="83"/>
  <c r="C49" i="11"/>
  <c r="C51" i="11" s="1"/>
  <c r="C52" i="11" s="1"/>
  <c r="B2" i="11" s="1"/>
  <c r="B3" i="11" s="1"/>
  <c r="C37" i="15"/>
  <c r="C30" i="15" s="1"/>
  <c r="C39" i="15" s="1"/>
  <c r="C75" i="15"/>
  <c r="Q70" i="15"/>
  <c r="C56" i="15"/>
  <c r="C65" i="15" s="1"/>
  <c r="C58" i="15" s="1"/>
  <c r="C67" i="15" s="1"/>
  <c r="C68" i="15" s="1"/>
  <c r="C71" i="15" s="1"/>
  <c r="J22" i="15"/>
  <c r="J13" i="15"/>
  <c r="J23" i="15" s="1"/>
  <c r="C13" i="82"/>
  <c r="C75" i="82" s="1"/>
  <c r="C36" i="82"/>
  <c r="C57" i="82"/>
  <c r="C64" i="82" s="1"/>
  <c r="J14" i="82"/>
  <c r="J13" i="82" s="1"/>
  <c r="J23" i="82" s="1"/>
  <c r="C49" i="68"/>
  <c r="C51" i="68" s="1"/>
  <c r="C52" i="68" s="1"/>
  <c r="J22" i="83"/>
  <c r="J13" i="83"/>
  <c r="J23" i="83" s="1"/>
  <c r="Q57" i="67"/>
  <c r="Q62" i="67" s="1"/>
  <c r="Q66" i="67"/>
  <c r="Q75" i="67" s="1"/>
  <c r="L46" i="67"/>
  <c r="D2" i="67" s="1"/>
  <c r="L51" i="15"/>
  <c r="C75" i="83" l="1"/>
  <c r="C56" i="83"/>
  <c r="C65" i="83" s="1"/>
  <c r="C58" i="83" s="1"/>
  <c r="C67" i="83" s="1"/>
  <c r="C68" i="83" s="1"/>
  <c r="C71" i="83" s="1"/>
  <c r="C37" i="83"/>
  <c r="C30" i="83" s="1"/>
  <c r="C39" i="83" s="1"/>
  <c r="Q69" i="83" s="1"/>
  <c r="Q68" i="83" s="1"/>
  <c r="C56" i="82"/>
  <c r="C65" i="82" s="1"/>
  <c r="C58" i="82" s="1"/>
  <c r="C67" i="82" s="1"/>
  <c r="C68" i="82" s="1"/>
  <c r="C71" i="82" s="1"/>
  <c r="C37" i="82"/>
  <c r="C30" i="82" s="1"/>
  <c r="C39" i="82" s="1"/>
  <c r="Q70" i="82"/>
  <c r="J22" i="82"/>
  <c r="J16" i="82" s="1"/>
  <c r="J25" i="82" s="1"/>
  <c r="J16" i="15"/>
  <c r="J25" i="15" s="1"/>
  <c r="J26" i="15" s="1"/>
  <c r="J29" i="15" s="1"/>
  <c r="Q67" i="15"/>
  <c r="Q69" i="15"/>
  <c r="Q68" i="15" s="1"/>
  <c r="H38" i="15"/>
  <c r="C80" i="15"/>
  <c r="C79" i="15" s="1"/>
  <c r="C40" i="15"/>
  <c r="B2" i="68"/>
  <c r="B3" i="68" s="1"/>
  <c r="C57" i="68"/>
  <c r="C56" i="68" s="1"/>
  <c r="J16" i="83"/>
  <c r="J25" i="83" s="1"/>
  <c r="C56" i="11"/>
  <c r="C57" i="11" s="1"/>
  <c r="B3" i="67"/>
  <c r="B2" i="67"/>
  <c r="L51" i="82"/>
  <c r="L51" i="83"/>
  <c r="C40" i="83" l="1"/>
  <c r="Q56" i="83" s="1"/>
  <c r="Q62" i="83" s="1"/>
  <c r="C80" i="83"/>
  <c r="C79" i="83" s="1"/>
  <c r="Q67" i="83"/>
  <c r="Q69" i="82"/>
  <c r="Q68" i="82" s="1"/>
  <c r="C40" i="82"/>
  <c r="Q65" i="82" s="1"/>
  <c r="Q75" i="82" s="1"/>
  <c r="C80" i="82"/>
  <c r="C79" i="82" s="1"/>
  <c r="B2" i="15"/>
  <c r="Q65" i="15"/>
  <c r="Q75" i="15" s="1"/>
  <c r="C46" i="15"/>
  <c r="Q56" i="15"/>
  <c r="Q62" i="15" s="1"/>
  <c r="Q67" i="82"/>
  <c r="Q47" i="15"/>
  <c r="Q53" i="15" s="1"/>
  <c r="C43" i="15"/>
  <c r="C83" i="15"/>
  <c r="C82" i="15" s="1"/>
  <c r="AO6" i="1"/>
  <c r="C46" i="83" l="1"/>
  <c r="C43" i="83"/>
  <c r="C83" i="83"/>
  <c r="C82" i="83" s="1"/>
  <c r="Q65" i="83"/>
  <c r="Q75" i="83" s="1"/>
  <c r="Q47" i="83"/>
  <c r="Q53" i="83" s="1"/>
  <c r="B2" i="83"/>
  <c r="B3" i="83" s="1"/>
  <c r="C43" i="82"/>
  <c r="C46" i="82"/>
  <c r="B2" i="82"/>
  <c r="B3" i="82" s="1"/>
  <c r="Q56" i="82"/>
  <c r="Q62" i="82" s="1"/>
  <c r="Q47" i="82"/>
  <c r="Q53" i="82" s="1"/>
  <c r="C83" i="82"/>
  <c r="C82" i="82" s="1"/>
  <c r="B6" i="70"/>
  <c r="B3" i="15"/>
  <c r="AO8" i="1"/>
  <c r="AO7" i="1"/>
  <c r="B7" i="70" l="1"/>
  <c r="B8" i="70"/>
  <c r="B2" i="70" l="1"/>
  <c r="C19" i="9"/>
  <c r="D19" i="9"/>
  <c r="D102" i="9" l="1"/>
  <c r="D21" i="9"/>
  <c r="D22" i="9"/>
  <c r="C21" i="9"/>
  <c r="G19" i="9"/>
  <c r="C102" i="9"/>
  <c r="B3" i="70"/>
  <c r="D34" i="9"/>
  <c r="D35" i="9"/>
  <c r="D20" i="9"/>
  <c r="C20" i="9"/>
  <c r="D103" i="9" l="1"/>
  <c r="G20" i="9"/>
  <c r="C103" i="9"/>
  <c r="G21" i="9"/>
  <c r="C32" i="9"/>
  <c r="H118" i="9" l="1"/>
  <c r="C35" i="9"/>
  <c r="F118" i="9" l="1"/>
  <c r="C34" i="9"/>
  <c r="D118" i="9" s="1"/>
  <c r="H119" i="9"/>
  <c r="H5" i="52" s="1"/>
  <c r="H4" i="52"/>
  <c r="I118" i="9"/>
  <c r="C104" i="9"/>
  <c r="H101" i="9"/>
  <c r="D45" i="9" l="1"/>
  <c r="D5" i="53"/>
  <c r="M48" i="9"/>
  <c r="H107" i="9"/>
  <c r="D14" i="74"/>
  <c r="D4" i="52"/>
  <c r="B47" i="72" s="1"/>
  <c r="D119" i="9"/>
  <c r="D5" i="52" s="1"/>
  <c r="B49" i="72" s="1"/>
  <c r="I4" i="52"/>
  <c r="C105" i="9"/>
  <c r="H102" i="9"/>
  <c r="D7" i="53" s="1"/>
  <c r="B21" i="72" s="1"/>
  <c r="F119" i="9"/>
  <c r="F5" i="52" s="1"/>
  <c r="B53" i="72" s="1"/>
  <c r="G118" i="9"/>
  <c r="G4" i="52" s="1"/>
  <c r="B52" i="72" s="1"/>
  <c r="F4" i="52"/>
  <c r="B51" i="72" s="1"/>
  <c r="E118" i="9" l="1"/>
  <c r="E4" i="52" s="1"/>
  <c r="B48" i="72" s="1"/>
  <c r="B20" i="72"/>
  <c r="D6" i="53"/>
  <c r="B22" i="72" s="1"/>
  <c r="H108" i="9"/>
  <c r="D15" i="53" s="1"/>
  <c r="B31" i="72" s="1"/>
  <c r="D122" i="9"/>
  <c r="D13" i="53"/>
  <c r="M49" i="9"/>
  <c r="E14" i="74"/>
  <c r="G14" i="74"/>
  <c r="B6" i="74" s="1"/>
  <c r="F14" i="74"/>
  <c r="B5" i="74"/>
  <c r="D52" i="9"/>
  <c r="D55" i="9"/>
  <c r="M53" i="9" s="1"/>
  <c r="C72" i="9"/>
  <c r="D53" i="9"/>
  <c r="C64" i="9"/>
  <c r="C63" i="9" s="1"/>
  <c r="C67" i="9" s="1"/>
  <c r="C78" i="9"/>
  <c r="C73" i="9" s="1"/>
  <c r="C85" i="9"/>
  <c r="C93" i="9"/>
  <c r="C86" i="9" s="1"/>
  <c r="C79" i="9" l="1"/>
  <c r="C80" i="9" s="1"/>
  <c r="E80" i="9" s="1"/>
  <c r="E81" i="9" s="1"/>
  <c r="C5" i="74"/>
  <c r="D5" i="74"/>
  <c r="C6" i="74"/>
  <c r="D6" i="74"/>
  <c r="D123" i="9"/>
  <c r="D9" i="52" s="1"/>
  <c r="D8" i="52"/>
  <c r="D59" i="9"/>
  <c r="M55" i="9" s="1"/>
  <c r="C68" i="9"/>
  <c r="D54" i="9" s="1"/>
  <c r="L63" i="9"/>
  <c r="M63" i="9" s="1"/>
  <c r="L66" i="9"/>
  <c r="M66" i="9" s="1"/>
  <c r="L64" i="9"/>
  <c r="M64" i="9" s="1"/>
  <c r="L65" i="9"/>
  <c r="M65" i="9" s="1"/>
  <c r="L67" i="9"/>
  <c r="M67" i="9" s="1"/>
  <c r="L68" i="9"/>
  <c r="M68" i="9" s="1"/>
  <c r="C95" i="9"/>
  <c r="B30" i="72"/>
  <c r="D14" i="53"/>
  <c r="B32" i="72" s="1"/>
  <c r="C81" i="9" l="1"/>
  <c r="C96" i="9"/>
  <c r="E96" i="9" s="1"/>
  <c r="E97" i="9" s="1"/>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<sst xmlns="http://schemas.openxmlformats.org/spreadsheetml/2006/main" count="9235" uniqueCount="2928">
  <si>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</si>
  <si>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</si>
  <si>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</si>
  <si>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</si>
  <si>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</si>
  <si>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</si>
  <si>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</si>
  <si>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</si>
  <si>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</si>
  <si>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</si>
  <si>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</si>
  <si>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</si>
  <si>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</si>
  <si>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</si>
  <si>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</si>
  <si>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</si>
  <si>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</si>
  <si>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</si>
  <si>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</si>
  <si>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</si>
  <si>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</si>
  <si>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</si>
  <si>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</si>
  <si>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</si>
  <si>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</si>
  <si>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</si>
  <si>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</si>
  <si>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</si>
  <si>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</si>
  <si>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</si>
  <si>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</si>
  <si>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</si>
  <si>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</si>
  <si>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</si>
  <si>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</si>
  <si>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</si>
  <si>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</si>
  <si>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</si>
  <si>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</si>
  <si>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</si>
  <si>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</si>
  <si>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</si>
  <si>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</si>
  <si>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</si>
  <si>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</si>
  <si>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</si>
  <si>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</si>
  <si>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</si>
  <si>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</si>
  <si>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</si>
  <si>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</si>
  <si>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</si>
  <si>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</si>
  <si>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</si>
  <si>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</si>
  <si>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</si>
  <si>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</si>
  <si>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</si>
  <si>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</si>
  <si>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</si>
  <si>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</si>
  <si>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</si>
  <si>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</si>
  <si>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</si>
  <si>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</si>
  <si>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</si>
  <si>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</si>
  <si>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</si>
  <si>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</si>
  <si>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</si>
  <si>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</si>
  <si>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</si>
  <si>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</si>
  <si>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</si>
  <si>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</si>
  <si>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</si>
  <si>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</si>
  <si>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</si>
  <si>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</si>
  <si>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</si>
  <si>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</si>
  <si>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</si>
  <si>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</si>
  <si>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</si>
  <si>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</si>
  <si>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</si>
  <si>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</si>
  <si>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</si>
  <si>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</si>
  <si>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</si>
  <si>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</si>
  <si>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</si>
  <si>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</si>
  <si>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</si>
  <si>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</si>
  <si>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</si>
  <si>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</si>
  <si>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</si>
  <si>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</si>
  <si>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</si>
  <si>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</si>
  <si>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</si>
  <si>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</si>
  <si>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</si>
  <si>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</si>
  <si>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</si>
  <si>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</si>
  <si>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</si>
  <si>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</si>
  <si>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</si>
  <si>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</si>
  <si>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</si>
  <si>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</si>
  <si>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</si>
  <si>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</si>
  <si>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</si>
  <si>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</si>
  <si>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</si>
  <si>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</si>
  <si>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</si>
  <si>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</si>
  <si>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</si>
  <si>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</si>
  <si>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</si>
  <si>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</si>
  <si>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</si>
  <si>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</si>
  <si>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</si>
  <si>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</si>
  <si>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</si>
  <si>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</si>
  <si>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</si>
  <si>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</si>
  <si>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</si>
  <si>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</si>
  <si>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</si>
  <si>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</si>
  <si>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</si>
  <si>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</si>
  <si>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</si>
  <si>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</si>
  <si>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</si>
  <si>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</si>
  <si>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</si>
  <si>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</si>
  <si>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</si>
  <si>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</si>
  <si>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</si>
  <si>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</si>
  <si>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</si>
  <si>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</si>
  <si>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</si>
  <si>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</si>
  <si>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</si>
  <si>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</si>
  <si>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</si>
  <si>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</si>
  <si>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</si>
  <si>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</si>
  <si>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</si>
  <si>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</si>
  <si>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</si>
  <si>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</si>
  <si>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</si>
  <si>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</si>
  <si>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</si>
  <si>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</si>
  <si>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</si>
  <si>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</si>
  <si>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</si>
  <si>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</si>
  <si>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</si>
  <si>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</si>
  <si>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</si>
  <si>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</si>
  <si>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</si>
  <si>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</si>
  <si>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</si>
  <si>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</si>
  <si>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</si>
  <si>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</si>
  <si>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</si>
  <si>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</si>
  <si>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</si>
  <si>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</si>
  <si>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</si>
  <si>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</si>
  <si>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</si>
  <si>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</si>
  <si>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</si>
  <si>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</si>
  <si>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</si>
  <si>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</si>
  <si>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</si>
  <si>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</si>
  <si>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</si>
  <si>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</si>
  <si>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</si>
  <si>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</si>
  <si>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</si>
  <si>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</si>
  <si>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</si>
  <si>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</si>
  <si>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</si>
  <si>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</si>
  <si>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</si>
  <si>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</si>
  <si>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</si>
  <si>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</si>
  <si>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</si>
  <si>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</si>
  <si>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</si>
  <si>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</si>
  <si>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</si>
  <si>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</si>
  <si>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</si>
  <si>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</si>
  <si>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</si>
  <si>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</si>
  <si>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</si>
  <si>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</si>
  <si>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</si>
  <si>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</si>
  <si>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</si>
  <si>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</si>
  <si>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</si>
  <si>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</si>
  <si>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</si>
  <si>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</si>
  <si>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</si>
  <si>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</si>
  <si>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</si>
  <si>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</si>
  <si>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</si>
  <si>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</si>
  <si>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</si>
  <si>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</si>
  <si>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</si>
  <si>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</si>
  <si>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</si>
  <si>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</si>
  <si>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</si>
  <si>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</si>
  <si>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</si>
  <si>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</si>
  <si>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</si>
  <si>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</si>
  <si>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</si>
  <si>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</si>
  <si>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</si>
  <si>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</si>
  <si>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</si>
  <si>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</si>
  <si>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</si>
  <si>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</si>
  <si>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</si>
  <si>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</si>
  <si>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</si>
  <si>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</si>
  <si>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</si>
  <si>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</si>
  <si>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</si>
  <si>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</si>
  <si>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</si>
  <si>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</si>
  <si>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</si>
  <si>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</si>
  <si>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</si>
  <si>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</si>
  <si>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</si>
  <si>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</si>
  <si>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</si>
  <si>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</si>
  <si>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</si>
  <si>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</si>
  <si>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</si>
  <si>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</si>
  <si>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</si>
  <si>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</si>
  <si>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</si>
  <si>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</si>
  <si>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</si>
  <si>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</si>
  <si>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</si>
  <si>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</si>
  <si>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</si>
  <si>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</si>
  <si>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</si>
  <si>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</si>
  <si>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</si>
  <si>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</si>
  <si>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</si>
  <si>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</si>
  <si>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</si>
  <si>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</si>
  <si>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</si>
  <si>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</si>
  <si>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</si>
  <si>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</si>
  <si>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</si>
  <si>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</si>
  <si>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</si>
  <si>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</si>
  <si>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</si>
  <si>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</si>
  <si>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</si>
  <si>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</si>
  <si>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</si>
  <si>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</si>
  <si>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</si>
  <si>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</si>
  <si>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</si>
  <si>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</si>
  <si>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</si>
  <si>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</si>
  <si>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</si>
  <si>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</si>
  <si>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</si>
  <si>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</si>
  <si>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</si>
  <si>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</si>
  <si>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</si>
  <si>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</si>
  <si>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</si>
  <si>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</si>
  <si>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</si>
  <si>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</si>
  <si>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</si>
  <si>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</si>
  <si>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</si>
  <si>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</si>
  <si>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</si>
  <si>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</si>
  <si>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</si>
  <si>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</si>
  <si>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</si>
  <si>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</si>
  <si>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</si>
  <si>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</si>
  <si>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</si>
  <si>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</si>
  <si>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</si>
  <si>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</si>
  <si>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</si>
  <si>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</si>
  <si>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</si>
  <si>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</si>
  <si>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</si>
  <si>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</si>
  <si>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</si>
  <si>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</si>
  <si>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</si>
  <si>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</si>
  <si>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收益法-出租</t>
  </si>
  <si>
    <r>
      <rPr>
        <sz val="11"/>
        <color indexed="8"/>
        <rFont val="宋体"/>
        <family val="3"/>
        <charset val="134"/>
        <scheme val="minor"/>
      </rPr>
      <t>食堂</t>
    </r>
  </si>
  <si>
    <t>收益法-空置</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</si>
  <si>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</si>
  <si>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</si>
  <si>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</si>
  <si>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</si>
  <si>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</si>
  <si>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</si>
  <si>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</si>
  <si>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</si>
  <si>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</si>
  <si>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</si>
  <si>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</si>
  <si>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</si>
  <si>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</si>
  <si>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</si>
  <si>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</si>
  <si>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</si>
  <si>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</si>
  <si>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</si>
  <si>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</si>
  <si>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</si>
  <si>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</si>
  <si>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</si>
  <si>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</si>
  <si>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</si>
  <si>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</si>
  <si>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</si>
  <si>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</si>
  <si>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</si>
  <si>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</si>
  <si>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</si>
  <si>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</si>
  <si>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</si>
  <si>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</si>
  <si>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</si>
  <si>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</si>
  <si>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</si>
  <si>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</si>
  <si>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</si>
  <si>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</si>
  <si>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</si>
  <si>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</si>
  <si>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</si>
  <si>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</si>
  <si>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</si>
  <si>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</si>
  <si>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</si>
  <si>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</si>
  <si>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</si>
  <si>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</si>
  <si>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</si>
  <si>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</si>
  <si>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</si>
  <si>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</si>
  <si>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</si>
  <si>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</si>
  <si>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</si>
  <si>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</si>
  <si>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</si>
  <si>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</si>
  <si>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</si>
  <si>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</si>
  <si>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</si>
  <si>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</si>
  <si>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</si>
  <si>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</si>
  <si>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</si>
  <si>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</si>
  <si>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</si>
  <si>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</si>
  <si>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</si>
  <si>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</si>
  <si>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</si>
  <si>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</si>
  <si>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</si>
  <si>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</si>
  <si>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</si>
  <si>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</si>
  <si>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</si>
  <si>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</si>
  <si>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</si>
  <si>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</si>
  <si>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</si>
  <si>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</si>
  <si>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</si>
  <si>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</si>
  <si>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</si>
  <si>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</si>
  <si>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</si>
  <si>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</si>
  <si>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</si>
  <si>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</si>
  <si>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</si>
  <si>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</si>
  <si>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</si>
  <si>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</si>
  <si>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</si>
  <si>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</si>
  <si>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</si>
  <si>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</si>
  <si>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</si>
  <si>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</si>
  <si>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</si>
  <si>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</si>
  <si>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</si>
  <si>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</si>
  <si>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</si>
  <si>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</si>
  <si>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</si>
  <si>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</si>
  <si>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</si>
  <si>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</si>
  <si>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</si>
  <si>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</si>
  <si>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</si>
  <si>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</si>
  <si>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</si>
  <si>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</si>
  <si>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</si>
  <si>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</si>
  <si>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</si>
  <si>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</si>
  <si>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</si>
  <si>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</si>
  <si>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</si>
  <si>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</si>
  <si>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</si>
  <si>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</si>
  <si>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</si>
  <si>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</si>
  <si>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</si>
  <si>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</si>
  <si>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</si>
  <si>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</si>
  <si>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</si>
  <si>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</si>
  <si>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</si>
  <si>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</si>
  <si>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</si>
  <si>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</si>
  <si>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</si>
  <si>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</si>
  <si>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</si>
  <si>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</si>
  <si>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</si>
  <si>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</si>
  <si>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</si>
  <si>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</si>
  <si>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</si>
  <si>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</si>
  <si>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</si>
  <si>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</si>
  <si>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</si>
  <si>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</si>
  <si>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</si>
  <si>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</si>
  <si>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</si>
  <si>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</si>
  <si>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</si>
  <si>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</si>
  <si>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</si>
  <si>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</si>
  <si>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</si>
  <si>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</si>
  <si>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</si>
  <si>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</si>
  <si>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</si>
  <si>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</si>
  <si>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</si>
  <si>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</si>
  <si>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</si>
  <si>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</si>
  <si>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</si>
  <si>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</si>
  <si>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</si>
  <si>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</si>
  <si>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</si>
  <si>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</si>
  <si>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</si>
  <si>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</si>
  <si>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</si>
  <si>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</si>
  <si>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</si>
  <si>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</si>
  <si>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</si>
  <si>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</si>
  <si>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</si>
  <si>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</si>
  <si>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</si>
  <si>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</si>
  <si>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</si>
  <si>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</si>
  <si>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</si>
  <si>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</si>
  <si>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</si>
  <si>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</si>
  <si>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</si>
  <si>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</si>
  <si>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</si>
  <si>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</si>
  <si>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</si>
  <si>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</si>
  <si>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</si>
  <si>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</si>
  <si>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</si>
  <si>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</si>
  <si>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</si>
  <si>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</si>
  <si>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</si>
  <si>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</si>
  <si>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</si>
  <si>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</si>
  <si>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</si>
  <si>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</si>
  <si>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</si>
  <si>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</si>
  <si>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</si>
  <si>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</si>
  <si>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</si>
  <si>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</si>
  <si>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</si>
  <si>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</si>
  <si>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</si>
  <si>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</si>
  <si>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</si>
  <si>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</si>
  <si>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</si>
  <si>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</si>
  <si>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</si>
  <si>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</si>
  <si>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</si>
  <si>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</si>
  <si>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</si>
  <si>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</si>
  <si>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</si>
  <si>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</si>
  <si>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</si>
  <si>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</si>
  <si>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</si>
  <si>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</si>
  <si>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</si>
  <si>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</si>
  <si>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</si>
  <si>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</si>
  <si>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</si>
  <si>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</si>
  <si>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</si>
  <si>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</si>
  <si>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</si>
  <si>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</si>
  <si>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</si>
  <si>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</si>
  <si>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</si>
  <si>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</si>
  <si>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</si>
  <si>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</si>
  <si>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部位</t>
  </si>
  <si>
    <t>建筑面积</t>
  </si>
  <si>
    <t>地下车库</t>
  </si>
  <si>
    <t>非机动车库</t>
  </si>
  <si>
    <t>服务管理用房</t>
  </si>
  <si>
    <t>，</t>
  </si>
  <si>
    <t>不分摊</t>
  </si>
  <si>
    <t>餐厅</t>
  </si>
  <si>
    <r>
      <rPr>
        <sz val="11"/>
        <color theme="1"/>
        <rFont val="宋体"/>
        <family val="3"/>
        <charset val="134"/>
        <scheme val="minor"/>
      </rPr>
      <t>208</t>
    </r>
    <r>
      <rPr>
        <sz val="11"/>
        <color theme="1"/>
        <rFont val="宋体"/>
        <family val="3"/>
        <charset val="134"/>
        <scheme val="minor"/>
      </rPr>
      <t>-210</t>
    </r>
  </si>
  <si>
    <t>汽车库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</si>
  <si>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</si>
  <si>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</si>
  <si>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</si>
  <si>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</si>
  <si>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</si>
  <si>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</si>
  <si>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</si>
  <si>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</si>
  <si>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</si>
  <si>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</si>
  <si>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</si>
  <si>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</si>
  <si>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</si>
  <si>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</si>
  <si>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</si>
  <si>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</si>
  <si>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</si>
  <si>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</si>
  <si>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</si>
  <si>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</si>
  <si>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</si>
  <si>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</si>
  <si>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</si>
  <si>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</si>
  <si>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</si>
  <si>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</si>
  <si>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</si>
  <si>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</si>
  <si>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</si>
  <si>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</si>
  <si>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</si>
  <si>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</si>
  <si>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</si>
  <si>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</si>
  <si>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</si>
  <si>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</si>
  <si>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</si>
  <si>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</si>
  <si>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</si>
  <si>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</si>
  <si>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</si>
  <si>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</si>
  <si>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</si>
  <si>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出租部分</t>
  </si>
  <si>
    <t>空置部分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</si>
  <si>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</si>
  <si>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</si>
  <si>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</si>
  <si>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</si>
  <si>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</si>
  <si>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</si>
  <si>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</si>
  <si>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</si>
  <si>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</si>
  <si>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</si>
  <si>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</si>
  <si>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</si>
  <si>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</si>
  <si>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</si>
  <si>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</si>
  <si>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</si>
  <si>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</si>
  <si>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</si>
  <si>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</si>
  <si>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</si>
  <si>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</si>
  <si>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</si>
  <si>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</si>
  <si>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</si>
  <si>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</si>
  <si>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</si>
  <si>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</si>
  <si>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</si>
  <si>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</si>
  <si>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</si>
  <si>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</si>
  <si>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</si>
  <si>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</si>
  <si>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</si>
  <si>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</si>
  <si>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</si>
  <si>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</si>
  <si>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</si>
  <si>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</si>
  <si>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</si>
  <si>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</si>
  <si>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</si>
  <si>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</si>
  <si>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</si>
  <si>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</si>
  <si>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</si>
  <si>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</si>
  <si>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</si>
  <si>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</si>
  <si>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</si>
  <si>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</si>
  <si>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</si>
  <si>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</si>
  <si>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</si>
  <si>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</si>
  <si>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</si>
  <si>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</si>
  <si>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</si>
  <si>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</si>
  <si>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</si>
  <si>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</si>
  <si>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</si>
  <si>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</si>
  <si>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</si>
  <si>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</si>
  <si>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</si>
  <si>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</si>
  <si>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</si>
  <si>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</si>
  <si>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</si>
  <si>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</si>
  <si>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</si>
  <si>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</si>
  <si>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</si>
  <si>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</si>
  <si>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</si>
  <si>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</si>
  <si>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</si>
  <si>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</si>
  <si>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</si>
  <si>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</si>
  <si>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</si>
  <si>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</si>
  <si>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</si>
  <si>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</si>
  <si>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</si>
  <si>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</si>
  <si>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</si>
  <si>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</si>
  <si>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</si>
  <si>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</si>
  <si>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</si>
  <si>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</si>
  <si>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</si>
  <si>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</si>
  <si>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</si>
  <si>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</si>
  <si>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</si>
  <si>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</si>
  <si>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</si>
  <si>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</si>
  <si>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</si>
  <si>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</si>
  <si>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</si>
  <si>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</si>
  <si>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</si>
  <si>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</si>
  <si>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</si>
  <si>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</si>
  <si>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</si>
  <si>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</si>
  <si>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</si>
  <si>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</si>
  <si>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</si>
  <si>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</si>
  <si>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</si>
  <si>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</si>
  <si>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</si>
  <si>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</si>
  <si>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</si>
  <si>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</si>
  <si>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</si>
  <si>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</si>
  <si>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</si>
  <si>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</si>
  <si>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</si>
  <si>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</si>
  <si>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</si>
  <si>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</si>
  <si>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</si>
  <si>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</si>
  <si>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</si>
  <si>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</si>
  <si>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</si>
  <si>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</si>
  <si>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</si>
  <si>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</si>
  <si>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</si>
  <si>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</si>
  <si>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</si>
  <si>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</si>
  <si>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</si>
  <si>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</si>
  <si>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</si>
  <si>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</si>
  <si>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</si>
  <si>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</si>
  <si>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</si>
  <si>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</si>
  <si>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</si>
  <si>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</si>
  <si>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</si>
  <si>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</si>
  <si>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</si>
  <si>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</si>
  <si>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</si>
  <si>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</si>
  <si>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</si>
  <si>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</si>
  <si>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</si>
  <si>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</si>
  <si>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</si>
  <si>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</si>
  <si>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</si>
  <si>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</si>
  <si>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</si>
  <si>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</si>
  <si>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</si>
  <si>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</si>
  <si>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</si>
  <si>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</si>
  <si>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</si>
  <si>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</si>
  <si>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</si>
  <si>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</si>
  <si>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</si>
  <si>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</si>
  <si>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</si>
  <si>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</si>
  <si>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</si>
  <si>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</si>
  <si>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</si>
  <si>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</si>
  <si>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</si>
  <si>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</si>
  <si>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</si>
  <si>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</si>
  <si>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</si>
  <si>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</si>
  <si>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</si>
  <si>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</si>
  <si>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</si>
  <si>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</si>
  <si>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</si>
  <si>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</si>
  <si>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</si>
  <si>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</si>
  <si>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</si>
  <si>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</si>
  <si>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</si>
  <si>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</si>
  <si>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</si>
  <si>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</si>
  <si>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</si>
  <si>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</si>
  <si>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</si>
  <si>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</si>
  <si>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</si>
  <si>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</si>
  <si>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</si>
  <si>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</si>
  <si>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</si>
  <si>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</si>
  <si>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</si>
  <si>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</si>
  <si>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</si>
  <si>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</si>
  <si>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</si>
  <si>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</si>
  <si>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</si>
  <si>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</si>
  <si>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</si>
  <si>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</si>
  <si>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</si>
  <si>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</si>
  <si>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</si>
  <si>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</si>
  <si>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</si>
  <si>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</si>
  <si>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</si>
  <si>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</si>
  <si>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</si>
  <si>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</si>
  <si>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</si>
  <si>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</si>
  <si>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</si>
  <si>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</si>
  <si>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</si>
  <si>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</si>
  <si>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</si>
  <si>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</si>
  <si>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</si>
  <si>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</si>
  <si>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</si>
  <si>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</si>
  <si>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</si>
  <si>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</si>
  <si>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</si>
  <si>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</si>
  <si>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</si>
  <si>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</si>
  <si>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</si>
  <si>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</si>
  <si>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</si>
  <si>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</si>
  <si>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</si>
  <si>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</si>
  <si>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</si>
  <si>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</si>
  <si>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</si>
  <si>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</si>
  <si>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</si>
  <si>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</si>
  <si>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</si>
  <si>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</si>
  <si>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</si>
  <si>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</si>
  <si>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</si>
  <si>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</si>
  <si>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</si>
  <si>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</si>
  <si>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</si>
  <si>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</si>
  <si>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</si>
  <si>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</si>
  <si>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</si>
  <si>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</si>
  <si>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</si>
  <si>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</si>
  <si>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</si>
  <si>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</si>
  <si>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</si>
  <si>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</si>
  <si>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</si>
  <si>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</si>
  <si>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</si>
  <si>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</si>
  <si>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</si>
  <si>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</si>
  <si>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</si>
  <si>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</si>
  <si>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</si>
  <si>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</si>
  <si>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</si>
  <si>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</si>
  <si>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</si>
  <si>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</si>
  <si>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</si>
  <si>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</si>
  <si>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</si>
  <si>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</si>
  <si>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</si>
  <si>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</si>
  <si>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</si>
  <si>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</si>
  <si>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</si>
  <si>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</si>
  <si>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</si>
  <si>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</si>
  <si>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</si>
  <si>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</si>
  <si>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</si>
  <si>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</si>
  <si>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</si>
  <si>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</si>
  <si>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</si>
  <si>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</si>
  <si>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</si>
  <si>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</si>
  <si>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</si>
  <si>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</si>
  <si>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</si>
  <si>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</si>
  <si>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</si>
  <si>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</si>
  <si>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</si>
  <si>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</si>
  <si>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</si>
  <si>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</si>
  <si>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</si>
  <si>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</si>
  <si>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</si>
  <si>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</si>
  <si>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</si>
  <si>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</si>
  <si>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</si>
  <si>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</si>
  <si>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</si>
  <si>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</si>
  <si>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</si>
  <si>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</si>
  <si>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</si>
  <si>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</si>
  <si>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</si>
  <si>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</si>
  <si>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</si>
  <si>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</si>
  <si>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</si>
  <si>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</si>
  <si>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</si>
  <si>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</si>
  <si>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</si>
  <si>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</si>
  <si>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</si>
  <si>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</si>
  <si>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</si>
  <si>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</si>
  <si>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</si>
  <si>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</si>
  <si>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</si>
  <si>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</si>
  <si>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</si>
  <si>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</si>
  <si>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</si>
  <si>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</si>
  <si>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</si>
  <si>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</si>
  <si>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</si>
  <si>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</si>
  <si>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</si>
  <si>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</si>
  <si>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</si>
  <si>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</si>
  <si>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</si>
  <si>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</si>
  <si>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</si>
  <si>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</si>
  <si>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</si>
  <si>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</si>
  <si>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</si>
  <si>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</si>
  <si>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</si>
  <si>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</si>
  <si>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</si>
  <si>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</si>
  <si>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</si>
  <si>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</si>
  <si>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</si>
  <si>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</si>
  <si>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</si>
  <si>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</si>
  <si>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</si>
  <si>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</si>
  <si>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</si>
  <si>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</si>
  <si>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</si>
  <si>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</si>
  <si>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</si>
  <si>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</si>
  <si>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</si>
  <si>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</si>
  <si>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</si>
  <si>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</si>
  <si>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</si>
  <si>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</si>
  <si>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</si>
  <si>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</si>
  <si>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</si>
  <si>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</si>
  <si>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</si>
  <si>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</si>
  <si>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</si>
  <si>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</si>
  <si>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</si>
  <si>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</si>
  <si>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</si>
  <si>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</si>
  <si>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</si>
  <si>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</si>
  <si>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</si>
  <si>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</si>
  <si>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</si>
  <si>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</si>
  <si>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</si>
  <si>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</si>
  <si>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</si>
  <si>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</si>
  <si>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</si>
  <si>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</si>
  <si>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</si>
  <si>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</si>
  <si>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</si>
  <si>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</si>
  <si>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</si>
  <si>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</si>
  <si>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</si>
  <si>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</si>
  <si>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</si>
  <si>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</si>
  <si>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</si>
  <si>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</si>
  <si>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</si>
  <si>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</si>
  <si>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</si>
  <si>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</si>
  <si>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</si>
  <si>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</si>
  <si>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</si>
  <si>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</si>
  <si>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</si>
  <si>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</si>
  <si>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</si>
  <si>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</si>
  <si>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</si>
  <si>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</si>
  <si>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</si>
  <si>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</si>
  <si>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</si>
  <si>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</si>
  <si>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</si>
  <si>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</si>
  <si>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</si>
  <si>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</si>
  <si>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</si>
  <si>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</si>
  <si>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</si>
  <si>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</si>
  <si>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</si>
  <si>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</si>
  <si>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</si>
  <si>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</si>
  <si>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</si>
  <si>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</si>
  <si>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</si>
  <si>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</si>
  <si>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</si>
  <si>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</si>
  <si>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</si>
  <si>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</si>
  <si>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</si>
  <si>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</si>
  <si>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</si>
  <si>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</si>
  <si>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</si>
  <si>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</si>
  <si>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</si>
  <si>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</si>
  <si>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</si>
  <si>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</si>
  <si>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</si>
  <si>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</si>
  <si>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</si>
  <si>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</si>
  <si>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</si>
  <si>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</si>
  <si>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</si>
  <si>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</si>
  <si>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</si>
  <si>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</si>
  <si>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</si>
  <si>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</si>
  <si>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</si>
  <si>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</si>
  <si>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</si>
  <si>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</si>
  <si>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</si>
  <si>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</si>
  <si>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</si>
  <si>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</si>
  <si>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</si>
  <si>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</si>
  <si>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</si>
  <si>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</si>
  <si>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</si>
  <si>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</si>
  <si>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</si>
  <si>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</si>
  <si>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</si>
  <si>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</si>
  <si>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</si>
  <si>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</si>
  <si>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</si>
  <si>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</si>
  <si>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</si>
  <si>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</si>
  <si>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</si>
  <si>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</si>
  <si>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</si>
  <si>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</si>
  <si>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</si>
  <si>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</si>
  <si>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</si>
  <si>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</si>
  <si>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</si>
  <si>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</si>
  <si>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</si>
  <si>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</si>
  <si>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</si>
  <si>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</si>
  <si>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</si>
  <si>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</si>
  <si>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</si>
  <si>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</si>
  <si>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</si>
  <si>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</si>
  <si>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</si>
  <si>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</si>
  <si>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</si>
  <si>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</si>
  <si>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</si>
  <si>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</si>
  <si>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</si>
  <si>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</si>
  <si>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</si>
  <si>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</si>
  <si>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</si>
  <si>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</si>
  <si>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</si>
  <si>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</si>
  <si>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</si>
  <si>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</si>
  <si>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</si>
  <si>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</si>
  <si>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</si>
  <si>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</si>
  <si>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</si>
  <si>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</si>
  <si>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</si>
  <si>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</si>
  <si>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</si>
  <si>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</si>
  <si>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</si>
  <si>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</si>
  <si>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</si>
  <si>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</si>
  <si>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</si>
  <si>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</si>
  <si>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</si>
  <si>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</si>
  <si>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</si>
  <si>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</si>
  <si>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</si>
  <si>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</si>
  <si>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</si>
  <si>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</si>
  <si>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</si>
  <si>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</si>
  <si>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</si>
  <si>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</si>
  <si>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</si>
  <si>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</si>
  <si>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</si>
  <si>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</si>
  <si>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</si>
  <si>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</si>
  <si>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</si>
  <si>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</si>
  <si>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</si>
  <si>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</si>
  <si>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</si>
  <si>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</si>
  <si>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</si>
  <si>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</si>
  <si>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</si>
  <si>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</si>
  <si>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</si>
  <si>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</si>
  <si>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</si>
  <si>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</si>
  <si>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</si>
  <si>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</si>
  <si>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</si>
  <si>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</si>
  <si>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</si>
  <si>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</si>
  <si>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</si>
  <si>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</si>
  <si>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</si>
  <si>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</si>
  <si>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</si>
  <si>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</si>
  <si>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</si>
  <si>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</si>
  <si>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</si>
  <si>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</si>
  <si>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</si>
  <si>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</si>
  <si>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</si>
  <si>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</si>
  <si>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</si>
  <si>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</si>
  <si>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</si>
  <si>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</si>
  <si>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</si>
  <si>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</si>
  <si>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</si>
  <si>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</si>
  <si>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</si>
  <si>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</si>
  <si>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</si>
  <si>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</si>
  <si>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</si>
  <si>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</si>
  <si>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</si>
  <si>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</si>
  <si>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</si>
  <si>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</si>
  <si>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</si>
  <si>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</si>
  <si>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</si>
  <si>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</si>
  <si>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</si>
  <si>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</si>
  <si>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</si>
  <si>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</si>
  <si>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</si>
  <si>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</si>
  <si>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</si>
  <si>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</si>
  <si>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</si>
  <si>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</si>
  <si>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</si>
  <si>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</si>
  <si>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</si>
  <si>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</si>
  <si>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</si>
  <si>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</si>
  <si>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</si>
  <si>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</si>
  <si>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</si>
  <si>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</si>
  <si>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</si>
  <si>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</si>
  <si>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</si>
  <si>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</si>
  <si>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</si>
  <si>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</si>
  <si>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</si>
  <si>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</si>
  <si>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</si>
  <si>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</si>
  <si>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</si>
  <si>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</si>
  <si>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</si>
  <si>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</si>
  <si>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</si>
  <si>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</si>
  <si>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</si>
  <si>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</si>
  <si>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</si>
  <si>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</si>
  <si>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</si>
  <si>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</si>
  <si>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</si>
  <si>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</si>
  <si>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</si>
  <si>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</si>
  <si>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</si>
  <si>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</si>
  <si>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</si>
  <si>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</si>
  <si>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</si>
  <si>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</si>
  <si>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</si>
  <si>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</si>
  <si>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</si>
  <si>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</si>
  <si>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</si>
  <si>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</si>
  <si>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</si>
  <si>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</si>
  <si>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</si>
  <si>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</si>
  <si>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</si>
  <si>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</si>
  <si>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</si>
  <si>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</si>
  <si>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</si>
  <si>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</si>
  <si>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</si>
  <si>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</si>
  <si>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</si>
  <si>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</si>
  <si>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</si>
  <si>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</si>
  <si>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</si>
  <si>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</si>
  <si>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</si>
  <si>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</si>
  <si>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</si>
  <si>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</si>
  <si>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</si>
  <si>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</si>
  <si>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</si>
  <si>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</si>
  <si>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</si>
  <si>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</si>
  <si>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</si>
  <si>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</si>
  <si>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</si>
  <si>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</si>
  <si>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</si>
  <si>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</si>
  <si>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</si>
  <si>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</si>
  <si>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</si>
  <si>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</si>
  <si>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</si>
  <si>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</si>
  <si>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</si>
  <si>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</si>
  <si>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</si>
  <si>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</si>
  <si>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</si>
  <si>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</si>
  <si>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</si>
  <si>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</si>
  <si>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</si>
  <si>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</si>
  <si>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</si>
  <si>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</si>
  <si>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</si>
  <si>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</si>
  <si>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</si>
  <si>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</si>
  <si>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</si>
  <si>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</si>
  <si>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</si>
  <si>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</si>
  <si>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</si>
  <si>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</si>
  <si>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</si>
  <si>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</si>
  <si>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</si>
  <si>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</si>
  <si>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</si>
  <si>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</si>
  <si>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</si>
  <si>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</si>
  <si>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</si>
  <si>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</si>
  <si>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</si>
  <si>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</si>
  <si>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</si>
  <si>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</si>
  <si>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</si>
  <si>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</si>
  <si>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</si>
  <si>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</si>
  <si>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</si>
  <si>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</si>
  <si>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</si>
  <si>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</si>
  <si>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</si>
  <si>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</si>
  <si>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</si>
  <si>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</si>
  <si>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</si>
  <si>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</si>
  <si>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</si>
  <si>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</si>
  <si>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</si>
  <si>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</si>
  <si>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</si>
  <si>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</si>
  <si>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</si>
  <si>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</si>
  <si>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</si>
  <si>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</si>
  <si>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</si>
  <si>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</si>
  <si>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</si>
  <si>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</si>
  <si>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</si>
  <si>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</si>
  <si>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</si>
  <si>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</si>
  <si>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</si>
  <si>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</si>
  <si>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</si>
  <si>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</si>
  <si>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</si>
  <si>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</si>
  <si>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</si>
  <si>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</si>
  <si>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</si>
  <si>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</si>
  <si>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</si>
  <si>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</si>
  <si>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</si>
  <si>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</si>
  <si>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</si>
  <si>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</si>
  <si>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</si>
  <si>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</si>
  <si>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</si>
  <si>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</si>
  <si>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</si>
  <si>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</si>
  <si>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</si>
  <si>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</si>
  <si>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</si>
  <si>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</si>
  <si>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</si>
  <si>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</si>
  <si>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</si>
  <si>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</si>
  <si>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</si>
  <si>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</si>
  <si>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</si>
  <si>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</si>
  <si>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</si>
  <si>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</si>
  <si>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</si>
  <si>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</si>
  <si>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</si>
  <si>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</si>
  <si>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</si>
  <si>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</si>
  <si>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</si>
  <si>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</si>
  <si>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</si>
  <si>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</si>
  <si>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</si>
  <si>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</si>
  <si>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</si>
  <si>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</si>
  <si>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</si>
  <si>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</si>
  <si>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</si>
  <si>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</si>
  <si>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</si>
  <si>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</si>
  <si>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</si>
  <si>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</si>
  <si>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</si>
  <si>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</si>
  <si>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</si>
  <si>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</si>
  <si>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</si>
  <si>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</si>
  <si>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</si>
  <si>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</si>
  <si>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</si>
  <si>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</si>
  <si>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</si>
  <si>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</si>
  <si>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</si>
  <si>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</si>
  <si>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</si>
  <si>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</si>
  <si>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</si>
  <si>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</si>
  <si>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</si>
  <si>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</si>
  <si>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</si>
  <si>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</si>
  <si>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</si>
  <si>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</si>
  <si>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</si>
  <si>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</si>
  <si>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</si>
  <si>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</si>
  <si>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</si>
  <si>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</si>
  <si>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</si>
  <si>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</si>
  <si>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</si>
  <si>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</si>
  <si>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</si>
  <si>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</si>
  <si>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</si>
  <si>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</si>
  <si>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</si>
  <si>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</si>
  <si>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</si>
  <si>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</si>
  <si>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</si>
  <si>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</si>
  <si>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</si>
  <si>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</si>
  <si>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</si>
  <si>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</si>
  <si>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</si>
  <si>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</si>
  <si>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</si>
  <si>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</si>
  <si>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</si>
  <si>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</si>
  <si>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</si>
  <si>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</si>
  <si>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</si>
  <si>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</si>
  <si>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</si>
  <si>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</si>
  <si>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</si>
  <si>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</si>
  <si>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</si>
  <si>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</si>
  <si>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</si>
  <si>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</si>
  <si>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</si>
  <si>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</si>
  <si>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</si>
  <si>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</si>
  <si>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</si>
  <si>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</si>
  <si>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</si>
  <si>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</si>
  <si>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</si>
  <si>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</si>
  <si>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</si>
  <si>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</si>
  <si>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</si>
  <si>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</si>
  <si>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</si>
  <si>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</si>
  <si>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</si>
  <si>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</si>
  <si>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</si>
  <si>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</si>
  <si>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</si>
  <si>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</si>
  <si>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</si>
  <si>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</si>
  <si>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</si>
  <si>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</si>
  <si>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family val="2"/>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</si>
  <si>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</si>
  <si>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</si>
  <si>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</si>
  <si>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</si>
  <si>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</si>
  <si>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</si>
  <si>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</si>
  <si>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</si>
  <si>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</si>
  <si>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</si>
  <si>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</si>
  <si>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</si>
  <si>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</si>
  <si>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</si>
  <si>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</si>
  <si>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</si>
  <si>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</si>
  <si>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</si>
  <si>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</si>
  <si>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</si>
  <si>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</si>
  <si>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</si>
  <si>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</si>
  <si>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</si>
  <si>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</si>
  <si>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</si>
  <si>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</si>
  <si>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</si>
  <si>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family val="3"/>
        <charset val="134"/>
      </rPr>
      <t>四层</t>
    </r>
    <r>
      <rPr>
        <sz val="12"/>
        <color theme="1"/>
        <rFont val="Arial Regular"/>
        <family val="2"/>
      </rPr>
      <t>4115</t>
    </r>
    <r>
      <rPr>
        <sz val="12"/>
        <color theme="1"/>
        <rFont val="宋体"/>
        <family val="3"/>
        <charset val="134"/>
      </rPr>
      <t>、</t>
    </r>
    <r>
      <rPr>
        <sz val="12"/>
        <color theme="1"/>
        <rFont val="Arial Regular"/>
        <family val="2"/>
      </rPr>
      <t>4116</t>
    </r>
    <r>
      <rPr>
        <sz val="12"/>
        <color theme="1"/>
        <rFont val="宋体"/>
        <family val="3"/>
        <charset val="134"/>
      </rPr>
      <t>室</t>
    </r>
  </si>
  <si>
    <t>北京市丰台区发展投资有限公司</t>
  </si>
  <si>
    <r>
      <rPr>
        <sz val="12"/>
        <color theme="1"/>
        <rFont val="宋体"/>
        <family val="3"/>
        <charset val="134"/>
      </rPr>
      <t>四层</t>
    </r>
    <r>
      <rPr>
        <sz val="12"/>
        <color theme="1"/>
        <rFont val="Arial Regular"/>
        <family val="2"/>
      </rPr>
      <t>4103</t>
    </r>
    <r>
      <rPr>
        <sz val="12"/>
        <color theme="1"/>
        <rFont val="宋体"/>
        <family val="3"/>
        <charset val="134"/>
      </rPr>
      <t>、</t>
    </r>
    <r>
      <rPr>
        <sz val="12"/>
        <color theme="1"/>
        <rFont val="Arial Regular"/>
        <family val="2"/>
      </rPr>
      <t>4105</t>
    </r>
    <r>
      <rPr>
        <sz val="12"/>
        <color theme="1"/>
        <rFont val="宋体"/>
        <family val="3"/>
        <charset val="134"/>
      </rPr>
      <t>、</t>
    </r>
    <r>
      <rPr>
        <sz val="12"/>
        <color theme="1"/>
        <rFont val="Arial Regular"/>
        <family val="2"/>
      </rPr>
      <t>4117</t>
    </r>
    <r>
      <rPr>
        <sz val="12"/>
        <color theme="1"/>
        <rFont val="宋体"/>
        <family val="3"/>
        <charset val="134"/>
      </rPr>
      <t>、</t>
    </r>
    <r>
      <rPr>
        <sz val="12"/>
        <color theme="1"/>
        <rFont val="Arial Regular"/>
        <family val="2"/>
      </rPr>
      <t>4118</t>
    </r>
    <r>
      <rPr>
        <sz val="12"/>
        <color theme="1"/>
        <rFont val="宋体"/>
        <family val="3"/>
        <charset val="134"/>
      </rPr>
      <t>、</t>
    </r>
    <r>
      <rPr>
        <sz val="12"/>
        <color theme="1"/>
        <rFont val="Arial Regular"/>
        <family val="2"/>
      </rPr>
      <t>4119</t>
    </r>
    <r>
      <rPr>
        <sz val="12"/>
        <color theme="1"/>
        <rFont val="宋体"/>
        <family val="3"/>
        <charset val="134"/>
      </rPr>
      <t>、</t>
    </r>
    <r>
      <rPr>
        <sz val="12"/>
        <color theme="1"/>
        <rFont val="Arial Regular"/>
        <family val="2"/>
      </rPr>
      <t>4120</t>
    </r>
    <r>
      <rPr>
        <sz val="12"/>
        <color theme="1"/>
        <rFont val="宋体"/>
        <family val="3"/>
        <charset val="134"/>
      </rPr>
      <t>、</t>
    </r>
    <r>
      <rPr>
        <sz val="12"/>
        <color theme="1"/>
        <rFont val="Arial Regular"/>
        <family val="2"/>
      </rPr>
      <t>4122</t>
    </r>
    <r>
      <rPr>
        <sz val="12"/>
        <color theme="1"/>
        <rFont val="宋体"/>
        <family val="3"/>
        <charset val="134"/>
      </rPr>
      <t>、</t>
    </r>
    <r>
      <rPr>
        <sz val="12"/>
        <color theme="1"/>
        <rFont val="Arial Regular"/>
        <family val="2"/>
      </rPr>
      <t>4125</t>
    </r>
    <r>
      <rPr>
        <sz val="12"/>
        <color theme="1"/>
        <rFont val="宋体"/>
        <family val="3"/>
        <charset val="134"/>
      </rPr>
      <t>、</t>
    </r>
    <r>
      <rPr>
        <sz val="12"/>
        <color theme="1"/>
        <rFont val="Arial Regular"/>
        <family val="2"/>
      </rPr>
      <t>4126</t>
    </r>
    <r>
      <rPr>
        <sz val="12"/>
        <color theme="1"/>
        <rFont val="宋体"/>
        <family val="3"/>
        <charset val="134"/>
      </rPr>
      <t>、融合会议室、演说家会议室</t>
    </r>
  </si>
  <si>
    <t>北京中电建科技发展集团有限责任公司</t>
  </si>
  <si>
    <r>
      <rPr>
        <sz val="12"/>
        <color theme="1"/>
        <rFont val="宋体"/>
        <family val="3"/>
        <charset val="134"/>
      </rPr>
      <t>四层</t>
    </r>
    <r>
      <rPr>
        <sz val="12"/>
        <color theme="1"/>
        <rFont val="Arial Regular"/>
        <family val="2"/>
      </rPr>
      <t>4101</t>
    </r>
    <r>
      <rPr>
        <sz val="12"/>
        <color theme="1"/>
        <rFont val="宋体"/>
        <family val="3"/>
        <charset val="134"/>
      </rPr>
      <t>室</t>
    </r>
  </si>
  <si>
    <t>北京京渝吉盛机械有限公司</t>
  </si>
  <si>
    <t>/</t>
  </si>
  <si>
    <r>
      <rPr>
        <sz val="12"/>
        <color theme="1"/>
        <rFont val="宋体"/>
        <family val="3"/>
        <charset val="134"/>
      </rPr>
      <t>四层</t>
    </r>
    <r>
      <rPr>
        <sz val="12"/>
        <color theme="1"/>
        <rFont val="Arial Regular"/>
        <family val="2"/>
      </rPr>
      <t>4034</t>
    </r>
    <r>
      <rPr>
        <sz val="12"/>
        <color theme="1"/>
        <rFont val="宋体"/>
        <family val="3"/>
        <charset val="134"/>
      </rPr>
      <t>室</t>
    </r>
  </si>
  <si>
    <r>
      <rPr>
        <sz val="12"/>
        <color theme="1"/>
        <rFont val="宋体"/>
        <family val="3"/>
        <charset val="134"/>
      </rPr>
      <t>四层</t>
    </r>
    <r>
      <rPr>
        <sz val="12"/>
        <color theme="1"/>
        <rFont val="Arial Regular"/>
        <family val="2"/>
      </rPr>
      <t>4123</t>
    </r>
    <r>
      <rPr>
        <sz val="12"/>
        <color theme="1"/>
        <rFont val="宋体"/>
        <family val="3"/>
        <charset val="134"/>
      </rPr>
      <t>、</t>
    </r>
    <r>
      <rPr>
        <sz val="12"/>
        <color theme="1"/>
        <rFont val="Arial Regular"/>
        <family val="2"/>
      </rPr>
      <t>4128</t>
    </r>
    <r>
      <rPr>
        <sz val="12"/>
        <color theme="1"/>
        <rFont val="宋体"/>
        <family val="3"/>
        <charset val="134"/>
      </rPr>
      <t>室</t>
    </r>
  </si>
  <si>
    <t>中科华苑有限公司</t>
  </si>
  <si>
    <r>
      <rPr>
        <sz val="12"/>
        <color theme="1"/>
        <rFont val="宋体"/>
        <family val="3"/>
        <charset val="134"/>
      </rPr>
      <t>十五层</t>
    </r>
    <r>
      <rPr>
        <sz val="12"/>
        <color theme="1"/>
        <rFont val="SimSun"/>
        <charset val="134"/>
      </rPr>
      <t>1518</t>
    </r>
    <r>
      <rPr>
        <sz val="12"/>
        <color theme="1"/>
        <rFont val="宋体"/>
        <family val="3"/>
        <charset val="134"/>
      </rPr>
      <t>室</t>
    </r>
  </si>
  <si>
    <t>中瑞天明（北京）建筑有限公司</t>
  </si>
  <si>
    <t>十五层1517室</t>
  </si>
  <si>
    <t>快印猫（北京）网络科技有限公司</t>
  </si>
  <si>
    <r>
      <rPr>
        <sz val="12"/>
        <color theme="1"/>
        <rFont val="宋体"/>
        <family val="3"/>
        <charset val="134"/>
      </rPr>
      <t>十五层</t>
    </r>
    <r>
      <rPr>
        <sz val="12"/>
        <color theme="1"/>
        <rFont val="SimSun"/>
        <charset val="134"/>
      </rPr>
      <t>1516</t>
    </r>
    <r>
      <rPr>
        <sz val="12"/>
        <color theme="1"/>
        <rFont val="宋体"/>
        <family val="3"/>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</si>
  <si>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</si>
  <si>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</si>
  <si>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</si>
  <si>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</si>
  <si>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</si>
  <si>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</si>
  <si>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</si>
  <si>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</si>
  <si>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</si>
  <si>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</si>
  <si>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</si>
  <si>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</si>
  <si>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</si>
  <si>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</si>
  <si>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</si>
  <si>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</si>
  <si>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</si>
  <si>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</si>
  <si>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</si>
  <si>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</si>
  <si>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</si>
  <si>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</si>
  <si>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</si>
  <si>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</si>
  <si>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</si>
  <si>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</si>
  <si>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</si>
  <si>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</si>
  <si>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</si>
  <si>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</si>
  <si>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</si>
  <si>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</si>
  <si>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</si>
  <si>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</si>
  <si>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</si>
  <si>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</si>
  <si>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</si>
  <si>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</si>
  <si>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</si>
  <si>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</si>
  <si>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</si>
  <si>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</si>
  <si>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</si>
  <si>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</si>
  <si>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</si>
  <si>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</si>
  <si>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</si>
  <si>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</si>
  <si>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</si>
  <si>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</si>
  <si>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</si>
  <si>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</si>
  <si>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</si>
  <si>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</si>
  <si>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</si>
  <si>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</si>
  <si>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</si>
  <si>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</si>
  <si>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</si>
  <si>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</si>
  <si>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</si>
  <si>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</si>
  <si>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</si>
  <si>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</si>
  <si>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</si>
  <si>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</si>
  <si>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</si>
  <si>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</si>
  <si>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</si>
  <si>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</si>
  <si>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</si>
  <si>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</si>
  <si>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</si>
  <si>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</si>
  <si>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</si>
  <si>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</si>
  <si>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</si>
  <si>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</si>
  <si>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</si>
  <si>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</si>
  <si>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</si>
  <si>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</si>
  <si>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</si>
  <si>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</si>
  <si>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</si>
  <si>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</si>
  <si>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</si>
  <si>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</si>
  <si>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</si>
  <si>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</si>
  <si>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</si>
  <si>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</si>
  <si>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</si>
  <si>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</si>
  <si>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</si>
  <si>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</si>
  <si>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</si>
  <si>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</si>
  <si>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</si>
  <si>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</si>
  <si>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</si>
  <si>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</si>
  <si>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</si>
  <si>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</si>
  <si>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</si>
  <si>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</si>
  <si>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</si>
  <si>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</si>
  <si>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</si>
  <si>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</si>
  <si>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</si>
  <si>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</si>
  <si>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</si>
  <si>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</si>
  <si>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</si>
  <si>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</si>
  <si>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</si>
  <si>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</si>
  <si>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</si>
  <si>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</si>
  <si>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</si>
  <si>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</si>
  <si>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</si>
  <si>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</si>
  <si>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</si>
  <si>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</si>
  <si>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</si>
  <si>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</si>
  <si>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</si>
  <si>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</si>
  <si>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</si>
  <si>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</si>
  <si>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</si>
  <si>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</si>
  <si>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</si>
  <si>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</si>
  <si>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</si>
  <si>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</si>
  <si>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</si>
  <si>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</si>
  <si>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</si>
  <si>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</si>
  <si>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</si>
  <si>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</si>
  <si>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</si>
  <si>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</si>
  <si>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</si>
  <si>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</si>
  <si>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</si>
  <si>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</si>
  <si>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</si>
  <si>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</si>
  <si>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</si>
  <si>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</si>
  <si>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</si>
  <si>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</si>
  <si>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</si>
  <si>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</si>
  <si>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</si>
  <si>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</si>
  <si>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</si>
  <si>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</si>
  <si>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</si>
  <si>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</si>
  <si>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</si>
  <si>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</si>
  <si>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</si>
  <si>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</si>
  <si>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</si>
  <si>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</si>
  <si>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</si>
  <si>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</si>
  <si>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</si>
  <si>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</si>
  <si>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</si>
  <si>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</si>
  <si>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</si>
  <si>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</si>
  <si>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</si>
  <si>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</si>
  <si>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</si>
  <si>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</si>
  <si>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</si>
  <si>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</si>
  <si>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</si>
  <si>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</si>
  <si>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</si>
  <si>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</si>
  <si>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</si>
  <si>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</si>
  <si>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</si>
  <si>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</si>
  <si>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</si>
  <si>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</si>
  <si>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</si>
  <si>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</si>
  <si>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</si>
  <si>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</si>
  <si>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</si>
  <si>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</si>
  <si>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</si>
  <si>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</si>
  <si>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</si>
  <si>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</si>
  <si>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</si>
  <si>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</si>
  <si>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</si>
  <si>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</si>
  <si>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</si>
  <si>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</si>
  <si>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</si>
  <si>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</si>
  <si>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</si>
  <si>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</si>
  <si>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</si>
  <si>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</si>
  <si>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</si>
  <si>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</si>
  <si>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</si>
  <si>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</si>
  <si>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</si>
  <si>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</si>
  <si>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</si>
  <si>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</si>
  <si>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</si>
  <si>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</si>
  <si>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</si>
  <si>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</si>
  <si>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</si>
  <si>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</si>
  <si>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</si>
  <si>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</si>
  <si>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</si>
  <si>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</si>
  <si>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</si>
  <si>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</si>
  <si>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</si>
  <si>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</si>
  <si>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</si>
  <si>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</si>
  <si>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</si>
  <si>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</si>
  <si>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</si>
  <si>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</si>
  <si>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</si>
  <si>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</si>
  <si>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</si>
  <si>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</si>
  <si>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</si>
  <si>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</si>
  <si>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</si>
  <si>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</si>
  <si>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</si>
  <si>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</si>
  <si>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</si>
  <si>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</si>
  <si>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</si>
  <si>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</si>
  <si>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</si>
  <si>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</si>
  <si>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</si>
  <si>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</si>
  <si>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</si>
  <si>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</si>
  <si>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</si>
  <si>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</si>
  <si>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</si>
  <si>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</si>
  <si>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</si>
  <si>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</si>
  <si>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</si>
  <si>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</si>
  <si>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</si>
  <si>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</si>
  <si>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</si>
  <si>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</si>
  <si>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</si>
  <si>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</si>
  <si>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</si>
  <si>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</si>
  <si>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</si>
  <si>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</si>
  <si>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</si>
  <si>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</si>
  <si>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</si>
  <si>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</si>
  <si>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</si>
  <si>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</si>
  <si>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</si>
  <si>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</si>
  <si>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</si>
  <si>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</si>
  <si>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</si>
  <si>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</si>
  <si>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</si>
  <si>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</si>
  <si>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</si>
  <si>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</si>
  <si>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</si>
  <si>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</si>
  <si>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</si>
  <si>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</si>
  <si>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</si>
  <si>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</si>
  <si>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</si>
  <si>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</si>
  <si>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</si>
  <si>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</si>
  <si>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</si>
  <si>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</si>
  <si>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</si>
  <si>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</si>
  <si>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</si>
  <si>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</si>
  <si>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</si>
  <si>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</si>
  <si>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</si>
  <si>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</si>
  <si>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</si>
  <si>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</si>
  <si>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</si>
  <si>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</si>
  <si>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</si>
  <si>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</si>
  <si>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</si>
  <si>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</si>
  <si>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</si>
  <si>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</si>
  <si>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</si>
  <si>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</si>
  <si>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</si>
  <si>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</si>
  <si>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</si>
  <si>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</si>
  <si>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</si>
  <si>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</si>
  <si>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</si>
  <si>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</si>
  <si>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</si>
  <si>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</si>
  <si>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</si>
  <si>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</si>
  <si>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</si>
  <si>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</si>
  <si>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</si>
  <si>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</si>
  <si>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</si>
  <si>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</si>
  <si>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</si>
  <si>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</si>
  <si>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</si>
  <si>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</si>
  <si>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</si>
  <si>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</si>
  <si>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</si>
  <si>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</si>
  <si>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</si>
  <si>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</si>
  <si>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</si>
  <si>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</si>
  <si>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</si>
  <si>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</si>
  <si>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</si>
  <si>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</si>
  <si>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</si>
  <si>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</si>
  <si>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</si>
  <si>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</si>
  <si>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</si>
  <si>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</si>
  <si>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</si>
  <si>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</si>
  <si>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</si>
  <si>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</si>
  <si>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</si>
  <si>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</si>
  <si>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</si>
  <si>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</si>
  <si>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</si>
  <si>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</si>
  <si>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</si>
  <si>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</si>
  <si>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</si>
  <si>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</si>
  <si>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</si>
  <si>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</si>
  <si>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</si>
  <si>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</si>
  <si>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</si>
  <si>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</si>
  <si>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</si>
  <si>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</si>
  <si>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</si>
  <si>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</si>
  <si>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</si>
  <si>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</si>
  <si>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</si>
  <si>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</si>
  <si>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</si>
  <si>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</si>
  <si>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</si>
  <si>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</si>
  <si>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</si>
  <si>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</si>
  <si>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</si>
  <si>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</si>
  <si>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</si>
  <si>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</si>
  <si>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</si>
  <si>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</si>
  <si>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</si>
  <si>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</si>
  <si>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</si>
  <si>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</si>
  <si>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</si>
  <si>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</si>
  <si>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</si>
  <si>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</si>
  <si>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</si>
  <si>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</si>
  <si>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</si>
  <si>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</si>
  <si>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</si>
  <si>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</si>
  <si>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</si>
  <si>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</si>
  <si>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</si>
  <si>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</si>
  <si>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</si>
  <si>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</si>
  <si>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</si>
  <si>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</si>
  <si>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</si>
  <si>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</si>
  <si>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</si>
  <si>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</si>
  <si>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</si>
  <si>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</si>
  <si>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</si>
  <si>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</si>
  <si>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</si>
  <si>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</si>
  <si>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</si>
  <si>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</si>
  <si>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</si>
  <si>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</si>
  <si>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</si>
  <si>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</si>
  <si>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</si>
  <si>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</si>
  <si>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</si>
  <si>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</si>
  <si>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</si>
  <si>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</si>
  <si>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</si>
  <si>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</si>
  <si>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</si>
  <si>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</si>
  <si>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</si>
  <si>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</si>
  <si>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</si>
  <si>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</si>
  <si>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</si>
  <si>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</si>
  <si>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</si>
  <si>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</si>
  <si>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</si>
  <si>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</si>
  <si>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</si>
  <si>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</si>
  <si>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</si>
  <si>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</si>
  <si>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</si>
  <si>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</si>
  <si>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</si>
  <si>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</si>
  <si>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</si>
  <si>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</si>
  <si>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</si>
  <si>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</si>
  <si>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</si>
  <si>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</si>
  <si>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</si>
  <si>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</si>
  <si>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</si>
  <si>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</si>
  <si>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</si>
  <si>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</si>
  <si>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</si>
  <si>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</si>
  <si>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</si>
  <si>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</si>
  <si>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</si>
  <si>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</si>
  <si>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</si>
  <si>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</si>
  <si>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</si>
  <si>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</si>
  <si>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</si>
  <si>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</si>
  <si>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</si>
  <si>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</si>
  <si>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</si>
  <si>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</si>
  <si>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</si>
  <si>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</si>
  <si>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</si>
  <si>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</si>
  <si>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</si>
  <si>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</si>
  <si>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</si>
  <si>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</si>
  <si>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</si>
  <si>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</si>
  <si>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</si>
  <si>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</si>
  <si>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</si>
  <si>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</si>
  <si>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</si>
  <si>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</si>
  <si>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</si>
  <si>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</si>
  <si>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</si>
  <si>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</si>
  <si>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</si>
  <si>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</si>
  <si>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</si>
  <si>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</si>
  <si>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</si>
  <si>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</si>
  <si>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</si>
  <si>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</si>
  <si>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</si>
  <si>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</si>
  <si>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</si>
  <si>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</si>
  <si>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</si>
  <si>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</si>
  <si>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</si>
  <si>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</si>
  <si>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</si>
  <si>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</si>
  <si>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</si>
  <si>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</si>
  <si>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</si>
  <si>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</si>
  <si>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</si>
  <si>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</si>
  <si>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</si>
  <si>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</si>
  <si>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</si>
  <si>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</si>
  <si>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</si>
  <si>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</si>
  <si>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</si>
  <si>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</si>
  <si>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</si>
  <si>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</si>
  <si>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</si>
  <si>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</si>
  <si>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</si>
  <si>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</si>
  <si>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</si>
  <si>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</si>
  <si>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</si>
  <si>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</si>
  <si>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</si>
  <si>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</si>
  <si>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</si>
  <si>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</si>
  <si>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</si>
  <si>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</si>
  <si>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</si>
  <si>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</si>
  <si>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</si>
  <si>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</si>
  <si>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</si>
  <si>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</si>
  <si>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</si>
  <si>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</si>
  <si>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</si>
  <si>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</si>
  <si>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</si>
  <si>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</si>
  <si>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</si>
  <si>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</si>
  <si>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</si>
  <si>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</si>
  <si>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</si>
  <si>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</si>
  <si>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</si>
  <si>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</si>
  <si>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</si>
  <si>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</si>
  <si>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</si>
  <si>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</si>
  <si>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</si>
  <si>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</si>
  <si>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</si>
  <si>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</si>
  <si>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</si>
  <si>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</si>
  <si>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</si>
  <si>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</si>
  <si>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</si>
  <si>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</si>
  <si>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</si>
  <si>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</si>
  <si>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</si>
  <si>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</si>
  <si>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</si>
  <si>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</si>
  <si>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</si>
  <si>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</si>
  <si>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</si>
  <si>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</si>
  <si>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</si>
  <si>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</si>
  <si>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</si>
  <si>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</si>
  <si>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</si>
  <si>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</si>
  <si>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</si>
  <si>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</si>
  <si>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</si>
  <si>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</si>
  <si>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</si>
  <si>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</si>
  <si>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</si>
  <si>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</si>
  <si>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</si>
  <si>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</si>
  <si>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</si>
  <si>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</si>
  <si>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</si>
  <si>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</si>
  <si>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</si>
  <si>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</si>
  <si>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</si>
  <si>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</si>
  <si>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</si>
  <si>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</si>
  <si>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</si>
  <si>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</si>
  <si>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</si>
  <si>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</si>
  <si>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</si>
  <si>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</si>
  <si>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</si>
  <si>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</si>
  <si>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</si>
  <si>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</si>
  <si>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</si>
  <si>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</si>
  <si>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</si>
  <si>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</si>
  <si>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</si>
  <si>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</si>
  <si>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</si>
  <si>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</si>
  <si>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</si>
  <si>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</si>
  <si>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</si>
  <si>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</si>
  <si>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</si>
  <si>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</si>
  <si>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</si>
  <si>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</si>
  <si>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</si>
  <si>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</si>
  <si>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</si>
  <si>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</si>
  <si>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</si>
  <si>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</si>
  <si>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</si>
  <si>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</si>
  <si>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</si>
  <si>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</si>
  <si>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</si>
  <si>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</si>
  <si>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</si>
  <si>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</si>
  <si>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</si>
  <si>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</si>
  <si>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</si>
  <si>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</si>
  <si>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</si>
  <si>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</si>
  <si>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</si>
  <si>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</si>
  <si>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</si>
  <si>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</si>
  <si>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</si>
  <si>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</si>
  <si>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</si>
  <si>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</si>
  <si>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</si>
  <si>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</si>
  <si>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</si>
  <si>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</si>
  <si>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</si>
  <si>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</si>
  <si>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</si>
  <si>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</si>
  <si>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</si>
  <si>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</si>
  <si>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</si>
  <si>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</si>
  <si>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</si>
  <si>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</si>
  <si>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</si>
  <si>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</si>
  <si>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</si>
  <si>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</si>
  <si>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</si>
  <si>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</si>
  <si>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</si>
  <si>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</si>
  <si>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</si>
  <si>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</si>
  <si>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</si>
  <si>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</si>
  <si>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</si>
  <si>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</si>
  <si>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</si>
  <si>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</si>
  <si>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</si>
  <si>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</si>
  <si>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</si>
  <si>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</si>
  <si>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</si>
  <si>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</si>
  <si>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</si>
  <si>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</si>
  <si>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</si>
  <si>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</si>
  <si>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</si>
  <si>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</si>
  <si>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</si>
  <si>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</si>
  <si>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</si>
  <si>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</si>
  <si>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</si>
  <si>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</si>
  <si>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</si>
  <si>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</si>
  <si>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</si>
  <si>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</si>
  <si>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</si>
  <si>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</si>
  <si>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</si>
  <si>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</si>
  <si>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</si>
  <si>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</si>
  <si>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</si>
  <si>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</si>
  <si>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</si>
  <si>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</si>
  <si>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</si>
  <si>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</si>
  <si>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</si>
  <si>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</si>
  <si>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</si>
  <si>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</si>
  <si>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</si>
  <si>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</si>
  <si>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</si>
  <si>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</si>
  <si>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</si>
  <si>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</si>
  <si>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</si>
  <si>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</si>
  <si>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</si>
  <si>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</si>
  <si>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</si>
  <si>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</si>
  <si>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</si>
  <si>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</si>
  <si>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</si>
  <si>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</si>
  <si>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</si>
  <si>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</si>
  <si>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</si>
  <si>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</si>
  <si>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</si>
  <si>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</si>
  <si>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</si>
  <si>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</si>
  <si>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</si>
  <si>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</si>
  <si>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</si>
  <si>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</si>
  <si>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</si>
  <si>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</si>
  <si>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</si>
  <si>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</si>
  <si>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</si>
  <si>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</si>
  <si>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</si>
  <si>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</si>
  <si>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</si>
  <si>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</si>
  <si>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</si>
  <si>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</si>
  <si>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</si>
  <si>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</si>
  <si>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</si>
  <si>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</si>
  <si>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</si>
  <si>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</si>
  <si>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</si>
  <si>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</si>
  <si>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</si>
  <si>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</si>
  <si>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</si>
  <si>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</si>
  <si>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</si>
  <si>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</si>
  <si>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</si>
  <si>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</si>
  <si>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</si>
  <si>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</si>
  <si>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</si>
  <si>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</si>
  <si>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</si>
  <si>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</si>
  <si>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</si>
  <si>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</si>
  <si>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</si>
  <si>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</si>
  <si>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</si>
  <si>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</si>
  <si>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</si>
  <si>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</si>
  <si>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</si>
  <si>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</si>
  <si>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</si>
  <si>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</si>
  <si>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</si>
  <si>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</si>
  <si>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</si>
  <si>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</si>
  <si>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</si>
  <si>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</si>
  <si>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</si>
  <si>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</si>
  <si>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</si>
  <si>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</si>
  <si>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</si>
  <si>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</si>
  <si>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</si>
  <si>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</si>
  <si>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</si>
  <si>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</si>
  <si>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</si>
  <si>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</si>
  <si>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</si>
  <si>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</si>
  <si>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</si>
  <si>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</si>
  <si>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</si>
  <si>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</si>
  <si>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</si>
  <si>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</si>
  <si>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</si>
  <si>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</si>
  <si>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</si>
  <si>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</si>
  <si>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</si>
  <si>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</si>
  <si>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</si>
  <si>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</si>
  <si>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</si>
  <si>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</si>
  <si>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</si>
  <si>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</si>
  <si>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</si>
  <si>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</si>
  <si>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</si>
  <si>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</si>
  <si>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</si>
  <si>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</si>
  <si>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</si>
  <si>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</si>
  <si>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</si>
  <si>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</si>
  <si>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</si>
  <si>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</si>
  <si>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</si>
  <si>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</si>
  <si>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</si>
  <si>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</si>
  <si>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</si>
  <si>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</si>
  <si>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</si>
  <si>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</si>
  <si>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</si>
  <si>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</si>
  <si>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</si>
  <si>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</si>
  <si>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</si>
  <si>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</si>
  <si>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</si>
  <si>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</si>
  <si>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</si>
  <si>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</si>
  <si>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</si>
  <si>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</si>
  <si>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</si>
  <si>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</si>
  <si>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</si>
  <si>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</si>
  <si>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</si>
  <si>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</si>
  <si>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</si>
  <si>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</si>
  <si>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</si>
  <si>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</si>
  <si>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</si>
  <si>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</si>
  <si>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</si>
  <si>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</si>
  <si>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</si>
  <si>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</si>
  <si>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</si>
  <si>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</si>
  <si>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</si>
  <si>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</si>
  <si>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</si>
  <si>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</si>
  <si>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</si>
  <si>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</si>
  <si>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</si>
  <si>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</si>
  <si>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</si>
  <si>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</si>
  <si>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</si>
  <si>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</si>
  <si>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</si>
  <si>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</si>
  <si>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</si>
  <si>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</si>
  <si>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</si>
  <si>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</si>
  <si>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</si>
  <si>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</si>
  <si>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</si>
  <si>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</si>
  <si>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</si>
  <si>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</si>
  <si>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</si>
  <si>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</si>
  <si>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</si>
  <si>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</si>
  <si>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</si>
  <si>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</si>
  <si>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</si>
  <si>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</si>
  <si>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</si>
  <si>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</si>
  <si>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</si>
  <si>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</si>
  <si>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</si>
  <si>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</si>
  <si>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</si>
  <si>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</si>
  <si>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</si>
  <si>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</si>
  <si>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</si>
  <si>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</si>
  <si>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</si>
  <si>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</si>
  <si>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</si>
  <si>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</si>
  <si>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</si>
  <si>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</si>
  <si>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</si>
  <si>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</si>
  <si>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</si>
  <si>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</si>
  <si>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</si>
  <si>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</si>
  <si>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</si>
  <si>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</si>
  <si>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</si>
  <si>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</si>
  <si>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</si>
  <si>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</si>
  <si>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</si>
  <si>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</si>
  <si>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</si>
  <si>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</si>
  <si>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</si>
  <si>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</si>
  <si>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</si>
  <si>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</si>
  <si>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</si>
  <si>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</si>
  <si>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</si>
  <si>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</si>
  <si>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</si>
  <si>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</si>
  <si>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</si>
  <si>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</si>
  <si>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</si>
  <si>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</si>
  <si>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</si>
  <si>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</si>
  <si>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</si>
  <si>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</si>
  <si>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</si>
  <si>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</si>
  <si>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</si>
  <si>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</si>
  <si>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</si>
  <si>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</si>
  <si>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</si>
  <si>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</si>
  <si>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</si>
  <si>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</si>
  <si>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</si>
  <si>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</si>
  <si>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</si>
  <si>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</si>
  <si>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</si>
  <si>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</si>
  <si>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</si>
  <si>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</si>
  <si>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</si>
  <si>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</si>
  <si>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</si>
  <si>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</si>
  <si>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</si>
  <si>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</si>
  <si>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</si>
  <si>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</si>
  <si>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</si>
  <si>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</si>
  <si>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</si>
  <si>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</si>
  <si>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</si>
  <si>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</si>
  <si>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</si>
  <si>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</si>
  <si>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</si>
  <si>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</si>
  <si>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</si>
  <si>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</si>
  <si>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</si>
  <si>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</si>
  <si>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</si>
  <si>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</si>
  <si>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</si>
  <si>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</si>
  <si>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</si>
  <si>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</si>
  <si>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</si>
  <si>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</si>
  <si>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</si>
  <si>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</si>
  <si>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</si>
  <si>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</si>
  <si>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</si>
  <si>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</si>
  <si>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</si>
  <si>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</si>
  <si>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</si>
  <si>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</si>
  <si>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</si>
  <si>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</si>
  <si>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</si>
  <si>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</si>
  <si>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</si>
  <si>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</si>
  <si>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</si>
  <si>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</si>
  <si>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</si>
  <si>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</si>
  <si>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</si>
  <si>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</si>
  <si>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</si>
  <si>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</si>
  <si>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</si>
  <si>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</si>
  <si>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</si>
  <si>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</si>
  <si>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</si>
  <si>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</si>
  <si>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</si>
  <si>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</si>
  <si>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</si>
  <si>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</si>
  <si>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</si>
  <si>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</si>
  <si>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</si>
  <si>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</si>
  <si>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</si>
  <si>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</si>
  <si>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</si>
  <si>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</si>
  <si>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</si>
  <si>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</si>
  <si>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</si>
  <si>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</si>
  <si>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</si>
  <si>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</si>
  <si>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</si>
  <si>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</si>
  <si>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</si>
  <si>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</si>
  <si>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</si>
  <si>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</si>
  <si>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</si>
  <si>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</si>
  <si>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</si>
  <si>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</si>
  <si>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</si>
  <si>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</si>
  <si>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</si>
  <si>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</si>
  <si>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</si>
  <si>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</si>
  <si>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</si>
  <si>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</si>
  <si>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</si>
  <si>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</si>
  <si>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</si>
  <si>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</si>
  <si>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</si>
  <si>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</si>
  <si>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</si>
  <si>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</si>
  <si>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</si>
  <si>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</si>
  <si>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</si>
  <si>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</si>
  <si>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</si>
  <si>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</si>
  <si>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</si>
  <si>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</si>
  <si>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</si>
  <si>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</si>
  <si>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</si>
  <si>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</si>
  <si>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</si>
  <si>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</si>
  <si>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</si>
  <si>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</si>
  <si>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</si>
  <si>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</si>
  <si>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</si>
  <si>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</si>
  <si>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</si>
  <si>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</si>
  <si>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</si>
  <si>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</si>
  <si>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</si>
  <si>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</si>
  <si>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</si>
  <si>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</si>
  <si>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</si>
  <si>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</si>
  <si>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</si>
  <si>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</si>
  <si>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</si>
  <si>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</si>
  <si>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</si>
  <si>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</si>
  <si>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</si>
  <si>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</si>
  <si>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</si>
  <si>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</si>
  <si>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</si>
  <si>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</si>
  <si>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</si>
  <si>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</si>
  <si>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</si>
  <si>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</si>
  <si>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</si>
  <si>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</si>
  <si>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</si>
  <si>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</si>
  <si>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</si>
  <si>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</si>
  <si>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</si>
  <si>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</si>
  <si>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</si>
  <si>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</si>
  <si>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</si>
  <si>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</si>
  <si>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</si>
  <si>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</si>
  <si>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</si>
  <si>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</si>
  <si>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</si>
  <si>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</si>
  <si>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</si>
  <si>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</si>
  <si>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</si>
  <si>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</si>
  <si>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</si>
  <si>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</si>
  <si>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</si>
  <si>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</si>
  <si>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</si>
  <si>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</si>
  <si>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</si>
  <si>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</si>
  <si>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</si>
  <si>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</si>
  <si>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</si>
  <si>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</si>
  <si>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</si>
  <si>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</si>
  <si>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</si>
  <si>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</si>
  <si>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</si>
  <si>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</si>
  <si>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</si>
  <si>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</si>
  <si>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</si>
  <si>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</si>
  <si>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</si>
  <si>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</si>
  <si>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</si>
  <si>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</si>
  <si>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</si>
  <si>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</si>
  <si>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</si>
  <si>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</si>
  <si>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</si>
  <si>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</si>
  <si>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</si>
  <si>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</si>
  <si>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</si>
  <si>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</si>
  <si>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</si>
  <si>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</si>
  <si>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</si>
  <si>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</si>
  <si>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</si>
  <si>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</si>
  <si>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</si>
  <si>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</si>
  <si>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</si>
  <si>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</si>
  <si>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</si>
  <si>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</si>
  <si>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</si>
  <si>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合计</t>
    <phoneticPr fontId="230" type="noConversion"/>
  </si>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</sst>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6"/>
      <name val="宋体"/>
      <family val="3"/>
      <charset val="134"/>
      <scheme val="minor"/>
    </font>
    <font>
      <sz val="10"/>
      <name val="宋体"/>
      <family val="3"/>
      <charset val="134"/>
      <scheme val="minor"/>
    </font>
    <font>
      <sz val="11"/>
      <name val="宋体"/>
      <family val="3"/>
      <charset val="134"/>
      <scheme val="minor"/>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rgb="FF000000"/>
      <name val="宋体"/>
      <family val="3"/>
      <charset val="134"/>
    </font>
    <font>
      <b/>
      <sz val="11"/>
      <color indexed="8"/>
      <name val="宋体"/>
      <family val="3"/>
      <charset val="134"/>
    </font>
    <font>
      <sz val="11"/>
      <color theme="9" tint="-0.249977111117893"/>
      <name val="宋体"/>
      <family val="3"/>
      <charset val="134"/>
    </font>
    <font>
      <sz val="12"/>
      <color theme="1"/>
      <name val="宋体"/>
      <family val="3"/>
      <charset val="134"/>
    </font>
    <font>
      <sz val="12"/>
      <color theme="1"/>
      <name val="Arial Regular"/>
      <family val="2"/>
    </font>
    <font>
      <b/>
      <sz val="10"/>
      <color indexed="8"/>
      <name val="宋体"/>
      <family val="3"/>
      <charset val="134"/>
    </font>
    <font>
      <sz val="11"/>
      <color theme="1"/>
      <name val="宋体"/>
      <family val="3"/>
      <charset val="134"/>
    </font>
    <font>
      <sz val="14"/>
      <color theme="1"/>
      <name val="宋体"/>
      <family val="3"/>
      <charset val="134"/>
    </font>
    <font>
      <b/>
      <vertAlign val="subscript"/>
      <sz val="10"/>
      <name val="楷体_GB2312"/>
      <family val="3"/>
      <charset val="134"/>
    </font>
    <font>
      <b/>
      <sz val="10"/>
      <color indexed="10"/>
      <name val="宋体"/>
      <family val="3"/>
      <charset val="134"/>
    </font>
    <font>
      <b/>
      <i/>
      <sz val="14"/>
      <color theme="3" tint="0.39994506668294322"/>
      <name val="宋体"/>
      <family val="3"/>
      <charset val="134"/>
    </font>
    <font>
      <sz val="11"/>
      <name val="宋体"/>
      <family val="3"/>
      <charset val="134"/>
    </font>
    <font>
      <vertAlign val="subscript"/>
      <sz val="10"/>
      <color theme="1"/>
      <name val="Arial"/>
      <family val="2"/>
    </font>
    <font>
      <b/>
      <sz val="16"/>
      <color indexed="10"/>
      <name val="宋体"/>
      <family val="3"/>
      <charset val="134"/>
    </font>
    <font>
      <vertAlign val="subscript"/>
      <sz val="10"/>
      <color indexed="8"/>
      <name val="宋体"/>
      <family val="3"/>
      <charset val="134"/>
    </font>
    <font>
      <sz val="9"/>
      <color indexed="8"/>
      <name val="宋体"/>
      <family val="3"/>
      <charset val="134"/>
    </font>
    <font>
      <sz val="10"/>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4"/>
      <color theme="1"/>
      <name val="宋体"/>
      <family val="3"/>
      <charset val="134"/>
    </font>
    <font>
      <sz val="10"/>
      <color theme="9" tint="-0.249977111117893"/>
      <name val="宋体"/>
      <family val="3"/>
      <charset val="134"/>
    </font>
    <font>
      <sz val="10"/>
      <color rgb="FF707070"/>
      <name val="宋体"/>
      <family val="3"/>
      <charset val="134"/>
    </font>
    <font>
      <b/>
      <sz val="14"/>
      <color rgb="FFFF0000"/>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2"/>
      <color rgb="FF000000"/>
      <name val="宋体"/>
      <family val="3"/>
      <charset val="134"/>
    </font>
    <font>
      <i/>
      <sz val="10"/>
      <name val="楷体_GB2312"/>
      <family val="3"/>
      <charset val="134"/>
    </font>
    <font>
      <i/>
      <sz val="10"/>
      <color indexed="8"/>
      <name val="宋体"/>
      <family val="3"/>
      <charset val="134"/>
    </font>
    <font>
      <b/>
      <i/>
      <sz val="11"/>
      <color theme="3" tint="0.39994506668294322"/>
      <name val="宋体"/>
      <family val="3"/>
      <charset val="134"/>
    </font>
    <font>
      <i/>
      <sz val="10"/>
      <name val="宋体"/>
      <family val="3"/>
      <charset val="134"/>
    </font>
    <font>
      <sz val="10"/>
      <color indexed="8"/>
      <name val="楷体_GB2312"/>
      <family val="3"/>
      <charset val="134"/>
    </font>
    <font>
      <sz val="8"/>
      <color indexed="8"/>
      <name val="宋体"/>
      <family val="3"/>
      <charset val="134"/>
    </font>
    <font>
      <b/>
      <sz val="12"/>
      <color indexed="8"/>
      <name val="宋体"/>
      <family val="3"/>
      <charset val="134"/>
    </font>
    <font>
      <b/>
      <sz val="11"/>
      <color indexed="10"/>
      <name val="宋体"/>
      <family val="3"/>
      <charset val="134"/>
    </font>
    <font>
      <sz val="10"/>
      <color rgb="FFFF0000"/>
      <name val="楷体_GB2312"/>
      <family val="3"/>
      <charset val="134"/>
    </font>
    <font>
      <sz val="11"/>
      <color indexed="53"/>
      <name val="宋体"/>
      <family val="3"/>
      <charset val="134"/>
    </font>
    <font>
      <i/>
      <sz val="11"/>
      <color theme="3" tint="0.39994506668294322"/>
      <name val="宋体"/>
      <family val="3"/>
      <charset val="134"/>
    </font>
    <font>
      <sz val="8"/>
      <color indexed="8"/>
      <name val="仿宋_GB2312"/>
      <family val="3"/>
      <charset val="134"/>
    </font>
    <font>
      <b/>
      <sz val="14"/>
      <color rgb="FF000000"/>
      <name val="宋体"/>
      <family val="3"/>
      <charset val="134"/>
    </font>
    <font>
      <sz val="9"/>
      <color indexed="8"/>
      <name val="仿宋_GB2312"/>
      <family val="3"/>
      <charset val="134"/>
    </font>
    <font>
      <b/>
      <sz val="14"/>
      <color indexed="10"/>
      <name val="宋体"/>
      <family val="3"/>
      <charset val="134"/>
      <scheme val="minor"/>
    </font>
    <font>
      <b/>
      <sz val="11"/>
      <color rgb="FFFF0000"/>
      <name val="宋体"/>
      <family val="3"/>
      <charset val="134"/>
    </font>
    <font>
      <b/>
      <sz val="12"/>
      <color rgb="FF000000"/>
      <name val="宋体"/>
      <family val="3"/>
      <charset val="134"/>
    </font>
    <font>
      <b/>
      <sz val="18"/>
      <color indexed="10"/>
      <name val="΢ȭхڬˎ̥"/>
      <charset val="134"/>
    </font>
    <font>
      <vertAlign val="superscript"/>
      <sz val="10"/>
      <color theme="1"/>
      <name val="宋体"/>
      <family val="3"/>
      <charset val="134"/>
    </font>
    <font>
      <sz val="10"/>
      <color indexed="10"/>
      <name val="宋体"/>
      <family val="3"/>
      <charset val="134"/>
    </font>
    <font>
      <sz val="10"/>
      <color indexed="53"/>
      <name val="宋体"/>
      <family val="3"/>
      <charset val="134"/>
    </font>
    <font>
      <sz val="12"/>
      <color theme="9" tint="-0.249977111117893"/>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i/>
      <sz val="10"/>
      <color rgb="FFFF0000"/>
      <name val="宋体"/>
      <family val="3"/>
      <charset val="134"/>
    </font>
    <font>
      <i/>
      <sz val="14"/>
      <color theme="3" tint="0.39994506668294322"/>
      <name val="宋体"/>
      <family val="3"/>
      <charset val="134"/>
    </font>
    <font>
      <b/>
      <sz val="18"/>
      <color theme="1"/>
      <name val="宋体"/>
      <family val="3"/>
      <charset val="134"/>
    </font>
    <font>
      <vertAlign val="superscript"/>
      <sz val="10"/>
      <color indexed="8"/>
      <name val="Arial"/>
      <family val="2"/>
    </font>
    <font>
      <sz val="14"/>
      <color theme="9" tint="-0.249977111117893"/>
      <name val="宋体"/>
      <family val="3"/>
      <charset val="134"/>
    </font>
    <font>
      <vertAlign val="superscript"/>
      <sz val="10"/>
      <color theme="1"/>
      <name val="Arial"/>
      <family val="2"/>
    </font>
    <font>
      <sz val="12"/>
      <color theme="1"/>
      <name val="SimSun"/>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sz val="11"/>
      <name val="方正书宋_GBK"/>
      <charset val="134"/>
    </font>
    <font>
      <b/>
      <sz val="10"/>
      <color indexed="10"/>
      <name val="楷体_GB2312"/>
      <family val="3"/>
      <charset val="134"/>
    </font>
    <font>
      <b/>
      <sz val="9"/>
      <name val="宋体"/>
      <family val="3"/>
      <charset val="134"/>
    </font>
    <font>
      <sz val="12"/>
      <name val="宋体"/>
      <family val="3"/>
      <charset val="134"/>
      <scheme val="minor"/>
    </font>
    <font>
      <sz val="12"/>
      <name val="仿宋_GB2312"/>
      <family val="3"/>
      <charset val="134"/>
    </font>
    <font>
      <b/>
      <sz val="8"/>
      <name val="宋体"/>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1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6"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97" xfId="10"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7"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8"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72"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5" borderId="13" xfId="5" applyNumberFormat="1" applyFont="1" applyFill="1" applyBorder="1" applyProtection="1">
      <alignment vertical="center"/>
      <protection locked="0"/>
    </xf>
    <xf numFmtId="177" fontId="72" fillId="2" borderId="6" xfId="5"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7" fontId="72"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72" fillId="0" borderId="7" xfId="5"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20"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2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4"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5"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5"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6"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4" xfId="0" applyFont="1" applyFill="1" applyBorder="1">
      <alignment vertical="center"/>
    </xf>
    <xf numFmtId="0" fontId="88" fillId="2" borderId="165"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33" xfId="10" applyFont="1" applyFill="1" applyBorder="1" applyAlignment="1" applyProtection="1">
      <alignment vertical="center"/>
      <protection locked="0"/>
    </xf>
    <xf numFmtId="0" fontId="35" fillId="18"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估价对象为北京市房地产，为所有。根据《国有土地使用证》[]，估价对象（分摊）出让国有建设用地使用权面积为11435.33平方米，建筑面积为50585.8平方米。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估价对象为北京市房地产,为开发建设的，该项目尚在开发建设中。根据《国有土地使用证》[]，估价对象（分摊）出让国有建设用地使用权面积为11435.33平方米，规划建筑面积为50585.8平方米。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2025年11月19日（评估专业人员实地查勘之日）</v>
      </c>
    </row>
    <row r="13" spans="1:2">
      <c r="A13" s="3170" t="s">
        <v>13</v>
      </c>
      <c r="B13" s="3171"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
      </c>
    </row>
    <row r="18" spans="1:2" s="3161" customFormat="1">
      <c r="A18" s="3172" t="s">
        <v>18</v>
      </c>
      <c r="B18" s="3173" t="str">
        <f>'预评函-1'!A24</f>
        <v>本次评估采用的主估价方法为收益法和收益法。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40761</v>
      </c>
    </row>
    <row r="21" spans="1:2">
      <c r="A21" s="3170" t="s">
        <v>21</v>
      </c>
      <c r="B21" s="3171">
        <f ca="1">'预评函-2'!D7</f>
        <v>8058</v>
      </c>
    </row>
    <row r="22" spans="1:2">
      <c r="A22" s="3170" t="s">
        <v>22</v>
      </c>
      <c r="B22" s="3171" t="str">
        <f ca="1">'预评函-2'!D6</f>
        <v>肆亿零柒佰陆拾壹万元整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40761</v>
      </c>
    </row>
    <row r="31" spans="1:2">
      <c r="A31" s="3170" t="s">
        <v>31</v>
      </c>
      <c r="B31" s="3171">
        <f ca="1">'预评函-2'!D15</f>
        <v>8058</v>
      </c>
    </row>
    <row r="32" spans="1:2">
      <c r="A32" s="3170" t="s">
        <v>32</v>
      </c>
      <c r="B32" s="3171" t="str">
        <f ca="1">'预评函-2'!D14</f>
        <v>肆亿零柒佰陆拾壹万元整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50585.8</v>
      </c>
    </row>
    <row r="44" spans="1:2">
      <c r="A44" s="3170" t="s">
        <v>44</v>
      </c>
      <c r="B44" s="3171" t="str">
        <f>'预评函-3'!C2</f>
        <v>(分摊)土地面积</v>
      </c>
    </row>
    <row r="45" spans="1:2">
      <c r="A45" s="3170" t="s">
        <v>45</v>
      </c>
      <c r="B45" s="3171">
        <f>'预评函-3'!C4</f>
        <v>11435.33</v>
      </c>
    </row>
    <row r="46" spans="1:2">
      <c r="A46" s="3170" t="s">
        <v>46</v>
      </c>
      <c r="B46" s="3171" t="str">
        <f>'预评函-3'!D2</f>
        <v>出让国有建设用地使用权价值</v>
      </c>
    </row>
    <row r="47" spans="1:2">
      <c r="A47" s="3170" t="s">
        <v>47</v>
      </c>
      <c r="B47" s="3171">
        <f ca="1">'预评函-3'!D4</f>
        <v>40761</v>
      </c>
    </row>
    <row r="48" spans="1:2">
      <c r="A48" s="3170" t="s">
        <v>48</v>
      </c>
      <c r="B48" s="3171">
        <f ca="1">'预评函-3'!E4</f>
        <v>8058</v>
      </c>
    </row>
    <row r="49" spans="1:2">
      <c r="A49" s="3170" t="s">
        <v>49</v>
      </c>
      <c r="B49" s="3171" t="str">
        <f ca="1">'预评函-3'!D5</f>
        <v>肆亿零柒佰陆拾壹万元整</v>
      </c>
    </row>
    <row r="50" spans="1:2">
      <c r="A50" s="3170" t="s">
        <v>50</v>
      </c>
      <c r="B50" s="3171" t="str">
        <f>'预评函-3'!F2</f>
        <v>在建建筑物价值</v>
      </c>
    </row>
    <row r="51" spans="1:2">
      <c r="A51" s="3170" t="s">
        <v>51</v>
      </c>
      <c r="B51" s="3171">
        <f ca="1">'预评函-3'!F4</f>
        <v>0</v>
      </c>
    </row>
    <row r="52" spans="1:2">
      <c r="A52" s="3170" t="s">
        <v>52</v>
      </c>
      <c r="B52" s="3171">
        <f ca="1">'预评函-3'!G4</f>
        <v>0</v>
      </c>
    </row>
    <row r="53" spans="1:2">
      <c r="A53" s="3170" t="s">
        <v>53</v>
      </c>
      <c r="B53" s="3171" t="str">
        <f ca="1">'预评函-3'!F5</f>
        <v>零元整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v>
      </c>
    </row>
    <row r="67" spans="1:2">
      <c r="A67" s="3170" t="s">
        <v>67</v>
      </c>
      <c r="B67" s="3171" t="str">
        <f>'预评函-4'!A21</f>
        <v>——</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3054" customWidth="1"/>
    <col min="2" max="2" width="23.25" style="280"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 min="29" max="16384" width="9" style="280"/>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355</v>
      </c>
      <c r="C20" s="3062"/>
    </row>
    <row r="21" spans="1:3">
      <c r="A21" s="3061" t="s">
        <v>276</v>
      </c>
      <c r="B21" s="3061" t="s">
        <v>356</v>
      </c>
      <c r="C21" s="3062"/>
    </row>
    <row r="22" spans="1:3">
      <c r="A22" s="3061" t="s">
        <v>357</v>
      </c>
      <c r="B22" s="3061" t="s">
        <v>358</v>
      </c>
      <c r="C22" s="3062"/>
    </row>
    <row r="23" spans="1:3">
      <c r="A23" s="3061" t="s">
        <v>359</v>
      </c>
      <c r="B23" s="3061" t="s">
        <v>358</v>
      </c>
      <c r="C23" s="3062"/>
    </row>
    <row r="24" spans="1:3">
      <c r="A24" s="3061" t="s">
        <v>360</v>
      </c>
      <c r="B24" s="3061" t="s">
        <v>358</v>
      </c>
      <c r="C24" s="3062"/>
    </row>
    <row r="25" spans="1:3">
      <c r="A25" s="3061" t="s">
        <v>361</v>
      </c>
      <c r="B25" s="3061" t="s">
        <v>358</v>
      </c>
      <c r="C25" s="3062"/>
    </row>
    <row r="26" spans="1:3">
      <c r="A26" s="3061" t="s">
        <v>362</v>
      </c>
      <c r="B26" s="3061" t="s">
        <v>358</v>
      </c>
      <c r="C26" s="3062"/>
    </row>
    <row r="27" spans="1:3">
      <c r="A27" s="3061" t="s">
        <v>358</v>
      </c>
      <c r="B27" s="3061" t="s">
        <v>358</v>
      </c>
      <c r="C27" s="3062"/>
    </row>
    <row r="28" spans="1:3">
      <c r="A28" s="3061" t="s">
        <v>358</v>
      </c>
      <c r="B28" s="3061" t="s">
        <v>358</v>
      </c>
      <c r="C28" s="3062"/>
    </row>
    <row r="29" spans="1:3">
      <c r="A29" s="3061" t="s">
        <v>358</v>
      </c>
      <c r="B29" s="3061" t="s">
        <v>358</v>
      </c>
      <c r="C29" s="3062"/>
    </row>
    <row r="30" spans="1:3">
      <c r="A30" s="3061" t="s">
        <v>358</v>
      </c>
      <c r="B30" s="3061" t="s">
        <v>358</v>
      </c>
      <c r="C30" s="3062"/>
    </row>
    <row r="31" spans="1:3">
      <c r="A31" s="3061" t="s">
        <v>358</v>
      </c>
      <c r="B31" s="3061" t="s">
        <v>358</v>
      </c>
      <c r="C31" s="3062"/>
    </row>
    <row r="32" spans="1:3">
      <c r="A32" s="3061" t="s">
        <v>358</v>
      </c>
      <c r="B32" s="3061" t="s">
        <v>358</v>
      </c>
      <c r="C32" s="3062"/>
    </row>
    <row r="33" spans="1:3">
      <c r="A33" s="3061" t="s">
        <v>358</v>
      </c>
      <c r="B33" s="3061" t="s">
        <v>358</v>
      </c>
      <c r="C33" s="3062"/>
    </row>
    <row r="34" spans="1:3">
      <c r="A34" s="3061" t="s">
        <v>358</v>
      </c>
      <c r="B34" s="3061" t="s">
        <v>358</v>
      </c>
      <c r="C34" s="3062"/>
    </row>
    <row r="35" spans="1:3">
      <c r="A35" s="3061" t="s">
        <v>358</v>
      </c>
      <c r="B35" s="3061" t="s">
        <v>358</v>
      </c>
      <c r="C35" s="3062"/>
    </row>
    <row r="36" spans="1:3">
      <c r="A36" s="3061" t="s">
        <v>358</v>
      </c>
      <c r="B36" s="3061" t="s">
        <v>358</v>
      </c>
      <c r="C36" s="3062"/>
    </row>
    <row r="37" spans="1:3">
      <c r="A37" s="3061" t="s">
        <v>358</v>
      </c>
      <c r="B37" s="3061" t="s">
        <v>358</v>
      </c>
      <c r="C37" s="3062"/>
    </row>
    <row r="38" spans="1:3">
      <c r="A38" s="3061" t="s">
        <v>358</v>
      </c>
      <c r="B38" s="3061" t="s">
        <v>358</v>
      </c>
      <c r="C38" s="3062"/>
    </row>
    <row r="39" spans="1:3">
      <c r="A39" s="3061" t="s">
        <v>358</v>
      </c>
      <c r="B39" s="3061" t="s">
        <v>358</v>
      </c>
      <c r="C39" s="3062"/>
    </row>
    <row r="40" spans="1:3">
      <c r="A40" s="3061" t="s">
        <v>358</v>
      </c>
      <c r="B40" s="3061" t="s">
        <v>358</v>
      </c>
      <c r="C40" s="3062"/>
    </row>
    <row r="41" spans="1:3">
      <c r="A41" s="3061" t="s">
        <v>358</v>
      </c>
      <c r="B41" s="3061" t="s">
        <v>358</v>
      </c>
      <c r="C41" s="3062"/>
    </row>
    <row r="42" spans="1:3">
      <c r="A42" s="3061" t="s">
        <v>358</v>
      </c>
      <c r="B42" s="3061" t="s">
        <v>358</v>
      </c>
      <c r="C42" s="3062"/>
    </row>
    <row r="43" spans="1:3">
      <c r="A43" s="3061" t="s">
        <v>358</v>
      </c>
      <c r="B43" s="3061" t="s">
        <v>358</v>
      </c>
      <c r="C43" s="3062"/>
    </row>
    <row r="44" spans="1:3">
      <c r="A44" s="3061" t="s">
        <v>358</v>
      </c>
      <c r="B44" s="3061" t="s">
        <v>358</v>
      </c>
      <c r="C44" s="3062"/>
    </row>
    <row r="45" spans="1:3">
      <c r="A45" s="3061" t="s">
        <v>358</v>
      </c>
      <c r="B45" s="3061" t="s">
        <v>358</v>
      </c>
      <c r="C45" s="3062"/>
    </row>
    <row r="46" spans="1:3">
      <c r="A46" s="3061" t="s">
        <v>358</v>
      </c>
      <c r="B46" s="3061" t="s">
        <v>358</v>
      </c>
      <c r="C46" s="3062"/>
    </row>
    <row r="47" spans="1:3">
      <c r="A47" s="3061" t="s">
        <v>358</v>
      </c>
      <c r="B47" s="3061" t="s">
        <v>358</v>
      </c>
      <c r="C47" s="3062"/>
    </row>
    <row r="48" spans="1:3">
      <c r="A48" s="3061" t="s">
        <v>358</v>
      </c>
      <c r="B48" s="3061" t="s">
        <v>358</v>
      </c>
      <c r="C48" s="3062"/>
    </row>
    <row r="49" spans="1:4">
      <c r="A49" s="3061" t="s">
        <v>358</v>
      </c>
      <c r="B49" s="3061" t="s">
        <v>358</v>
      </c>
      <c r="C49" s="3062"/>
    </row>
    <row r="50" spans="1:4">
      <c r="A50" s="3061" t="s">
        <v>358</v>
      </c>
      <c r="B50" s="3061" t="s">
        <v>358</v>
      </c>
      <c r="C50" s="3062"/>
    </row>
    <row r="51" spans="1:4">
      <c r="A51" s="3065" t="s">
        <v>363</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5" t="s">
        <v>364</v>
      </c>
    </row>
    <row r="52" spans="1:4">
      <c r="A52" s="3065" t="s">
        <v>365</v>
      </c>
      <c r="B52" s="3065" t="s">
        <v>366</v>
      </c>
      <c r="C52" s="3055" t="s">
        <v>367</v>
      </c>
      <c r="D52" s="3055" t="s">
        <v>368</v>
      </c>
    </row>
    <row r="53" spans="1:4">
      <c r="A53" s="3218" t="s">
        <v>369</v>
      </c>
      <c r="B53" s="3065" t="s">
        <v>370</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65" t="s">
        <v>371</v>
      </c>
      <c r="C54" s="3055" t="s">
        <v>372</v>
      </c>
    </row>
    <row r="55" spans="1:4">
      <c r="A55" s="3218"/>
      <c r="B55" s="3065" t="s">
        <v>373</v>
      </c>
      <c r="C55" s="3055" t="s">
        <v>374</v>
      </c>
    </row>
    <row r="56" spans="1:4">
      <c r="A56" s="3218"/>
      <c r="B56" s="3065" t="s">
        <v>375</v>
      </c>
      <c r="C56" s="3055" t="s">
        <v>376</v>
      </c>
    </row>
    <row r="57" spans="1:4">
      <c r="A57" s="3218"/>
      <c r="B57" s="3065" t="s">
        <v>377</v>
      </c>
      <c r="C57" s="3055" t="s">
        <v>378</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379</v>
      </c>
      <c r="B1" s="3002"/>
      <c r="C1" s="3002"/>
      <c r="D1" s="3002"/>
      <c r="E1" s="3002"/>
      <c r="F1" s="3003"/>
      <c r="I1" s="3004" t="s">
        <v>380</v>
      </c>
      <c r="J1" s="74"/>
      <c r="K1" s="74"/>
      <c r="L1" s="74"/>
      <c r="M1" s="74"/>
      <c r="N1" s="298"/>
      <c r="O1" s="298"/>
      <c r="P1" s="298"/>
      <c r="Q1" s="298"/>
      <c r="R1" s="298"/>
    </row>
    <row r="2" spans="1:18">
      <c r="A2" s="3005"/>
      <c r="B2" s="3006"/>
      <c r="C2" s="3006"/>
      <c r="D2" s="3006"/>
      <c r="E2" s="3006"/>
      <c r="F2" s="3007"/>
      <c r="I2" s="3219" t="s">
        <v>381</v>
      </c>
      <c r="J2" s="3219"/>
      <c r="K2" s="3219"/>
      <c r="L2" s="3219"/>
      <c r="M2" s="3219"/>
      <c r="N2" s="3219"/>
      <c r="O2" s="3219"/>
      <c r="P2" s="3219"/>
      <c r="Q2" s="3219"/>
      <c r="R2" s="3219"/>
    </row>
    <row r="3" spans="1:18">
      <c r="A3" s="448" t="s">
        <v>382</v>
      </c>
      <c r="B3" s="3008">
        <f>项目基本情况!D3</f>
        <v>45980</v>
      </c>
      <c r="C3" s="449"/>
      <c r="D3" s="449"/>
      <c r="E3" s="449"/>
      <c r="F3" s="3007"/>
      <c r="I3" s="3009"/>
      <c r="J3" s="3009" t="s">
        <v>383</v>
      </c>
      <c r="K3" s="3009" t="s">
        <v>384</v>
      </c>
      <c r="L3" s="3009" t="s">
        <v>385</v>
      </c>
      <c r="M3" s="3009" t="s">
        <v>386</v>
      </c>
      <c r="N3" s="3010" t="s">
        <v>387</v>
      </c>
      <c r="O3" s="3010" t="s">
        <v>388</v>
      </c>
      <c r="P3" s="3010" t="s">
        <v>389</v>
      </c>
      <c r="Q3" s="3010" t="s">
        <v>390</v>
      </c>
      <c r="R3" s="3010" t="s">
        <v>391</v>
      </c>
    </row>
    <row r="4" spans="1:18">
      <c r="A4" s="448" t="s">
        <v>392</v>
      </c>
      <c r="B4" s="449" t="s">
        <v>393</v>
      </c>
      <c r="C4" s="449" t="s">
        <v>394</v>
      </c>
      <c r="D4" s="449" t="s">
        <v>395</v>
      </c>
      <c r="E4" s="449" t="s">
        <v>396</v>
      </c>
      <c r="F4" s="3007"/>
      <c r="I4" s="3009" t="s">
        <v>397</v>
      </c>
      <c r="J4" s="3009">
        <v>80</v>
      </c>
      <c r="K4" s="3009">
        <v>70</v>
      </c>
      <c r="L4" s="3009">
        <v>20</v>
      </c>
      <c r="M4" s="3009">
        <v>30</v>
      </c>
      <c r="N4" s="449">
        <v>45</v>
      </c>
      <c r="O4" s="449">
        <v>60</v>
      </c>
      <c r="P4" s="449">
        <v>50</v>
      </c>
      <c r="Q4" s="449">
        <v>20</v>
      </c>
      <c r="R4" s="449">
        <v>375</v>
      </c>
    </row>
    <row r="5" spans="1:18">
      <c r="A5" s="3011">
        <v>40</v>
      </c>
      <c r="B5" s="3008">
        <v>46375</v>
      </c>
      <c r="C5" s="449">
        <f>ROUNDDOWN(MIN((B5-B3)/365,A5),2)</f>
        <v>1.08</v>
      </c>
      <c r="D5" s="3012">
        <f>IF(ISERROR(ROUND(POWER(1+E5,A5-C5)*(POWER(1+E5,C5)-1)/(POWER(1+E5,A5)-1),3)),0,ROUND(POWER(1+E5,A5-C5)*(POWER(1+E5,C5)-1)/(POWER(1+E5,A5)-1),4))</f>
        <v>5.2400000000000002E-2</v>
      </c>
      <c r="E5" s="3013">
        <v>0.04</v>
      </c>
      <c r="F5" s="3007"/>
      <c r="I5" s="3009" t="s">
        <v>398</v>
      </c>
      <c r="J5" s="3009">
        <v>70</v>
      </c>
      <c r="K5" s="3009">
        <v>60</v>
      </c>
      <c r="L5" s="3009">
        <v>15</v>
      </c>
      <c r="M5" s="3009">
        <v>25</v>
      </c>
      <c r="N5" s="449">
        <v>40</v>
      </c>
      <c r="O5" s="449">
        <v>50</v>
      </c>
      <c r="P5" s="449">
        <v>40</v>
      </c>
      <c r="Q5" s="449">
        <v>15</v>
      </c>
      <c r="R5" s="449">
        <v>315</v>
      </c>
    </row>
    <row r="6" spans="1:18">
      <c r="A6" s="3011">
        <v>50</v>
      </c>
      <c r="B6" s="3008">
        <v>50028</v>
      </c>
      <c r="C6" s="449">
        <f>ROUNDDOWN(MIN((B6-B3)/365,A6),2)</f>
        <v>11.09</v>
      </c>
      <c r="D6" s="3012">
        <f>IF(ISERROR(ROUND(POWER(1+E6,A6-C6)*(POWER(1+E6,C6)-1)/(POWER(1+E6,A6)-1),3)),0,ROUND(POWER(1+E6,A6-C6)*(POWER(1+E6,C6)-1)/(POWER(1+E6,A6)-1),4))</f>
        <v>0.41049999999999998</v>
      </c>
      <c r="E6" s="3013">
        <v>0.04</v>
      </c>
      <c r="F6" s="3007"/>
      <c r="I6" s="3009" t="s">
        <v>399</v>
      </c>
      <c r="J6" s="3009">
        <v>60</v>
      </c>
      <c r="K6" s="3009">
        <v>50</v>
      </c>
      <c r="L6" s="3009">
        <v>10</v>
      </c>
      <c r="M6" s="3009">
        <v>20</v>
      </c>
      <c r="N6" s="449">
        <v>35</v>
      </c>
      <c r="O6" s="449">
        <v>40</v>
      </c>
      <c r="P6" s="449">
        <v>30</v>
      </c>
      <c r="Q6" s="449">
        <v>10</v>
      </c>
      <c r="R6" s="449">
        <v>255</v>
      </c>
    </row>
    <row r="7" spans="1:18">
      <c r="A7" s="3011">
        <v>70</v>
      </c>
      <c r="B7" s="3008">
        <v>57333</v>
      </c>
      <c r="C7" s="449">
        <f>ROUNDDOWN(MIN((B7-B3)/365,A7),2)</f>
        <v>31.1</v>
      </c>
      <c r="D7" s="3012">
        <f>IF(ISERROR(ROUND(POWER(1+E7,A7-C7)*(POWER(1+E7,C7)-1)/(POWER(1+E7,A7)-1),3)),0,ROUND(POWER(1+E7,A7-C7)*(POWER(1+E7,C7)-1)/(POWER(1+E7,A7)-1),4))</f>
        <v>0.75309999999999999</v>
      </c>
      <c r="E7" s="3013">
        <v>0.04</v>
      </c>
      <c r="F7" s="3007"/>
    </row>
    <row r="8" spans="1:18">
      <c r="A8" s="3005"/>
      <c r="B8" s="3006"/>
      <c r="C8" s="3006"/>
      <c r="D8" s="3006"/>
      <c r="E8" s="3006"/>
      <c r="F8" s="3007"/>
    </row>
    <row r="9" spans="1:18">
      <c r="A9" s="448" t="s">
        <v>400</v>
      </c>
      <c r="B9" s="449"/>
      <c r="C9" s="449"/>
      <c r="D9" s="449"/>
      <c r="E9" s="449"/>
      <c r="F9" s="451"/>
    </row>
    <row r="10" spans="1:18">
      <c r="A10" s="448" t="s">
        <v>401</v>
      </c>
      <c r="B10" s="449"/>
      <c r="C10" s="449"/>
      <c r="D10" s="449" t="s">
        <v>396</v>
      </c>
      <c r="E10" s="449"/>
      <c r="F10" s="451" t="s">
        <v>395</v>
      </c>
    </row>
    <row r="11" spans="1:18">
      <c r="A11" s="448" t="s">
        <v>402</v>
      </c>
      <c r="B11" s="3014">
        <v>70</v>
      </c>
      <c r="C11" s="449" t="s">
        <v>403</v>
      </c>
      <c r="D11" s="3014">
        <v>4.4999999999999998E-2</v>
      </c>
      <c r="E11" s="449" t="s">
        <v>404</v>
      </c>
      <c r="F11" s="3015">
        <f>ROUND(1-(1/(POWER(1+D11,B11))),4)</f>
        <v>0.95409999999999995</v>
      </c>
    </row>
    <row r="12" spans="1:18">
      <c r="A12" s="448" t="s">
        <v>405</v>
      </c>
      <c r="B12" s="3014">
        <v>40</v>
      </c>
      <c r="C12" s="449" t="s">
        <v>406</v>
      </c>
      <c r="D12" s="3014">
        <v>4.4999999999999998E-2</v>
      </c>
      <c r="E12" s="449" t="s">
        <v>407</v>
      </c>
      <c r="F12" s="3015">
        <f>ROUND(1-(1/(POWER(1+D12,B12))),4)</f>
        <v>0.82809999999999995</v>
      </c>
    </row>
    <row r="13" spans="1:18">
      <c r="A13" s="448" t="s">
        <v>408</v>
      </c>
      <c r="B13" s="449"/>
      <c r="C13" s="449"/>
      <c r="D13" s="3006"/>
      <c r="E13" s="3006"/>
      <c r="F13" s="3007"/>
    </row>
    <row r="14" spans="1:18">
      <c r="A14" s="448" t="s">
        <v>409</v>
      </c>
      <c r="B14" s="3014">
        <v>5000</v>
      </c>
      <c r="C14" s="3016"/>
      <c r="D14" s="3006"/>
      <c r="E14" s="3006"/>
      <c r="F14" s="3007"/>
    </row>
    <row r="15" spans="1:18">
      <c r="A15" s="448" t="s">
        <v>410</v>
      </c>
      <c r="B15" s="449">
        <f>ROUND(B14*F12/F11,2)</f>
        <v>4339.6899999999996</v>
      </c>
      <c r="C15" s="449">
        <f>ROUND(F12/F11,4)</f>
        <v>0.8679</v>
      </c>
      <c r="D15" s="3006"/>
      <c r="E15" s="3006"/>
      <c r="F15" s="3007"/>
    </row>
    <row r="16" spans="1:18">
      <c r="A16" s="448" t="s">
        <v>411</v>
      </c>
      <c r="B16" s="449"/>
      <c r="C16" s="449"/>
      <c r="D16" s="3006"/>
      <c r="E16" s="3006"/>
      <c r="F16" s="3007"/>
    </row>
    <row r="17" spans="1:14">
      <c r="A17" s="448" t="s">
        <v>410</v>
      </c>
      <c r="B17" s="3014">
        <v>4810</v>
      </c>
      <c r="C17" s="3016"/>
      <c r="D17" s="3006"/>
      <c r="E17" s="3006"/>
      <c r="F17" s="3007"/>
    </row>
    <row r="18" spans="1:14">
      <c r="A18" s="3017" t="s">
        <v>409</v>
      </c>
      <c r="B18" s="459">
        <f>ROUND(B17*F11/F12,2)</f>
        <v>5541.87</v>
      </c>
      <c r="C18" s="459">
        <f>ROUND(F11/F12,4)</f>
        <v>1.1521999999999999</v>
      </c>
      <c r="D18" s="3018"/>
      <c r="E18" s="3018"/>
      <c r="F18" s="3019"/>
    </row>
    <row r="20" spans="1:14" s="2998" customFormat="1">
      <c r="A20" s="3020" t="s">
        <v>412</v>
      </c>
      <c r="B20" s="3021"/>
      <c r="C20" s="3021"/>
      <c r="D20" s="3021"/>
      <c r="E20" s="3021"/>
      <c r="F20" s="3021"/>
      <c r="G20" s="3022"/>
      <c r="I20" s="3023" t="s">
        <v>413</v>
      </c>
      <c r="J20" s="3023" t="s">
        <v>414</v>
      </c>
      <c r="K20" s="3023"/>
      <c r="L20" s="3023"/>
      <c r="M20" s="3023"/>
    </row>
    <row r="21" spans="1:14">
      <c r="A21" s="3024"/>
      <c r="B21" s="3009" t="s">
        <v>415</v>
      </c>
      <c r="C21" s="3009" t="s">
        <v>394</v>
      </c>
      <c r="D21" s="3009" t="s">
        <v>416</v>
      </c>
      <c r="E21" s="3009" t="s">
        <v>395</v>
      </c>
      <c r="F21" s="3009" t="s">
        <v>417</v>
      </c>
      <c r="G21" s="3025" t="s">
        <v>418</v>
      </c>
      <c r="I21" s="3000">
        <v>5</v>
      </c>
      <c r="J21" s="3000">
        <v>54.2</v>
      </c>
    </row>
    <row r="22" spans="1:14">
      <c r="A22" s="3024" t="s">
        <v>419</v>
      </c>
      <c r="B22" s="3026">
        <v>70</v>
      </c>
      <c r="C22" s="3026">
        <v>30</v>
      </c>
      <c r="D22" s="3027">
        <v>0.04</v>
      </c>
      <c r="E22" s="3009">
        <f>ROUND(POWER(1+D22,B22-C22)*(POWER(1+D22,C22)-1)/(POWER(1+D22,B22)-1),3)</f>
        <v>0.73899999999999999</v>
      </c>
      <c r="F22" s="3027">
        <v>0.7</v>
      </c>
      <c r="G22" s="3025">
        <f>ROUND(100*(1-(1-E22)*F22),1)</f>
        <v>81.7</v>
      </c>
      <c r="I22" s="3000">
        <v>10</v>
      </c>
      <c r="J22" s="3000">
        <v>65.400000000000006</v>
      </c>
      <c r="K22" s="3000">
        <f>J22-J21</f>
        <v>11.2</v>
      </c>
    </row>
    <row r="23" spans="1:14">
      <c r="A23" s="3024" t="s">
        <v>420</v>
      </c>
      <c r="B23" s="3026">
        <v>70</v>
      </c>
      <c r="C23" s="3026">
        <v>40</v>
      </c>
      <c r="D23" s="3027">
        <v>0.04</v>
      </c>
      <c r="E23" s="3009">
        <f t="shared" ref="E23:E25" si="0">ROUND(POWER(1+D23,B23-C23)*(POWER(1+D23,C23)-1)/(POWER(1+D23,B23)-1),3)</f>
        <v>0.84599999999999997</v>
      </c>
      <c r="F23" s="3027">
        <f>F22</f>
        <v>0.7</v>
      </c>
      <c r="G23" s="3025">
        <f t="shared" ref="G23:G25" si="1">ROUND(100*(1-(1-E23)*F23),1)</f>
        <v>89.2</v>
      </c>
      <c r="I23" s="3000">
        <v>15</v>
      </c>
      <c r="J23" s="3000">
        <v>74.099999999999994</v>
      </c>
      <c r="K23" s="3000">
        <f t="shared" ref="K23:K30" si="2">J23-J22</f>
        <v>8.6999999999999904</v>
      </c>
      <c r="L23" s="3000" t="s">
        <v>421</v>
      </c>
      <c r="N23" s="3028" t="s">
        <v>422</v>
      </c>
    </row>
    <row r="24" spans="1:14">
      <c r="A24" s="3024" t="s">
        <v>423</v>
      </c>
      <c r="B24" s="3026">
        <v>70</v>
      </c>
      <c r="C24" s="3026">
        <v>50</v>
      </c>
      <c r="D24" s="3027">
        <v>0.04</v>
      </c>
      <c r="E24" s="3009">
        <f t="shared" si="0"/>
        <v>0.91800000000000004</v>
      </c>
      <c r="F24" s="3027">
        <f>F23</f>
        <v>0.7</v>
      </c>
      <c r="G24" s="3025">
        <f t="shared" si="1"/>
        <v>94.3</v>
      </c>
      <c r="I24" s="3000">
        <v>20</v>
      </c>
      <c r="J24" s="3000">
        <v>81</v>
      </c>
      <c r="K24" s="3000">
        <f t="shared" si="2"/>
        <v>6.9000000000000101</v>
      </c>
      <c r="L24" s="3000" t="s">
        <v>424</v>
      </c>
      <c r="N24" s="3028">
        <v>10</v>
      </c>
    </row>
    <row r="25" spans="1:14">
      <c r="A25" s="3024" t="s">
        <v>425</v>
      </c>
      <c r="B25" s="3026">
        <v>70</v>
      </c>
      <c r="C25" s="3026">
        <v>60</v>
      </c>
      <c r="D25" s="3027">
        <v>0.04</v>
      </c>
      <c r="E25" s="3009">
        <f t="shared" si="0"/>
        <v>0.96699999999999997</v>
      </c>
      <c r="F25" s="3027">
        <f>F24</f>
        <v>0.7</v>
      </c>
      <c r="G25" s="3025">
        <f t="shared" si="1"/>
        <v>97.7</v>
      </c>
      <c r="I25" s="3000">
        <v>25</v>
      </c>
      <c r="J25" s="3000">
        <v>86.3</v>
      </c>
      <c r="K25" s="3000">
        <f t="shared" si="2"/>
        <v>5.3</v>
      </c>
      <c r="L25" s="3000" t="s">
        <v>426</v>
      </c>
      <c r="N25" s="3028">
        <v>8</v>
      </c>
    </row>
    <row r="26" spans="1:14">
      <c r="A26" s="73"/>
      <c r="B26" s="74"/>
      <c r="C26" s="74"/>
      <c r="D26" s="74"/>
      <c r="E26" s="74"/>
      <c r="F26" s="74"/>
      <c r="G26" s="3029"/>
      <c r="I26" s="3000">
        <v>30</v>
      </c>
      <c r="J26" s="3000">
        <v>90.5</v>
      </c>
      <c r="K26" s="3000">
        <f t="shared" si="2"/>
        <v>4.2</v>
      </c>
      <c r="L26" s="3000" t="s">
        <v>427</v>
      </c>
      <c r="N26" s="3028">
        <v>5</v>
      </c>
    </row>
    <row r="27" spans="1:14">
      <c r="A27" s="73" t="s">
        <v>428</v>
      </c>
      <c r="B27" s="74"/>
      <c r="C27" s="74"/>
      <c r="D27" s="74"/>
      <c r="E27" s="74"/>
      <c r="F27" s="74"/>
      <c r="G27" s="3029"/>
      <c r="I27" s="3000">
        <v>35</v>
      </c>
      <c r="J27" s="3000">
        <v>93.8</v>
      </c>
      <c r="K27" s="3000">
        <f t="shared" si="2"/>
        <v>3.3</v>
      </c>
      <c r="L27" s="3000" t="s">
        <v>429</v>
      </c>
      <c r="N27" s="3028">
        <v>3</v>
      </c>
    </row>
    <row r="28" spans="1:14">
      <c r="A28" s="73" t="s">
        <v>430</v>
      </c>
      <c r="B28" s="74"/>
      <c r="C28" s="74"/>
      <c r="D28" s="74"/>
      <c r="E28" s="74"/>
      <c r="F28" s="74"/>
      <c r="G28" s="3029"/>
      <c r="I28" s="3000">
        <v>40</v>
      </c>
      <c r="J28" s="3000">
        <v>96.4</v>
      </c>
      <c r="K28" s="3000">
        <f t="shared" si="2"/>
        <v>2.6000000000000099</v>
      </c>
      <c r="L28" s="3000" t="s">
        <v>431</v>
      </c>
      <c r="N28" s="3028">
        <v>2</v>
      </c>
    </row>
    <row r="29" spans="1:14">
      <c r="A29" s="73" t="s">
        <v>432</v>
      </c>
      <c r="B29" s="74"/>
      <c r="C29" s="74"/>
      <c r="D29" s="74"/>
      <c r="E29" s="74"/>
      <c r="F29" s="74"/>
      <c r="G29" s="3029"/>
      <c r="I29" s="3000">
        <v>45</v>
      </c>
      <c r="J29" s="3000">
        <v>98.4</v>
      </c>
      <c r="K29" s="3000">
        <f t="shared" si="2"/>
        <v>2</v>
      </c>
    </row>
    <row r="30" spans="1:14">
      <c r="A30" s="73" t="s">
        <v>433</v>
      </c>
      <c r="B30" s="74"/>
      <c r="C30" s="74"/>
      <c r="D30" s="74"/>
      <c r="E30" s="74"/>
      <c r="F30" s="74"/>
      <c r="G30" s="3029"/>
      <c r="I30" s="3000">
        <v>50</v>
      </c>
      <c r="J30" s="3000">
        <v>100</v>
      </c>
      <c r="K30" s="3000">
        <f t="shared" si="2"/>
        <v>1.5999999999999901</v>
      </c>
    </row>
    <row r="31" spans="1:14">
      <c r="A31" s="73" t="s">
        <v>434</v>
      </c>
      <c r="B31" s="74"/>
      <c r="C31" s="74"/>
      <c r="D31" s="74"/>
      <c r="E31" s="74"/>
      <c r="F31" s="74"/>
      <c r="G31" s="3029"/>
      <c r="I31" s="3000" t="s">
        <v>435</v>
      </c>
    </row>
    <row r="32" spans="1:14">
      <c r="A32" s="73" t="s">
        <v>436</v>
      </c>
      <c r="B32" s="74"/>
      <c r="C32" s="74"/>
      <c r="D32" s="74"/>
      <c r="E32" s="74"/>
      <c r="F32" s="74"/>
      <c r="G32" s="3029"/>
    </row>
    <row r="33" spans="1:14">
      <c r="A33" s="73" t="s">
        <v>437</v>
      </c>
      <c r="B33" s="74"/>
      <c r="C33" s="74"/>
      <c r="D33" s="74"/>
      <c r="E33" s="74"/>
      <c r="F33" s="74"/>
      <c r="G33" s="3029"/>
      <c r="I33" s="3000" t="s">
        <v>413</v>
      </c>
      <c r="J33" s="3000" t="s">
        <v>438</v>
      </c>
    </row>
    <row r="34" spans="1:14">
      <c r="A34" s="73" t="s">
        <v>439</v>
      </c>
      <c r="B34" s="74"/>
      <c r="C34" s="74"/>
      <c r="D34" s="74"/>
      <c r="E34" s="74"/>
      <c r="F34" s="74"/>
      <c r="G34" s="3029"/>
      <c r="I34" s="3000">
        <v>5</v>
      </c>
      <c r="J34" s="3000">
        <v>55.1</v>
      </c>
    </row>
    <row r="35" spans="1:14">
      <c r="A35" s="73" t="s">
        <v>440</v>
      </c>
      <c r="B35" s="74"/>
      <c r="C35" s="74"/>
      <c r="D35" s="74"/>
      <c r="E35" s="74"/>
      <c r="F35" s="74"/>
      <c r="G35" s="3029"/>
      <c r="I35" s="3000">
        <v>10</v>
      </c>
      <c r="J35" s="3000">
        <v>67</v>
      </c>
      <c r="K35" s="3000">
        <f>J35-J34</f>
        <v>11.9</v>
      </c>
    </row>
    <row r="36" spans="1:14">
      <c r="A36" s="73" t="s">
        <v>441</v>
      </c>
      <c r="B36" s="74"/>
      <c r="C36" s="74"/>
      <c r="D36" s="74"/>
      <c r="E36" s="74"/>
      <c r="F36" s="74"/>
      <c r="G36" s="3029"/>
      <c r="I36" s="3000">
        <v>15</v>
      </c>
      <c r="J36" s="3000">
        <v>76.3</v>
      </c>
      <c r="K36" s="3000">
        <f t="shared" ref="K36:K41" si="3">J36-J35</f>
        <v>9.3000000000000007</v>
      </c>
      <c r="L36" s="3000" t="s">
        <v>421</v>
      </c>
      <c r="N36" s="3028" t="s">
        <v>422</v>
      </c>
    </row>
    <row r="37" spans="1:14">
      <c r="A37" s="73" t="s">
        <v>442</v>
      </c>
      <c r="B37" s="74"/>
      <c r="C37" s="74"/>
      <c r="D37" s="74"/>
      <c r="E37" s="74"/>
      <c r="F37" s="74"/>
      <c r="G37" s="3029"/>
      <c r="I37" s="3000">
        <v>20</v>
      </c>
      <c r="J37" s="3000">
        <v>83.6</v>
      </c>
      <c r="K37" s="3000">
        <f t="shared" si="3"/>
        <v>7.3</v>
      </c>
      <c r="L37" s="3000" t="s">
        <v>424</v>
      </c>
      <c r="N37" s="3028">
        <v>10</v>
      </c>
    </row>
    <row r="38" spans="1:14">
      <c r="A38" s="73" t="s">
        <v>443</v>
      </c>
      <c r="B38" s="74"/>
      <c r="C38" s="74"/>
      <c r="D38" s="74"/>
      <c r="E38" s="74"/>
      <c r="F38" s="74"/>
      <c r="G38" s="3029"/>
      <c r="I38" s="3000">
        <v>25</v>
      </c>
      <c r="J38" s="3000">
        <v>89.3</v>
      </c>
      <c r="K38" s="3000">
        <f t="shared" si="3"/>
        <v>5.7</v>
      </c>
      <c r="L38" s="3000" t="s">
        <v>426</v>
      </c>
      <c r="N38" s="3028">
        <v>8</v>
      </c>
    </row>
    <row r="39" spans="1:14">
      <c r="A39" s="73"/>
      <c r="B39" s="74"/>
      <c r="C39" s="74"/>
      <c r="D39" s="74"/>
      <c r="E39" s="74"/>
      <c r="F39" s="74"/>
      <c r="G39" s="3029"/>
      <c r="I39" s="3000">
        <v>30</v>
      </c>
      <c r="J39" s="3000">
        <v>93.8</v>
      </c>
      <c r="K39" s="3000">
        <f t="shared" si="3"/>
        <v>4.5</v>
      </c>
      <c r="L39" s="3000" t="s">
        <v>427</v>
      </c>
      <c r="N39" s="3028">
        <v>6</v>
      </c>
    </row>
    <row r="40" spans="1:14">
      <c r="A40" s="3030" t="s">
        <v>444</v>
      </c>
      <c r="B40" s="3031"/>
      <c r="C40" s="3031"/>
      <c r="D40" s="3031"/>
      <c r="E40" s="3031"/>
      <c r="F40" s="3031"/>
      <c r="G40" s="3032"/>
      <c r="I40" s="3000">
        <v>35</v>
      </c>
      <c r="J40" s="3000">
        <v>97.2</v>
      </c>
      <c r="K40" s="3000">
        <f t="shared" si="3"/>
        <v>3.4000000000000101</v>
      </c>
      <c r="L40" s="3000" t="s">
        <v>429</v>
      </c>
      <c r="N40" s="3028">
        <v>3</v>
      </c>
    </row>
    <row r="41" spans="1:14">
      <c r="A41" s="3033" t="s">
        <v>445</v>
      </c>
      <c r="B41" s="3034" t="s">
        <v>446</v>
      </c>
      <c r="C41" s="3035" t="s">
        <v>447</v>
      </c>
      <c r="D41" s="3035" t="s">
        <v>448</v>
      </c>
      <c r="E41" s="3036"/>
      <c r="F41" s="3037"/>
      <c r="G41" s="3038"/>
      <c r="I41" s="3000">
        <v>40</v>
      </c>
      <c r="J41" s="3000">
        <v>100</v>
      </c>
      <c r="K41" s="3000">
        <f t="shared" si="3"/>
        <v>2.8</v>
      </c>
    </row>
    <row r="42" spans="1:14">
      <c r="A42" s="3033" t="s">
        <v>233</v>
      </c>
      <c r="B42" s="3034" t="s">
        <v>449</v>
      </c>
      <c r="C42" s="3035" t="s">
        <v>449</v>
      </c>
      <c r="D42" s="3039" t="s">
        <v>450</v>
      </c>
      <c r="E42" s="3031" t="s">
        <v>451</v>
      </c>
      <c r="F42" s="3031"/>
      <c r="G42" s="3032"/>
    </row>
    <row r="43" spans="1:14">
      <c r="A43" s="3033" t="s">
        <v>232</v>
      </c>
      <c r="B43" s="3034" t="s">
        <v>452</v>
      </c>
      <c r="C43" s="3035" t="s">
        <v>453</v>
      </c>
      <c r="D43" s="3035" t="s">
        <v>454</v>
      </c>
      <c r="E43" s="3036" t="s">
        <v>455</v>
      </c>
      <c r="F43" s="3037"/>
      <c r="G43" s="3038"/>
      <c r="I43" s="3000" t="s">
        <v>413</v>
      </c>
      <c r="J43" s="3000" t="s">
        <v>456</v>
      </c>
    </row>
    <row r="44" spans="1:14">
      <c r="A44" s="3033" t="s">
        <v>457</v>
      </c>
      <c r="B44" s="3034" t="s">
        <v>458</v>
      </c>
      <c r="C44" s="3035" t="s">
        <v>459</v>
      </c>
      <c r="D44" s="3039">
        <v>0.5</v>
      </c>
      <c r="E44" s="3036" t="s">
        <v>460</v>
      </c>
      <c r="F44" s="3037"/>
      <c r="G44" s="3038"/>
      <c r="I44" s="3000">
        <v>30</v>
      </c>
      <c r="J44" s="3000">
        <v>81.7</v>
      </c>
    </row>
    <row r="45" spans="1:14">
      <c r="A45" s="3040" t="s">
        <v>461</v>
      </c>
      <c r="B45" s="3041" t="s">
        <v>449</v>
      </c>
      <c r="C45" s="3042" t="s">
        <v>449</v>
      </c>
      <c r="D45" s="3042" t="s">
        <v>462</v>
      </c>
      <c r="E45" s="3043" t="s">
        <v>463</v>
      </c>
      <c r="F45" s="3043"/>
      <c r="G45" s="3044"/>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464</v>
      </c>
    </row>
    <row r="50" spans="1:4">
      <c r="A50" s="3045" t="s">
        <v>465</v>
      </c>
      <c r="B50" s="3045" t="s">
        <v>466</v>
      </c>
      <c r="C50" s="3045" t="s">
        <v>467</v>
      </c>
      <c r="D50" s="3045" t="s">
        <v>468</v>
      </c>
    </row>
    <row r="51" spans="1:4">
      <c r="A51" s="3045" t="s">
        <v>469</v>
      </c>
      <c r="B51" s="3016">
        <f>B52+B53</f>
        <v>15000</v>
      </c>
      <c r="C51" s="3046">
        <f>D51/B51</f>
        <v>2666.6666666666702</v>
      </c>
      <c r="D51" s="3016">
        <f>D52+D53</f>
        <v>40000000</v>
      </c>
    </row>
    <row r="52" spans="1:4">
      <c r="A52" s="3047" t="s">
        <v>470</v>
      </c>
      <c r="B52" s="3048">
        <v>10000</v>
      </c>
      <c r="C52" s="3048">
        <v>1500</v>
      </c>
      <c r="D52" s="3049">
        <f>C52*B52</f>
        <v>15000000</v>
      </c>
    </row>
    <row r="53" spans="1:4">
      <c r="A53" s="3047" t="s">
        <v>471</v>
      </c>
      <c r="B53" s="3048">
        <v>5000</v>
      </c>
      <c r="C53" s="3048">
        <v>5000</v>
      </c>
      <c r="D53" s="3049">
        <f>C53*B53</f>
        <v>25000000</v>
      </c>
    </row>
    <row r="54" spans="1:4">
      <c r="A54" s="3045" t="s">
        <v>472</v>
      </c>
      <c r="B54" s="3016">
        <f>B51</f>
        <v>15000</v>
      </c>
      <c r="C54" s="3014">
        <v>700</v>
      </c>
      <c r="D54" s="3016">
        <f t="shared" ref="D54:D55" si="5">C54*B54</f>
        <v>10500000</v>
      </c>
    </row>
    <row r="55" spans="1:4">
      <c r="A55" s="3045" t="s">
        <v>473</v>
      </c>
      <c r="B55" s="3016">
        <f>B51</f>
        <v>15000</v>
      </c>
      <c r="C55" s="3014">
        <v>1500</v>
      </c>
      <c r="D55" s="3016">
        <f t="shared" si="5"/>
        <v>22500000</v>
      </c>
    </row>
    <row r="56" spans="1:4">
      <c r="A56" s="3045" t="s">
        <v>474</v>
      </c>
      <c r="B56" s="3016">
        <f>B51</f>
        <v>15000</v>
      </c>
      <c r="C56" s="3050">
        <f>C51+C54+C55</f>
        <v>4866.6666666666697</v>
      </c>
      <c r="D56" s="3016">
        <f>D51+D54+D55</f>
        <v>73000000</v>
      </c>
    </row>
    <row r="58" spans="1:4">
      <c r="A58" s="3045" t="s">
        <v>475</v>
      </c>
      <c r="B58" s="3051">
        <v>0.05</v>
      </c>
      <c r="C58" s="3016">
        <f>C56*(1+B58)</f>
        <v>5110</v>
      </c>
      <c r="D58" s="3016">
        <f>D56*B58</f>
        <v>3650000</v>
      </c>
    </row>
    <row r="60" spans="1:4">
      <c r="A60" s="3045" t="s">
        <v>476</v>
      </c>
      <c r="B60" s="3014">
        <v>3500</v>
      </c>
      <c r="C60" s="3014">
        <f>C53</f>
        <v>5000</v>
      </c>
      <c r="D60" s="3016">
        <f>C60*B60</f>
        <v>17500000</v>
      </c>
    </row>
    <row r="62" spans="1:4">
      <c r="A62" s="3045" t="s">
        <v>391</v>
      </c>
      <c r="B62" s="3014">
        <f>B51</f>
        <v>15000</v>
      </c>
      <c r="C62" s="3052">
        <f>D62/B62</f>
        <v>6276.6666666666697</v>
      </c>
      <c r="D62" s="3014">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1" customWidth="1"/>
    <col min="10" max="10" width="10" style="2738" customWidth="1"/>
    <col min="11" max="11" width="10" style="2883" customWidth="1"/>
    <col min="12" max="13" width="10" style="2884" customWidth="1"/>
    <col min="14" max="14" width="10" style="2738" customWidth="1"/>
    <col min="15" max="15" width="10" style="898" customWidth="1"/>
    <col min="16" max="17" width="10" style="2738"/>
    <col min="18" max="18" width="10" style="2738" customWidth="1"/>
    <col min="19" max="30" width="10" style="2738"/>
    <col min="31" max="16384" width="10" style="2567"/>
  </cols>
  <sheetData>
    <row r="1" spans="1:30">
      <c r="A1" s="2885" t="s">
        <v>477</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30"/>
      <c r="K1" s="2886"/>
      <c r="L1" s="2887"/>
      <c r="M1" s="2887"/>
      <c r="N1" s="2888"/>
      <c r="O1" s="2380"/>
      <c r="P1" s="2888"/>
      <c r="Q1" s="2888"/>
      <c r="R1" s="2888"/>
      <c r="S1" s="2229"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88" t="s">
        <v>478</v>
      </c>
      <c r="B2" s="900"/>
      <c r="D2" s="2889"/>
      <c r="E2" s="2890"/>
      <c r="F2" s="2890"/>
      <c r="G2" s="2734"/>
      <c r="H2" s="2734"/>
      <c r="I2" s="2734"/>
      <c r="J2" s="2530"/>
      <c r="K2" s="2886"/>
      <c r="L2" s="2887"/>
      <c r="M2" s="2887"/>
      <c r="N2" s="2888"/>
      <c r="O2" s="2380"/>
      <c r="P2" s="2888"/>
      <c r="Q2" s="2888"/>
      <c r="R2" s="2888"/>
      <c r="S2" s="2229"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80" t="s">
        <v>479</v>
      </c>
      <c r="B3" s="2891">
        <v>45980</v>
      </c>
      <c r="C3" s="2892" t="s">
        <v>480</v>
      </c>
      <c r="D3" s="2891">
        <v>45980</v>
      </c>
      <c r="E3" s="2734"/>
      <c r="F3" s="2734"/>
      <c r="G3" s="2734"/>
      <c r="H3" s="2734"/>
      <c r="I3" s="2734"/>
      <c r="J3" s="2530"/>
      <c r="K3" s="2886"/>
      <c r="L3" s="2887"/>
      <c r="M3" s="2887"/>
      <c r="N3" s="2888"/>
      <c r="O3" s="2380"/>
      <c r="P3" s="2888"/>
      <c r="Q3" s="2888"/>
      <c r="R3" s="2888"/>
      <c r="S3" s="2229"/>
      <c r="T3" s="2567"/>
      <c r="U3" s="2567"/>
      <c r="V3" s="2567"/>
      <c r="W3" s="2567"/>
      <c r="X3" s="2567"/>
      <c r="Y3" s="2567"/>
      <c r="Z3" s="2567"/>
      <c r="AA3" s="2567"/>
      <c r="AB3" s="2567"/>
    </row>
    <row r="4" spans="1:30">
      <c r="A4" s="1907" t="s">
        <v>481</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30"/>
      <c r="K4" s="2344" t="str">
        <f>CONCATENATE(B4,"（注册号：",C4,")、",D4,"（注册号：",E4,")")</f>
        <v>（注册号：0)、（注册号：0)</v>
      </c>
      <c r="L4" s="2887"/>
      <c r="M4" s="2887"/>
      <c r="N4" s="2888"/>
      <c r="O4" s="2380"/>
      <c r="P4" s="2888"/>
      <c r="Q4" s="2888"/>
      <c r="R4" s="2888"/>
      <c r="S4" s="2229"/>
      <c r="T4" s="2567"/>
      <c r="U4" s="2567"/>
      <c r="V4" s="2567"/>
      <c r="W4" s="2567"/>
      <c r="X4" s="2567"/>
      <c r="Y4" s="2567"/>
      <c r="Z4" s="2567"/>
      <c r="AA4" s="2567"/>
      <c r="AB4" s="2567"/>
    </row>
    <row r="5" spans="1:30">
      <c r="A5" s="2895" t="s">
        <v>482</v>
      </c>
      <c r="B5" s="2896"/>
      <c r="C5" s="2897"/>
      <c r="D5" s="2898"/>
      <c r="E5" s="2734"/>
      <c r="F5" s="2734"/>
      <c r="G5" s="2734"/>
      <c r="H5" s="2734"/>
      <c r="I5" s="2734"/>
      <c r="J5" s="2530"/>
      <c r="K5" s="2344" t="str">
        <f>IF(F4="——","",IF(H4="——",F4&amp;"（注册号："&amp;G4&amp;")",CONCATENATE(F4,"（注册号：",G4,")、",H4,"（注册号：",I4,")")))</f>
        <v>（注册号：0)、（注册号：0)</v>
      </c>
      <c r="L5" s="2887"/>
      <c r="M5" s="2887"/>
      <c r="N5" s="2888"/>
      <c r="O5" s="2380"/>
      <c r="P5" s="2888"/>
      <c r="Q5" s="2888"/>
      <c r="R5" s="2888"/>
      <c r="S5" s="2567"/>
      <c r="T5" s="2567"/>
      <c r="U5" s="2567"/>
      <c r="V5" s="2567"/>
      <c r="W5" s="2567"/>
      <c r="X5" s="2567"/>
      <c r="Y5" s="2567"/>
      <c r="Z5" s="2567"/>
      <c r="AA5" s="2567"/>
      <c r="AB5" s="2567"/>
    </row>
    <row r="6" spans="1:30">
      <c r="A6" s="2899" t="s">
        <v>483</v>
      </c>
      <c r="B6" s="2900"/>
      <c r="C6" s="2901"/>
      <c r="D6" s="2902"/>
      <c r="E6" s="2890"/>
      <c r="F6" s="2734"/>
      <c r="G6" s="2734"/>
      <c r="H6" s="2734"/>
      <c r="I6" s="2734"/>
      <c r="J6" s="2530"/>
      <c r="K6" s="2903" t="str">
        <f>IF(COUNTIF(B6,"*上海银行*"),"上海银行","")</f>
        <v/>
      </c>
      <c r="L6" s="2904"/>
      <c r="M6" s="2904"/>
      <c r="N6" s="2530"/>
      <c r="O6" s="2360"/>
      <c r="P6" s="2530"/>
      <c r="Q6" s="2530"/>
      <c r="R6" s="2530"/>
    </row>
    <row r="7" spans="1:30">
      <c r="A7" s="2899" t="s">
        <v>484</v>
      </c>
      <c r="B7" s="2905"/>
      <c r="C7" s="2901"/>
      <c r="D7" s="2902"/>
      <c r="E7" s="2890"/>
      <c r="F7" s="2734"/>
      <c r="G7" s="2734"/>
      <c r="H7" s="2734"/>
      <c r="I7" s="2734"/>
      <c r="J7" s="2530"/>
      <c r="K7" s="2906"/>
      <c r="L7" s="2904"/>
      <c r="M7" s="2904"/>
      <c r="N7" s="2530"/>
      <c r="O7" s="2360"/>
      <c r="P7" s="2530"/>
      <c r="Q7" s="2530"/>
      <c r="R7" s="2530"/>
    </row>
    <row r="8" spans="1:30">
      <c r="A8" s="2907" t="s">
        <v>485</v>
      </c>
      <c r="B8" s="2908" t="s">
        <v>366</v>
      </c>
      <c r="C8" s="2909"/>
      <c r="D8" s="3239" t="s">
        <v>486</v>
      </c>
      <c r="E8" s="2910" t="s">
        <v>371</v>
      </c>
      <c r="F8" s="2911"/>
      <c r="G8" s="2734"/>
      <c r="H8" s="2734"/>
      <c r="I8" s="2734"/>
      <c r="J8" s="2530"/>
      <c r="K8" s="2912"/>
      <c r="L8" s="2904"/>
      <c r="M8" s="2904"/>
      <c r="N8" s="2530"/>
      <c r="O8" s="2360"/>
      <c r="P8" s="2530"/>
      <c r="Q8" s="2530"/>
      <c r="R8" s="2530"/>
    </row>
    <row r="9" spans="1:30">
      <c r="A9" s="2913" t="s">
        <v>487</v>
      </c>
      <c r="B9" s="2914" t="s">
        <v>371</v>
      </c>
      <c r="C9" s="2915"/>
      <c r="D9" s="3240"/>
      <c r="E9" s="2914" t="s">
        <v>124</v>
      </c>
      <c r="F9" s="2916"/>
      <c r="G9" s="2917"/>
      <c r="H9" s="2917"/>
      <c r="I9" s="2917"/>
      <c r="J9" s="2530"/>
      <c r="K9" s="2906"/>
      <c r="L9" s="2904"/>
      <c r="M9" s="2904"/>
      <c r="N9" s="2530"/>
      <c r="O9" s="2360"/>
      <c r="P9" s="2530"/>
      <c r="Q9" s="2530"/>
      <c r="R9" s="2530"/>
    </row>
    <row r="10" spans="1:30">
      <c r="A10" s="2918" t="s">
        <v>488</v>
      </c>
      <c r="B10" s="2919" t="s">
        <v>489</v>
      </c>
      <c r="C10" s="2920"/>
      <c r="D10" s="2898"/>
      <c r="E10" s="2921" t="s">
        <v>490</v>
      </c>
      <c r="F10" s="2922"/>
      <c r="G10" s="2923"/>
      <c r="H10" s="2924"/>
      <c r="I10" s="2925"/>
      <c r="J10" s="2530"/>
      <c r="K10" s="2906"/>
      <c r="L10" s="2904"/>
      <c r="M10" s="2904"/>
      <c r="N10" s="2530"/>
      <c r="O10" s="2360"/>
      <c r="P10" s="2530"/>
      <c r="Q10" s="2530"/>
      <c r="R10" s="2530"/>
    </row>
    <row r="11" spans="1:30">
      <c r="A11" s="2926" t="s">
        <v>491</v>
      </c>
      <c r="B11" s="2927" t="s">
        <v>492</v>
      </c>
      <c r="C11" s="2928"/>
      <c r="D11" s="2929"/>
      <c r="E11" s="2888"/>
      <c r="F11" s="2888"/>
      <c r="G11" s="2888"/>
      <c r="H11" s="2888"/>
      <c r="I11" s="2888"/>
      <c r="J11" s="2930"/>
      <c r="K11" s="2904"/>
      <c r="L11" s="2904"/>
      <c r="M11" s="2904"/>
      <c r="N11" s="2530"/>
      <c r="O11" s="2360"/>
      <c r="P11" s="2530"/>
      <c r="Q11" s="2530"/>
      <c r="R11" s="2530"/>
    </row>
    <row r="12" spans="1:30">
      <c r="A12" s="2931" t="s">
        <v>493</v>
      </c>
      <c r="B12" s="1943" t="s">
        <v>494</v>
      </c>
      <c r="C12" s="2932" t="s">
        <v>495</v>
      </c>
      <c r="D12" s="2932" t="s">
        <v>496</v>
      </c>
      <c r="E12" s="2932" t="s">
        <v>497</v>
      </c>
      <c r="F12" s="2932" t="s">
        <v>498</v>
      </c>
      <c r="G12" s="2932" t="s">
        <v>499</v>
      </c>
      <c r="H12" s="2932" t="s">
        <v>500</v>
      </c>
      <c r="I12" s="2933" t="s">
        <v>231</v>
      </c>
      <c r="J12" s="2934"/>
      <c r="K12" s="2904"/>
      <c r="L12" s="2904"/>
      <c r="M12" s="2530"/>
      <c r="N12" s="2360"/>
      <c r="O12" s="2530"/>
      <c r="P12" s="2530"/>
      <c r="Q12" s="2530"/>
      <c r="AD12" s="2567"/>
    </row>
    <row r="13" spans="1:30">
      <c r="A13" s="2935" t="s">
        <v>501</v>
      </c>
      <c r="B13" s="2936" t="s">
        <v>502</v>
      </c>
      <c r="C13" s="2937"/>
      <c r="D13" s="2937">
        <v>50362</v>
      </c>
      <c r="E13" s="2937">
        <v>50362</v>
      </c>
      <c r="F13" s="2937">
        <v>50362</v>
      </c>
      <c r="G13" s="2937"/>
      <c r="H13" s="2937"/>
      <c r="I13" s="2937">
        <f>租赁台账!C75</f>
        <v>47712</v>
      </c>
      <c r="J13" s="2934"/>
      <c r="K13" s="2904"/>
      <c r="L13" s="2904"/>
      <c r="M13" s="2530"/>
      <c r="N13" s="2360"/>
      <c r="O13" s="2530"/>
      <c r="P13" s="2530"/>
      <c r="Q13" s="2530"/>
      <c r="AD13" s="2567"/>
    </row>
    <row r="14" spans="1:30">
      <c r="A14" s="1914"/>
      <c r="B14" s="2936" t="s">
        <v>503</v>
      </c>
      <c r="C14" s="2938"/>
      <c r="D14" s="2938">
        <v>40</v>
      </c>
      <c r="E14" s="2938">
        <v>40</v>
      </c>
      <c r="F14" s="2938">
        <v>40</v>
      </c>
      <c r="G14" s="2938"/>
      <c r="H14" s="2938"/>
      <c r="I14" s="2938">
        <v>40</v>
      </c>
      <c r="J14" s="2939"/>
      <c r="K14" s="2904"/>
      <c r="L14" s="2904"/>
      <c r="M14" s="2530"/>
      <c r="N14" s="2360"/>
      <c r="O14" s="2530"/>
      <c r="P14" s="2530"/>
      <c r="Q14" s="2530"/>
      <c r="AD14" s="2567"/>
    </row>
    <row r="15" spans="1:30">
      <c r="A15" s="1928"/>
      <c r="B15" s="2940" t="s">
        <v>504</v>
      </c>
      <c r="C15" s="2941" t="str">
        <f>IF(A13="出让",IF(C13="","",ROUNDDOWN(MIN((C13-$D$3)/365,C14),2)),C14)</f>
        <v/>
      </c>
      <c r="D15" s="2941">
        <f>IF(A13="出让",IF(D13="","",ROUNDDOWN(MIN((D13-$D$3)/365,D14),2)),D14)</f>
        <v>12</v>
      </c>
      <c r="E15" s="2941">
        <f>IF(A13="出让",IF(E13="","",ROUNDDOWN(MIN((E13-$D$3)/365,E14),2)),E14)</f>
        <v>12</v>
      </c>
      <c r="F15" s="2941">
        <f>IF(A13="出让",IF(F13="","",ROUNDDOWN(MIN((F13-$D$3)/365,F14),2)),F14)</f>
        <v>12</v>
      </c>
      <c r="G15" s="2941" t="str">
        <f>IF(A13="出让",IF(G13="","",ROUNDDOWN(MIN((G13-$D$3)/365,G14),2)),G14)</f>
        <v/>
      </c>
      <c r="H15" s="2941" t="str">
        <f>IF(A13="出让",IF(H13="","",ROUNDDOWN(MIN((H13-$D$3)/365,H14),2)),H14)</f>
        <v/>
      </c>
      <c r="I15" s="2941">
        <f>IF(A13="出让",IF(I13="","",ROUNDDOWN(MIN((I13-$D$3)/365,I14),2)),I14)</f>
        <v>4.74</v>
      </c>
      <c r="J15" s="2942"/>
      <c r="K15" s="2360"/>
      <c r="L15" s="2360"/>
      <c r="M15" s="2530"/>
      <c r="N15" s="2360"/>
      <c r="O15" s="2530"/>
      <c r="P15" s="2530"/>
      <c r="Q15" s="2530"/>
      <c r="AD15" s="2567"/>
    </row>
    <row r="16" spans="1:30">
      <c r="A16" s="2921" t="s">
        <v>505</v>
      </c>
      <c r="B16" s="3227"/>
      <c r="C16" s="3228"/>
      <c r="D16" s="3229"/>
      <c r="E16" s="2943" t="s">
        <v>506</v>
      </c>
      <c r="F16" s="3230"/>
      <c r="G16" s="3231"/>
      <c r="H16" s="3231"/>
      <c r="I16" s="3232"/>
      <c r="J16" s="2530"/>
      <c r="K16" s="2944"/>
      <c r="L16" s="2360"/>
      <c r="M16" s="2360"/>
      <c r="N16" s="2530"/>
      <c r="O16" s="2360"/>
      <c r="P16" s="2530"/>
      <c r="Q16" s="2530"/>
      <c r="R16" s="2530"/>
    </row>
    <row r="17" spans="1:28">
      <c r="A17" s="1891" t="s">
        <v>507</v>
      </c>
      <c r="B17" s="1880" t="s">
        <v>508</v>
      </c>
      <c r="C17" s="1000">
        <f>'数据-汇总表'!E3</f>
        <v>50585.8</v>
      </c>
      <c r="D17" s="1939" t="s">
        <v>509</v>
      </c>
      <c r="E17" s="3233" t="s">
        <v>510</v>
      </c>
      <c r="F17" s="3234"/>
      <c r="G17" s="3234"/>
      <c r="H17" s="3234"/>
      <c r="I17" s="3235"/>
      <c r="J17" s="2530"/>
      <c r="K17" s="2945"/>
      <c r="L17" s="2360"/>
      <c r="M17" s="2360"/>
      <c r="N17" s="2530"/>
      <c r="O17" s="2360"/>
      <c r="P17" s="2530"/>
      <c r="Q17" s="2530"/>
      <c r="R17" s="2530"/>
      <c r="S17" s="2530"/>
      <c r="T17" s="2530"/>
      <c r="U17" s="2530"/>
      <c r="V17" s="2530"/>
    </row>
    <row r="18" spans="1:28" ht="24">
      <c r="A18" s="2946" t="s">
        <v>511</v>
      </c>
      <c r="B18" s="1907" t="s">
        <v>512</v>
      </c>
      <c r="C18" s="2947">
        <f>'数据-汇总表'!D3</f>
        <v>11435.33</v>
      </c>
      <c r="D18" s="1955" t="s">
        <v>509</v>
      </c>
      <c r="E18" s="3236" t="s">
        <v>513</v>
      </c>
      <c r="F18" s="3237"/>
      <c r="G18" s="3237"/>
      <c r="H18" s="3237"/>
      <c r="I18" s="3238"/>
      <c r="J18" s="2530"/>
      <c r="K18" s="2945"/>
      <c r="L18" s="2360"/>
      <c r="M18" s="2360"/>
      <c r="N18" s="2530"/>
      <c r="O18" s="2360"/>
      <c r="P18" s="2530"/>
      <c r="Q18" s="2530"/>
      <c r="R18" s="2530"/>
      <c r="S18" s="2530"/>
      <c r="T18" s="2530"/>
      <c r="U18" s="2530"/>
      <c r="V18" s="2530"/>
    </row>
    <row r="19" spans="1:28" ht="36">
      <c r="A19" s="1950" t="s">
        <v>514</v>
      </c>
      <c r="B19" s="1886" t="s">
        <v>515</v>
      </c>
      <c r="C19" s="2948"/>
      <c r="D19" s="2949" t="s">
        <v>516</v>
      </c>
      <c r="E19" s="2950"/>
      <c r="F19" s="2951" t="str">
        <f>IF(AND(C19="是",E19="否"),"是否提供他项权证或相关说明","")</f>
        <v/>
      </c>
      <c r="G19" s="2952"/>
      <c r="H19" s="2734"/>
      <c r="I19" s="2734"/>
      <c r="J19" s="2530"/>
      <c r="K19" s="2906"/>
      <c r="L19" s="2904"/>
      <c r="M19" s="2904"/>
      <c r="N19" s="2530"/>
      <c r="O19" s="2360"/>
      <c r="P19" s="2530"/>
      <c r="Q19" s="2530"/>
      <c r="R19" s="2530"/>
      <c r="S19" s="2530"/>
      <c r="T19" s="2530"/>
      <c r="U19" s="2530"/>
      <c r="V19" s="2530"/>
    </row>
    <row r="20" spans="1:28">
      <c r="A20" s="2953" t="s">
        <v>517</v>
      </c>
      <c r="B20" s="3243" t="s">
        <v>518</v>
      </c>
      <c r="C20" s="3244"/>
      <c r="D20" s="3245" t="s">
        <v>519</v>
      </c>
      <c r="E20" s="3246"/>
      <c r="F20" s="2954" t="s">
        <v>520</v>
      </c>
      <c r="G20" s="2734"/>
      <c r="H20" s="2734"/>
      <c r="I20" s="2734"/>
      <c r="J20" s="2530"/>
      <c r="K20" s="3241" t="s">
        <v>521</v>
      </c>
      <c r="L20" s="19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7"/>
      <c r="N20" s="2888"/>
      <c r="O20" s="2380"/>
      <c r="P20" s="2888"/>
      <c r="Q20" s="2888"/>
      <c r="R20" s="2888"/>
      <c r="S20" s="2888"/>
      <c r="T20" s="2888"/>
      <c r="U20" s="2888"/>
      <c r="V20" s="2888"/>
      <c r="W20" s="2567"/>
      <c r="X20" s="2567"/>
      <c r="Y20" s="2567"/>
      <c r="Z20" s="2567"/>
      <c r="AA20" s="2567"/>
      <c r="AB20" s="2567"/>
    </row>
    <row r="21" spans="1:28" ht="24">
      <c r="A21" s="2953"/>
      <c r="B21" s="2955" t="s">
        <v>522</v>
      </c>
      <c r="C21" s="2559" t="s">
        <v>523</v>
      </c>
      <c r="D21" s="2956" t="s">
        <v>524</v>
      </c>
      <c r="E21" s="2957" t="s">
        <v>523</v>
      </c>
      <c r="F21" s="2958"/>
      <c r="G21" s="2734"/>
      <c r="H21" s="2734"/>
      <c r="I21" s="2734"/>
      <c r="J21" s="2530"/>
      <c r="K21" s="3241"/>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7"/>
      <c r="N21" s="2888"/>
      <c r="O21" s="2380"/>
      <c r="P21" s="2888"/>
      <c r="Q21" s="2888"/>
      <c r="R21" s="2888"/>
      <c r="S21" s="2888"/>
      <c r="T21" s="2888"/>
      <c r="U21" s="2888"/>
      <c r="V21" s="2888"/>
      <c r="W21" s="2567"/>
      <c r="X21" s="2567"/>
      <c r="Y21" s="2567"/>
      <c r="Z21" s="2567"/>
      <c r="AA21" s="2567"/>
      <c r="AB21" s="2567"/>
    </row>
    <row r="22" spans="1:28" ht="24">
      <c r="A22" s="2953"/>
      <c r="B22" s="2959" t="s">
        <v>525</v>
      </c>
      <c r="C22" s="2559" t="s">
        <v>526</v>
      </c>
      <c r="D22" s="2734"/>
      <c r="E22" s="2734"/>
      <c r="F22" s="2734"/>
      <c r="G22" s="2734"/>
      <c r="H22" s="2734"/>
      <c r="I22" s="2734"/>
      <c r="J22" s="2530"/>
      <c r="K22" s="3241"/>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7"/>
      <c r="N22" s="2888"/>
      <c r="O22" s="2380"/>
      <c r="P22" s="2888"/>
      <c r="Q22" s="2888"/>
      <c r="R22" s="2888"/>
      <c r="S22" s="2888"/>
      <c r="T22" s="2888"/>
      <c r="U22" s="2888"/>
      <c r="V22" s="2888"/>
      <c r="W22" s="2567"/>
      <c r="X22" s="2567"/>
      <c r="Y22" s="2567"/>
      <c r="Z22" s="2567"/>
      <c r="AA22" s="2567"/>
      <c r="AB22" s="2567"/>
    </row>
    <row r="23" spans="1:28">
      <c r="A23" s="2960" t="s">
        <v>527</v>
      </c>
      <c r="B23" s="2556" t="s">
        <v>528</v>
      </c>
      <c r="C23" s="2961"/>
      <c r="D23" s="2962" t="s">
        <v>528</v>
      </c>
      <c r="E23" s="2963"/>
      <c r="F23" s="2734"/>
      <c r="G23" s="2734"/>
      <c r="H23" s="2734"/>
      <c r="I23" s="2734"/>
      <c r="J23" s="2530"/>
      <c r="K23" s="2903"/>
      <c r="L23" s="985"/>
      <c r="M23" s="2904"/>
      <c r="N23" s="2530"/>
      <c r="O23" s="2360"/>
      <c r="P23" s="2530"/>
      <c r="Q23" s="2530"/>
      <c r="R23" s="2530"/>
      <c r="S23" s="2530"/>
      <c r="T23" s="2530"/>
      <c r="U23" s="2530"/>
      <c r="V23" s="2530"/>
    </row>
    <row r="24" spans="1:28">
      <c r="A24" s="2960"/>
      <c r="B24" s="2556" t="s">
        <v>529</v>
      </c>
      <c r="C24" s="2529"/>
      <c r="D24" s="2960" t="s">
        <v>529</v>
      </c>
      <c r="E24" s="2964"/>
      <c r="F24" s="2734"/>
      <c r="G24" s="2734"/>
      <c r="H24" s="2734"/>
      <c r="I24" s="2734"/>
      <c r="J24" s="2530"/>
      <c r="K24" s="2903"/>
      <c r="L24" s="985"/>
      <c r="M24" s="2904"/>
      <c r="N24" s="2530"/>
      <c r="O24" s="2360"/>
      <c r="P24" s="2530"/>
      <c r="Q24" s="2530"/>
      <c r="R24" s="2530"/>
      <c r="S24" s="2530"/>
      <c r="T24" s="2530"/>
      <c r="U24" s="2530"/>
      <c r="V24" s="2530"/>
    </row>
    <row r="25" spans="1:28">
      <c r="A25" s="2960"/>
      <c r="B25" s="2556" t="s">
        <v>530</v>
      </c>
      <c r="C25" s="2529"/>
      <c r="D25" s="2960" t="s">
        <v>530</v>
      </c>
      <c r="E25" s="2964"/>
      <c r="F25" s="2734"/>
      <c r="G25" s="2734"/>
      <c r="H25" s="2734"/>
      <c r="I25" s="2734"/>
      <c r="J25" s="2530"/>
      <c r="K25" s="2906"/>
      <c r="L25" s="2904"/>
      <c r="M25" s="2904"/>
      <c r="N25" s="2530"/>
      <c r="O25" s="2360"/>
      <c r="P25" s="2530"/>
      <c r="Q25" s="2530"/>
      <c r="R25" s="2530"/>
      <c r="S25" s="2530"/>
      <c r="T25" s="2530"/>
      <c r="U25" s="2530"/>
      <c r="V25" s="2530"/>
    </row>
    <row r="26" spans="1:28">
      <c r="A26" s="2965"/>
      <c r="B26" s="2966" t="s">
        <v>531</v>
      </c>
      <c r="C26" s="2967"/>
      <c r="D26" s="2965" t="s">
        <v>531</v>
      </c>
      <c r="E26" s="2968"/>
      <c r="F26" s="2917"/>
      <c r="G26" s="2917"/>
      <c r="H26" s="2917"/>
      <c r="I26" s="2917"/>
      <c r="J26" s="2530"/>
      <c r="K26" s="2906"/>
      <c r="L26" s="2904"/>
      <c r="M26" s="2904"/>
      <c r="N26" s="2530"/>
      <c r="O26" s="2360"/>
      <c r="P26" s="2530"/>
      <c r="Q26" s="2530"/>
      <c r="R26" s="2530"/>
      <c r="S26" s="2530"/>
      <c r="T26" s="2530"/>
      <c r="U26" s="2530"/>
      <c r="V26" s="2530"/>
    </row>
    <row r="27" spans="1:28">
      <c r="A27" s="3220" t="s">
        <v>532</v>
      </c>
      <c r="B27" s="1928" t="s">
        <v>533</v>
      </c>
      <c r="C27" s="2969"/>
      <c r="D27" s="2970"/>
      <c r="E27" s="2734"/>
      <c r="F27" s="2734"/>
      <c r="G27" s="2734"/>
      <c r="H27" s="2734"/>
      <c r="I27" s="2734"/>
      <c r="J27" s="2530"/>
      <c r="K27" s="2944"/>
      <c r="L27" s="2360"/>
      <c r="M27" s="2360"/>
      <c r="N27" s="2530"/>
      <c r="O27" s="2360"/>
      <c r="P27" s="2530"/>
      <c r="Q27" s="2530"/>
      <c r="R27" s="2530"/>
      <c r="S27" s="2530"/>
      <c r="T27" s="2530"/>
      <c r="U27" s="2530"/>
      <c r="V27" s="2530"/>
    </row>
    <row r="28" spans="1:28">
      <c r="A28" s="3220"/>
      <c r="B28" s="1880" t="s">
        <v>534</v>
      </c>
      <c r="C28" s="2971"/>
      <c r="D28" s="2972"/>
      <c r="E28" s="2734"/>
      <c r="F28" s="2734"/>
      <c r="G28" s="2734"/>
      <c r="H28" s="2734"/>
      <c r="I28" s="2734"/>
      <c r="J28" s="2530"/>
      <c r="K28" s="2906"/>
      <c r="L28" s="2904"/>
      <c r="M28" s="2904"/>
      <c r="N28" s="2530"/>
      <c r="O28" s="2360"/>
      <c r="P28" s="2530"/>
      <c r="Q28" s="2530"/>
      <c r="R28" s="2530"/>
      <c r="S28" s="2530"/>
      <c r="T28" s="2530"/>
      <c r="U28" s="2530"/>
      <c r="V28" s="2530"/>
    </row>
    <row r="29" spans="1:28">
      <c r="A29" s="3220"/>
      <c r="B29" s="1880" t="s">
        <v>535</v>
      </c>
      <c r="C29" s="2973"/>
      <c r="D29" s="2974"/>
      <c r="E29" s="2734"/>
      <c r="F29" s="2734"/>
      <c r="G29" s="2734"/>
      <c r="H29" s="2734"/>
      <c r="I29" s="2734"/>
      <c r="J29" s="2530"/>
      <c r="K29" s="2906"/>
      <c r="L29" s="2904"/>
      <c r="M29" s="2904"/>
      <c r="N29" s="2530"/>
      <c r="O29" s="2360"/>
      <c r="P29" s="2530"/>
      <c r="Q29" s="2530"/>
      <c r="R29" s="2530"/>
      <c r="S29" s="2530"/>
      <c r="T29" s="2530"/>
      <c r="U29" s="2530"/>
      <c r="V29" s="2530"/>
    </row>
    <row r="30" spans="1:28">
      <c r="A30" s="3221"/>
      <c r="B30" s="1880" t="s">
        <v>536</v>
      </c>
      <c r="C30" s="3247"/>
      <c r="D30" s="3248"/>
      <c r="E30" s="2734"/>
      <c r="F30" s="2734"/>
      <c r="G30" s="2734"/>
      <c r="H30" s="2734"/>
      <c r="I30" s="2734"/>
      <c r="J30" s="2530"/>
      <c r="K30" s="2906"/>
      <c r="L30" s="2904"/>
      <c r="M30" s="2904"/>
      <c r="N30" s="2530"/>
      <c r="O30" s="2360"/>
      <c r="P30" s="2530"/>
      <c r="Q30" s="2530"/>
      <c r="R30" s="2530"/>
      <c r="S30" s="2530"/>
      <c r="T30" s="2530"/>
      <c r="U30" s="2530"/>
      <c r="V30" s="2530"/>
    </row>
    <row r="31" spans="1:28">
      <c r="A31" s="3222" t="s">
        <v>537</v>
      </c>
      <c r="B31" s="2975"/>
      <c r="C31" s="1925" t="str">
        <f>IF(B31="现房","成新及维护状况正常否",IF(B31="在建","工程状态是否正常",IF(B31="土地","是否闲置","-")))</f>
        <v>-</v>
      </c>
      <c r="D31" s="2120"/>
      <c r="E31" s="2976"/>
      <c r="F31" s="2734"/>
      <c r="G31" s="2734"/>
      <c r="H31" s="2734"/>
      <c r="I31" s="2734"/>
      <c r="J31" s="2530"/>
      <c r="K31" s="2903"/>
      <c r="L31" s="2904"/>
      <c r="M31" s="2904"/>
      <c r="N31" s="2530"/>
      <c r="O31" s="2360"/>
      <c r="P31" s="2530"/>
      <c r="Q31" s="2530"/>
      <c r="R31" s="2530"/>
      <c r="S31" s="2530"/>
      <c r="T31" s="2530"/>
      <c r="U31" s="2530"/>
      <c r="V31" s="2530"/>
    </row>
    <row r="32" spans="1:28">
      <c r="A32" s="3223"/>
      <c r="B32" s="2975"/>
      <c r="C32" s="1925" t="str">
        <f>IF(B32="现房","成新及维护状况是否正常",IF(B32="在建","工程状态是否正常",IF(B32="土地","是否闲置","-")))</f>
        <v>-</v>
      </c>
      <c r="D32" s="2120"/>
      <c r="E32" s="2976"/>
      <c r="F32" s="2734"/>
      <c r="G32" s="2734"/>
      <c r="H32" s="2734"/>
      <c r="I32" s="2734"/>
      <c r="J32" s="2530"/>
      <c r="K32" s="2906"/>
      <c r="L32" s="2904"/>
      <c r="M32" s="2904"/>
      <c r="N32" s="2530"/>
      <c r="O32" s="2360"/>
      <c r="P32" s="2530"/>
      <c r="Q32" s="2530"/>
      <c r="R32" s="2530"/>
      <c r="S32" s="2530"/>
      <c r="T32" s="2530"/>
      <c r="U32" s="2530"/>
      <c r="V32" s="2530"/>
    </row>
    <row r="33" spans="1:30">
      <c r="A33" s="3223"/>
      <c r="B33" s="2977"/>
      <c r="C33" s="2339" t="str">
        <f>IF(B33="现房","成新及维护状况是否正常",IF(B33="在建","工程状态是否正常",IF(B33="土地","是否闲置","-")))</f>
        <v>-</v>
      </c>
      <c r="D33" s="1893"/>
      <c r="E33" s="2978"/>
      <c r="F33" s="2734"/>
      <c r="G33" s="2734"/>
      <c r="H33" s="2734"/>
      <c r="I33" s="2734"/>
      <c r="J33" s="2530"/>
      <c r="K33" s="2906"/>
      <c r="L33" s="2904"/>
      <c r="M33" s="2904"/>
      <c r="N33" s="2530"/>
      <c r="O33" s="2360"/>
      <c r="P33" s="2530"/>
      <c r="Q33" s="2530"/>
      <c r="R33" s="2530"/>
      <c r="S33" s="2530"/>
      <c r="T33" s="2530"/>
      <c r="U33" s="2530"/>
      <c r="V33" s="2530"/>
    </row>
    <row r="34" spans="1:30">
      <c r="A34" s="1880" t="s">
        <v>538</v>
      </c>
      <c r="B34" s="567"/>
      <c r="C34" s="567"/>
      <c r="D34" s="567"/>
      <c r="E34" s="567"/>
      <c r="F34" s="567"/>
      <c r="G34" s="567"/>
      <c r="H34" s="567"/>
      <c r="I34" s="2734"/>
      <c r="J34" s="2530"/>
      <c r="K34" s="1000">
        <f>COUNTIF(B34:H34,"——")</f>
        <v>0</v>
      </c>
      <c r="L34" s="1943" t="s">
        <v>539</v>
      </c>
      <c r="M34" s="1943" t="s">
        <v>540</v>
      </c>
      <c r="N34" s="1943" t="s">
        <v>541</v>
      </c>
      <c r="O34" s="1943" t="s">
        <v>542</v>
      </c>
      <c r="P34" s="1943" t="s">
        <v>543</v>
      </c>
      <c r="Q34" s="1943" t="s">
        <v>544</v>
      </c>
      <c r="R34" s="1943" t="s">
        <v>545</v>
      </c>
      <c r="S34" s="3242" t="s">
        <v>546</v>
      </c>
      <c r="T34" s="1943" t="str">
        <f>NUMBERSTRING(7-K34,1)&amp;"通"</f>
        <v>七通</v>
      </c>
      <c r="U34" s="2530"/>
      <c r="V34" s="2530"/>
    </row>
    <row r="35" spans="1:30">
      <c r="A35" s="2979"/>
      <c r="B35" s="3242" t="s">
        <v>547</v>
      </c>
      <c r="C35" s="3242"/>
      <c r="D35" s="3242"/>
      <c r="E35" s="3242"/>
      <c r="F35" s="1000">
        <f>C10</f>
        <v>0</v>
      </c>
      <c r="G35" s="2734"/>
      <c r="H35" s="2734"/>
      <c r="I35" s="2734"/>
      <c r="J35" s="2530"/>
      <c r="K35" s="1943"/>
      <c r="L35" s="1943">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2"/>
      <c r="T35" s="902" t="str">
        <f>IF(T34="一通",L35,IF(T34="二通",M35,IF(T34="三通",N35,IF(T34="四通",O35,IF(T34="五通",P35,IF(T34="六通",Q35,R35))))))</f>
        <v>、、、、、、</v>
      </c>
      <c r="U35" s="2530"/>
      <c r="V35" s="2530"/>
    </row>
    <row r="36" spans="1:30">
      <c r="A36" s="2886"/>
      <c r="B36" s="1000" t="s">
        <v>496</v>
      </c>
      <c r="C36" s="1000" t="s">
        <v>497</v>
      </c>
      <c r="D36" s="1000" t="s">
        <v>495</v>
      </c>
      <c r="E36" s="1000" t="s">
        <v>500</v>
      </c>
      <c r="F36" s="2933" t="s">
        <v>231</v>
      </c>
      <c r="G36" s="2734"/>
      <c r="H36" s="2734"/>
      <c r="I36" s="2734"/>
      <c r="J36" s="2530"/>
      <c r="K36" s="2906"/>
      <c r="L36" s="2904"/>
      <c r="M36" s="2904"/>
      <c r="N36" s="2530"/>
      <c r="O36" s="2360"/>
      <c r="P36" s="2530"/>
      <c r="Q36" s="2530"/>
      <c r="R36" s="2530"/>
      <c r="S36" s="2530"/>
      <c r="T36" s="2530"/>
      <c r="U36" s="2530"/>
      <c r="V36" s="2530"/>
    </row>
    <row r="37" spans="1:30">
      <c r="A37" s="2980" t="s">
        <v>548</v>
      </c>
      <c r="B37" s="2981"/>
      <c r="C37" s="2981"/>
      <c r="D37" s="2981"/>
      <c r="E37" s="2981"/>
      <c r="F37" s="2981"/>
      <c r="G37" s="2734"/>
      <c r="H37" s="2734"/>
      <c r="I37" s="2734"/>
      <c r="J37" s="2530"/>
      <c r="K37" s="2906"/>
      <c r="L37" s="2904"/>
      <c r="M37" s="2904"/>
      <c r="N37" s="2530"/>
      <c r="O37" s="2360"/>
      <c r="P37" s="2530"/>
      <c r="Q37" s="2530"/>
      <c r="R37" s="2530"/>
      <c r="S37" s="2530"/>
      <c r="T37" s="2530"/>
      <c r="U37" s="2530"/>
      <c r="V37" s="2530"/>
    </row>
    <row r="38" spans="1:30">
      <c r="A38" s="2982" t="s">
        <v>549</v>
      </c>
      <c r="B38" s="2983"/>
      <c r="C38" s="2983"/>
      <c r="D38" s="2983"/>
      <c r="E38" s="2983"/>
      <c r="F38" s="2983"/>
      <c r="G38" s="2917"/>
      <c r="H38" s="2917"/>
      <c r="I38" s="2917"/>
      <c r="J38" s="2530"/>
      <c r="K38" s="2906"/>
      <c r="L38" s="2904"/>
      <c r="M38" s="2904"/>
      <c r="N38" s="2530"/>
      <c r="O38" s="2360"/>
      <c r="P38" s="2530"/>
      <c r="Q38" s="2530"/>
      <c r="R38" s="2530"/>
      <c r="S38" s="2530"/>
      <c r="T38" s="2530"/>
      <c r="U38" s="2530"/>
      <c r="V38" s="2530"/>
    </row>
    <row r="39" spans="1:30" s="2882" customFormat="1">
      <c r="A39" s="2984" t="s">
        <v>550</v>
      </c>
      <c r="B39" s="2985"/>
      <c r="C39" s="2985"/>
      <c r="D39" s="2985"/>
      <c r="E39" s="2985"/>
      <c r="F39" s="2985"/>
      <c r="G39" s="2985"/>
      <c r="H39" s="2985"/>
      <c r="I39" s="2985"/>
      <c r="J39" s="2986"/>
      <c r="K39" s="2987"/>
      <c r="L39" s="2986"/>
      <c r="M39" s="2986"/>
      <c r="N39" s="2986"/>
      <c r="O39" s="2988"/>
      <c r="P39" s="2986"/>
      <c r="Q39" s="2986"/>
      <c r="R39" s="2986"/>
      <c r="S39" s="2986"/>
      <c r="T39" s="2986"/>
      <c r="U39" s="2986"/>
      <c r="V39" s="2986"/>
      <c r="W39" s="2989"/>
      <c r="X39" s="2989"/>
      <c r="Y39" s="2989"/>
      <c r="Z39" s="2989"/>
      <c r="AA39" s="2989"/>
      <c r="AB39" s="2989"/>
      <c r="AC39" s="2989"/>
      <c r="AD39" s="2989"/>
    </row>
    <row r="40" spans="1:30">
      <c r="A40" s="2888"/>
      <c r="B40" s="2888"/>
      <c r="C40" s="2888"/>
      <c r="D40" s="2888"/>
      <c r="E40" s="2888"/>
      <c r="F40" s="2888"/>
      <c r="G40" s="2888"/>
      <c r="H40" s="2888"/>
      <c r="I40" s="2380"/>
      <c r="J40" s="2530"/>
      <c r="K40" s="2903"/>
      <c r="L40" s="2360"/>
      <c r="M40" s="2360"/>
      <c r="N40" s="2530"/>
      <c r="O40" s="2360"/>
      <c r="P40" s="2530"/>
      <c r="Q40" s="2530"/>
      <c r="R40" s="2530"/>
      <c r="S40" s="2530"/>
      <c r="T40" s="2530"/>
      <c r="U40" s="2530"/>
      <c r="V40" s="2530"/>
    </row>
    <row r="41" spans="1:30">
      <c r="A41" s="2990" t="s">
        <v>551</v>
      </c>
      <c r="B41" s="2242"/>
      <c r="C41" s="2120"/>
      <c r="D41" s="2888"/>
      <c r="E41" s="2888"/>
      <c r="F41" s="2888"/>
      <c r="G41" s="2888"/>
      <c r="H41" s="2888"/>
      <c r="I41" s="2380"/>
      <c r="J41" s="2530"/>
      <c r="K41" s="2906"/>
      <c r="L41" s="2904"/>
      <c r="M41" s="2904"/>
      <c r="N41" s="2530"/>
      <c r="O41" s="2360"/>
      <c r="P41" s="2530"/>
      <c r="Q41" s="2530"/>
      <c r="R41" s="2530"/>
      <c r="S41" s="2530"/>
      <c r="T41" s="2530"/>
      <c r="U41" s="2530"/>
      <c r="V41" s="2530"/>
    </row>
    <row r="42" spans="1:30" ht="25.5">
      <c r="A42" s="1943" t="s">
        <v>552</v>
      </c>
      <c r="B42" s="1000" t="s">
        <v>553</v>
      </c>
      <c r="C42" s="1000" t="s">
        <v>554</v>
      </c>
      <c r="D42" s="1000" t="s">
        <v>555</v>
      </c>
      <c r="E42" s="1000" t="s">
        <v>556</v>
      </c>
      <c r="F42" s="1000" t="s">
        <v>557</v>
      </c>
      <c r="G42" s="1000" t="s">
        <v>558</v>
      </c>
      <c r="H42" s="1000" t="s">
        <v>559</v>
      </c>
      <c r="I42" s="1000" t="s">
        <v>560</v>
      </c>
      <c r="J42" s="2991" t="s">
        <v>561</v>
      </c>
      <c r="K42" s="2992" t="s">
        <v>562</v>
      </c>
      <c r="L42" s="2992" t="s">
        <v>563</v>
      </c>
      <c r="M42" s="2992" t="s">
        <v>564</v>
      </c>
      <c r="N42" s="2993" t="s">
        <v>565</v>
      </c>
      <c r="O42" s="2993" t="s">
        <v>566</v>
      </c>
      <c r="P42" s="2993" t="s">
        <v>567</v>
      </c>
      <c r="Q42" s="2994" t="s">
        <v>568</v>
      </c>
      <c r="R42" s="2994" t="s">
        <v>569</v>
      </c>
      <c r="S42" s="2530"/>
      <c r="T42" s="2530"/>
      <c r="U42" s="2530"/>
      <c r="V42" s="2530"/>
    </row>
    <row r="43" spans="1:30" s="2738" customFormat="1">
      <c r="A43" s="2869"/>
      <c r="B43" s="914"/>
      <c r="C43" s="914"/>
      <c r="D43" s="914"/>
      <c r="E43" s="914"/>
      <c r="F43" s="914"/>
      <c r="G43" s="914"/>
      <c r="H43" s="914"/>
      <c r="I43" s="914"/>
      <c r="J43" s="2995"/>
      <c r="K43" s="2996"/>
      <c r="L43" s="2996"/>
      <c r="M43" s="914"/>
      <c r="N43" s="914"/>
      <c r="O43" s="914"/>
      <c r="P43" s="914"/>
      <c r="Q43" s="914"/>
      <c r="R43" s="914"/>
      <c r="S43" s="2530"/>
      <c r="T43" s="2530"/>
      <c r="U43" s="2530"/>
      <c r="V43" s="2530"/>
    </row>
    <row r="44" spans="1:30" s="2738" customFormat="1">
      <c r="A44" s="2869"/>
      <c r="B44" s="2869"/>
      <c r="C44" s="914"/>
      <c r="D44" s="914"/>
      <c r="E44" s="914"/>
      <c r="F44" s="914"/>
      <c r="G44" s="914"/>
      <c r="H44" s="914"/>
      <c r="I44" s="914"/>
      <c r="J44" s="2995"/>
      <c r="K44" s="2996"/>
      <c r="L44" s="2996"/>
      <c r="M44" s="914"/>
      <c r="N44" s="914"/>
      <c r="O44" s="914"/>
      <c r="P44" s="914"/>
      <c r="Q44" s="914"/>
      <c r="R44" s="914"/>
      <c r="S44" s="2530"/>
      <c r="T44" s="2530"/>
      <c r="U44" s="2530"/>
      <c r="V44" s="2530"/>
    </row>
    <row r="45" spans="1:30" s="2738" customFormat="1">
      <c r="A45" s="2869"/>
      <c r="B45" s="2869"/>
      <c r="C45" s="914"/>
      <c r="D45" s="914"/>
      <c r="E45" s="914"/>
      <c r="F45" s="914"/>
      <c r="G45" s="914"/>
      <c r="H45" s="914"/>
      <c r="I45" s="914"/>
      <c r="J45" s="2995"/>
      <c r="K45" s="2996"/>
      <c r="L45" s="2996"/>
      <c r="M45" s="914"/>
      <c r="N45" s="914"/>
      <c r="O45" s="914"/>
      <c r="P45" s="914"/>
      <c r="Q45" s="914"/>
      <c r="R45" s="914"/>
      <c r="S45" s="2530"/>
      <c r="T45" s="2530"/>
      <c r="U45" s="2530"/>
      <c r="V45" s="2530"/>
    </row>
    <row r="46" spans="1:30" s="2738" customFormat="1">
      <c r="A46" s="2869"/>
      <c r="B46" s="2869"/>
      <c r="C46" s="914"/>
      <c r="D46" s="914"/>
      <c r="E46" s="914"/>
      <c r="F46" s="914"/>
      <c r="G46" s="914"/>
      <c r="H46" s="914"/>
      <c r="I46" s="914"/>
      <c r="J46" s="2995"/>
      <c r="K46" s="2996"/>
      <c r="L46" s="2996"/>
      <c r="M46" s="914"/>
      <c r="N46" s="914"/>
      <c r="O46" s="914"/>
      <c r="P46" s="914"/>
      <c r="Q46" s="914"/>
      <c r="R46" s="914"/>
      <c r="S46" s="2530"/>
      <c r="T46" s="2530"/>
      <c r="U46" s="2530"/>
      <c r="V46" s="2530"/>
    </row>
    <row r="47" spans="1:30" s="2738" customFormat="1">
      <c r="A47" s="2869"/>
      <c r="B47" s="2869"/>
      <c r="C47" s="914"/>
      <c r="D47" s="914"/>
      <c r="E47" s="914"/>
      <c r="F47" s="914"/>
      <c r="G47" s="914"/>
      <c r="H47" s="914"/>
      <c r="I47" s="914"/>
      <c r="J47" s="2995"/>
      <c r="K47" s="2996"/>
      <c r="L47" s="2996"/>
      <c r="M47" s="914"/>
      <c r="N47" s="914"/>
      <c r="O47" s="914"/>
      <c r="P47" s="914"/>
      <c r="Q47" s="914"/>
      <c r="R47" s="914"/>
      <c r="S47" s="2530"/>
      <c r="T47" s="2530"/>
      <c r="U47" s="2530"/>
      <c r="V47" s="2530"/>
    </row>
    <row r="48" spans="1:30" s="2738" customFormat="1">
      <c r="A48" s="2869"/>
      <c r="B48" s="2869"/>
      <c r="C48" s="914"/>
      <c r="D48" s="914"/>
      <c r="E48" s="914"/>
      <c r="F48" s="914"/>
      <c r="G48" s="914"/>
      <c r="H48" s="914"/>
      <c r="I48" s="914"/>
      <c r="J48" s="2995"/>
      <c r="K48" s="2996"/>
      <c r="L48" s="2996"/>
      <c r="M48" s="914"/>
      <c r="N48" s="914"/>
      <c r="O48" s="914"/>
      <c r="P48" s="914"/>
      <c r="Q48" s="914"/>
      <c r="R48" s="914"/>
      <c r="S48" s="2530"/>
      <c r="T48" s="2530"/>
      <c r="U48" s="2530"/>
      <c r="V48" s="2530"/>
    </row>
    <row r="49" spans="1:22" s="2738" customFormat="1">
      <c r="A49" s="2869"/>
      <c r="B49" s="2869"/>
      <c r="C49" s="914"/>
      <c r="D49" s="914"/>
      <c r="E49" s="914"/>
      <c r="F49" s="914"/>
      <c r="G49" s="914"/>
      <c r="H49" s="914"/>
      <c r="I49" s="914"/>
      <c r="J49" s="2995"/>
      <c r="K49" s="2996"/>
      <c r="L49" s="2996"/>
      <c r="M49" s="914"/>
      <c r="N49" s="914"/>
      <c r="O49" s="914"/>
      <c r="P49" s="914"/>
      <c r="Q49" s="914"/>
      <c r="R49" s="914"/>
      <c r="S49" s="2530"/>
      <c r="T49" s="2530"/>
      <c r="U49" s="2530"/>
      <c r="V49" s="2530"/>
    </row>
    <row r="50" spans="1:22" s="2738" customFormat="1">
      <c r="A50" s="2869"/>
      <c r="B50" s="2869"/>
      <c r="C50" s="914"/>
      <c r="D50" s="914"/>
      <c r="E50" s="914"/>
      <c r="F50" s="914"/>
      <c r="G50" s="914"/>
      <c r="H50" s="914"/>
      <c r="I50" s="914"/>
      <c r="J50" s="2995"/>
      <c r="K50" s="2996"/>
      <c r="L50" s="2996"/>
      <c r="M50" s="914"/>
      <c r="N50" s="914"/>
      <c r="O50" s="914"/>
      <c r="P50" s="914"/>
      <c r="Q50" s="914"/>
      <c r="R50" s="914"/>
      <c r="S50" s="2530"/>
      <c r="T50" s="2530"/>
      <c r="U50" s="2530"/>
      <c r="V50" s="2530"/>
    </row>
    <row r="51" spans="1:22" s="2738" customFormat="1">
      <c r="A51" s="2869"/>
      <c r="B51" s="2869"/>
      <c r="C51" s="914"/>
      <c r="D51" s="914"/>
      <c r="E51" s="914"/>
      <c r="F51" s="914"/>
      <c r="G51" s="914"/>
      <c r="H51" s="914"/>
      <c r="I51" s="914"/>
      <c r="J51" s="2995"/>
      <c r="K51" s="2996"/>
      <c r="L51" s="2996"/>
      <c r="M51" s="914"/>
      <c r="N51" s="914"/>
      <c r="O51" s="914"/>
      <c r="P51" s="914"/>
      <c r="Q51" s="914"/>
      <c r="R51" s="914"/>
    </row>
    <row r="52" spans="1:22" s="2738" customFormat="1">
      <c r="A52" s="2869"/>
      <c r="B52" s="2869"/>
      <c r="C52" s="2869"/>
      <c r="D52" s="2869"/>
      <c r="E52" s="2869"/>
      <c r="F52" s="914"/>
      <c r="G52" s="2869"/>
      <c r="H52" s="2869"/>
      <c r="I52" s="2869"/>
      <c r="J52" s="2997"/>
      <c r="K52" s="2996"/>
      <c r="L52" s="2996"/>
      <c r="M52" s="2996"/>
      <c r="N52" s="2869"/>
      <c r="O52" s="2869"/>
      <c r="P52" s="2869"/>
      <c r="Q52" s="2869"/>
      <c r="R52" s="2869"/>
    </row>
    <row r="53" spans="1:22" s="2738" customFormat="1">
      <c r="A53" s="2869"/>
      <c r="B53" s="2869"/>
      <c r="C53" s="2869"/>
      <c r="D53" s="2869"/>
      <c r="E53" s="2869"/>
      <c r="F53" s="914"/>
      <c r="G53" s="2869"/>
      <c r="H53" s="2869"/>
      <c r="I53" s="2869"/>
      <c r="J53" s="2997"/>
      <c r="K53" s="2996"/>
      <c r="L53" s="2996"/>
      <c r="M53" s="2996"/>
      <c r="N53" s="2869"/>
      <c r="O53" s="2869"/>
      <c r="P53" s="2869"/>
      <c r="Q53" s="2869"/>
      <c r="R53" s="2869"/>
    </row>
    <row r="54" spans="1:22" s="2738" customFormat="1">
      <c r="A54" s="2869"/>
      <c r="B54" s="2869"/>
      <c r="C54" s="2869"/>
      <c r="D54" s="2869"/>
      <c r="E54" s="2869"/>
      <c r="F54" s="914"/>
      <c r="G54" s="2869"/>
      <c r="H54" s="2869"/>
      <c r="I54" s="2869"/>
      <c r="J54" s="2997"/>
      <c r="K54" s="2996"/>
      <c r="L54" s="2996"/>
      <c r="M54" s="2996"/>
      <c r="N54" s="2869"/>
      <c r="O54" s="2869"/>
      <c r="P54" s="2869"/>
      <c r="Q54" s="2869"/>
      <c r="R54" s="2869"/>
    </row>
    <row r="55" spans="1:22" s="2738" customFormat="1">
      <c r="A55" s="2869"/>
      <c r="B55" s="2869"/>
      <c r="C55" s="2869"/>
      <c r="D55" s="2869"/>
      <c r="E55" s="2869"/>
      <c r="F55" s="914"/>
      <c r="G55" s="2869"/>
      <c r="H55" s="2869"/>
      <c r="I55" s="2869"/>
      <c r="J55" s="2997"/>
      <c r="K55" s="2996"/>
      <c r="L55" s="2996"/>
      <c r="M55" s="2996"/>
      <c r="N55" s="2869"/>
      <c r="O55" s="2869"/>
      <c r="P55" s="2869"/>
      <c r="Q55" s="2869"/>
      <c r="R55" s="2869"/>
    </row>
    <row r="56" spans="1:22" s="2738" customFormat="1">
      <c r="A56" s="2869"/>
      <c r="B56" s="2869"/>
      <c r="C56" s="2869"/>
      <c r="D56" s="2869"/>
      <c r="E56" s="2869"/>
      <c r="F56" s="914"/>
      <c r="G56" s="2869"/>
      <c r="H56" s="2869"/>
      <c r="I56" s="2869"/>
      <c r="J56" s="2997"/>
      <c r="K56" s="2996"/>
      <c r="L56" s="2996"/>
      <c r="M56" s="2996"/>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804" customWidth="1"/>
    <col min="2" max="2" width="11" style="2804" customWidth="1"/>
    <col min="3" max="3" width="10.375" style="2804" customWidth="1"/>
    <col min="4" max="4" width="9.125" style="2804" customWidth="1"/>
    <col min="5" max="8" width="10" style="2804" customWidth="1"/>
    <col min="9" max="9" width="10.625" style="2804" customWidth="1"/>
    <col min="10" max="10" width="9.5" style="2804" customWidth="1"/>
    <col min="11" max="11" width="11" style="2804" customWidth="1"/>
    <col min="12" max="14" width="9.5" style="2804" customWidth="1"/>
    <col min="15" max="15" width="9.875" style="2804" customWidth="1"/>
    <col min="16" max="16" width="9.75" style="2804" customWidth="1"/>
    <col min="17" max="17" width="9.375" style="2804" hidden="1" customWidth="1"/>
    <col min="18" max="18" width="9.25" style="2804" hidden="1" customWidth="1"/>
    <col min="19" max="19" width="10.875" style="2804" hidden="1" customWidth="1"/>
    <col min="20" max="21" width="10.75" style="2804" hidden="1" customWidth="1"/>
    <col min="22" max="22" width="10.875" style="2804" hidden="1" customWidth="1"/>
    <col min="23" max="27" width="10.75" style="2804" hidden="1" customWidth="1"/>
    <col min="28" max="28" width="10.875" style="2804" hidden="1" customWidth="1"/>
    <col min="29" max="29" width="11" style="2804" customWidth="1"/>
    <col min="30" max="30" width="10" style="2804" hidden="1" customWidth="1"/>
    <col min="31" max="31" width="9.75" style="2804" hidden="1" customWidth="1"/>
    <col min="32" max="37" width="9.5" style="2804" hidden="1" customWidth="1"/>
    <col min="38" max="41" width="9.5" style="2804" customWidth="1"/>
    <col min="42" max="45" width="9.5" style="2804" hidden="1" customWidth="1"/>
    <col min="46" max="46" width="9.5" style="2804" customWidth="1"/>
    <col min="47" max="47" width="18.125" style="2804" customWidth="1"/>
    <col min="48" max="50" width="9.75" style="2804" customWidth="1"/>
    <col min="51" max="55" width="10.5" style="2804" customWidth="1"/>
    <col min="56" max="56" width="9.5" style="2804" customWidth="1"/>
    <col min="57" max="63" width="9.125" style="2804" customWidth="1"/>
    <col min="64" max="64" width="9.5" style="2804" customWidth="1"/>
    <col min="65" max="65" width="9.125" style="2804" customWidth="1"/>
    <col min="66" max="66" width="9.5" style="2804" customWidth="1"/>
    <col min="67" max="69" width="9.125" style="2804" customWidth="1"/>
    <col min="70" max="70" width="9.5" style="2804" customWidth="1"/>
    <col min="71" max="71" width="9" style="2804" customWidth="1"/>
    <col min="72" max="72" width="9.125" style="2804" customWidth="1"/>
    <col min="73" max="16384" width="8.875" style="2804"/>
  </cols>
  <sheetData>
    <row r="1" spans="1:72" ht="20.25">
      <c r="A1" s="2321" t="s">
        <v>570</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571</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512</v>
      </c>
      <c r="B2" s="1000" t="s">
        <v>508</v>
      </c>
      <c r="C2" s="1000" t="s">
        <v>572</v>
      </c>
      <c r="D2" s="2380"/>
      <c r="E2" s="2318"/>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807" t="s">
        <v>573</v>
      </c>
      <c r="AZ2" s="2808" t="s">
        <v>574</v>
      </c>
      <c r="BA2" s="1000" t="s">
        <v>575</v>
      </c>
      <c r="BB2" s="2380"/>
      <c r="BC2" s="2380"/>
      <c r="BD2" s="2380"/>
      <c r="BE2" s="2380"/>
      <c r="BF2" s="2380"/>
      <c r="BG2" s="2380"/>
      <c r="BH2" s="2380"/>
      <c r="BI2" s="2380"/>
      <c r="BJ2" s="2380"/>
      <c r="BK2" s="2380"/>
      <c r="BL2" s="2380"/>
      <c r="BM2" s="2380"/>
      <c r="BN2" s="2380"/>
      <c r="BO2" s="2380"/>
      <c r="BP2" s="2380"/>
      <c r="BQ2" s="2380"/>
      <c r="BR2" s="2380"/>
      <c r="BS2" s="2380"/>
      <c r="BT2" s="2380"/>
    </row>
    <row r="3" spans="1:72" s="2801" customFormat="1" ht="12.75">
      <c r="A3" s="2809">
        <v>11435.33</v>
      </c>
      <c r="B3" s="2810">
        <f>IF(C3="否",G5-AT5,G5)</f>
        <v>50585.8</v>
      </c>
      <c r="C3" s="2811" t="s">
        <v>576</v>
      </c>
      <c r="D3" s="2380"/>
      <c r="E3" s="2380"/>
      <c r="F3" s="2380"/>
      <c r="G3" s="2380"/>
      <c r="H3" s="2380"/>
      <c r="I3" s="2380"/>
      <c r="J3" s="2380"/>
      <c r="K3" s="2380"/>
      <c r="L3" s="2380"/>
      <c r="M3" s="2380"/>
      <c r="N3" s="2380"/>
      <c r="O3" s="2380"/>
      <c r="P3" s="2380"/>
      <c r="Q3" s="2380"/>
      <c r="R3" s="2380"/>
      <c r="S3" s="2380"/>
      <c r="T3" s="2380"/>
      <c r="U3" s="2380"/>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812"/>
      <c r="AZ3" s="914"/>
      <c r="BA3" s="2813"/>
      <c r="BB3" s="2380"/>
      <c r="BC3" s="2380"/>
      <c r="BD3" s="2380"/>
      <c r="BE3" s="2380"/>
      <c r="BF3" s="2380"/>
      <c r="BG3" s="2380"/>
      <c r="BH3" s="2380"/>
      <c r="BI3" s="2380"/>
      <c r="BJ3" s="2380"/>
      <c r="BK3" s="2380"/>
      <c r="BL3" s="2380"/>
      <c r="BM3" s="2380"/>
      <c r="BN3" s="2380"/>
      <c r="BO3" s="2380"/>
      <c r="BP3" s="2380"/>
      <c r="BQ3" s="2380"/>
      <c r="BR3" s="2380"/>
      <c r="BS3" s="2380"/>
      <c r="BT3" s="2380"/>
    </row>
    <row r="4" spans="1:72" s="2801" customFormat="1" ht="12.75">
      <c r="A4" s="614"/>
      <c r="B4" s="2814"/>
      <c r="C4" s="2815"/>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816"/>
      <c r="BB4" s="2380"/>
      <c r="BC4" s="2380"/>
      <c r="BD4" s="2380"/>
      <c r="BE4" s="2380"/>
      <c r="BF4" s="2380"/>
      <c r="BG4" s="2380"/>
      <c r="BH4" s="2380"/>
      <c r="BI4" s="2380"/>
      <c r="BJ4" s="2380"/>
      <c r="BK4" s="2380"/>
      <c r="BL4" s="2380"/>
      <c r="BM4" s="2380"/>
      <c r="BN4" s="2380"/>
      <c r="BO4" s="2380"/>
      <c r="BP4" s="2380"/>
      <c r="BQ4" s="2380"/>
      <c r="BR4" s="2380"/>
      <c r="BS4" s="2380"/>
      <c r="BT4" s="2380"/>
    </row>
    <row r="5" spans="1:72" s="2801" customFormat="1" ht="12.75">
      <c r="A5" s="1925" t="s">
        <v>577</v>
      </c>
      <c r="B5" s="2239"/>
      <c r="C5" s="2239"/>
      <c r="D5" s="2240"/>
      <c r="E5" s="2817" t="s">
        <v>124</v>
      </c>
      <c r="F5" s="2817">
        <f>SUM(F13:F587)</f>
        <v>0</v>
      </c>
      <c r="G5" s="2817">
        <f>SUM(G13:G587)</f>
        <v>50585.8</v>
      </c>
      <c r="H5" s="2817">
        <f t="shared" ref="H5:AT5" si="0">SUM(H13:H656)</f>
        <v>46959.61</v>
      </c>
      <c r="I5" s="2817">
        <f t="shared" si="0"/>
        <v>5475.05</v>
      </c>
      <c r="J5" s="2817">
        <f t="shared" si="0"/>
        <v>0</v>
      </c>
      <c r="K5" s="2817">
        <f t="shared" si="0"/>
        <v>33874.85</v>
      </c>
      <c r="L5" s="2817">
        <f t="shared" si="0"/>
        <v>0</v>
      </c>
      <c r="M5" s="2817">
        <f t="shared" si="0"/>
        <v>7609.71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3626.19</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1295.3900000000001</v>
      </c>
      <c r="AM5" s="2817">
        <f t="shared" si="0"/>
        <v>0</v>
      </c>
      <c r="AN5" s="2817">
        <f t="shared" si="0"/>
        <v>2330.8000000000002</v>
      </c>
      <c r="AO5" s="2817">
        <f t="shared" si="0"/>
        <v>0</v>
      </c>
      <c r="AP5" s="2817">
        <f t="shared" si="0"/>
        <v>0</v>
      </c>
      <c r="AQ5" s="2817">
        <f t="shared" si="0"/>
        <v>0</v>
      </c>
      <c r="AR5" s="2817">
        <f t="shared" si="0"/>
        <v>0</v>
      </c>
      <c r="AS5" s="2817">
        <f t="shared" si="0"/>
        <v>0</v>
      </c>
      <c r="AT5" s="2817">
        <f t="shared" si="0"/>
        <v>0</v>
      </c>
      <c r="AU5" s="2238"/>
      <c r="AV5" s="1925" t="s">
        <v>577</v>
      </c>
      <c r="AW5" s="2239"/>
      <c r="AX5" s="2239"/>
      <c r="AY5" s="906" t="s">
        <v>124</v>
      </c>
      <c r="AZ5" s="2818">
        <f t="shared" ref="AZ5:BT5" si="1">SUM(AZ13:AZ656)</f>
        <v>50585.8</v>
      </c>
      <c r="BA5" s="2818">
        <f t="shared" si="1"/>
        <v>46959.61</v>
      </c>
      <c r="BB5" s="2818">
        <f t="shared" si="1"/>
        <v>5475.05</v>
      </c>
      <c r="BC5" s="2818">
        <f t="shared" si="1"/>
        <v>33874.85</v>
      </c>
      <c r="BD5" s="2818">
        <f t="shared" si="1"/>
        <v>7609.71</v>
      </c>
      <c r="BE5" s="2818">
        <f t="shared" si="1"/>
        <v>0</v>
      </c>
      <c r="BF5" s="2818">
        <f t="shared" si="1"/>
        <v>0</v>
      </c>
      <c r="BG5" s="2818">
        <f t="shared" si="1"/>
        <v>0</v>
      </c>
      <c r="BH5" s="2818">
        <f t="shared" si="1"/>
        <v>0</v>
      </c>
      <c r="BI5" s="2818">
        <f t="shared" si="1"/>
        <v>0</v>
      </c>
      <c r="BJ5" s="2818">
        <f t="shared" si="1"/>
        <v>0</v>
      </c>
      <c r="BK5" s="2818">
        <f t="shared" si="1"/>
        <v>0</v>
      </c>
      <c r="BL5" s="2818">
        <f t="shared" si="1"/>
        <v>3626.19</v>
      </c>
      <c r="BM5" s="2818">
        <f t="shared" si="1"/>
        <v>0</v>
      </c>
      <c r="BN5" s="2818">
        <f t="shared" si="1"/>
        <v>0</v>
      </c>
      <c r="BO5" s="2818">
        <f t="shared" si="1"/>
        <v>0</v>
      </c>
      <c r="BP5" s="2818">
        <f t="shared" si="1"/>
        <v>0</v>
      </c>
      <c r="BQ5" s="2818">
        <f t="shared" si="1"/>
        <v>1295.3900000000001</v>
      </c>
      <c r="BR5" s="2818">
        <f t="shared" si="1"/>
        <v>2330.8000000000002</v>
      </c>
      <c r="BS5" s="2818">
        <f t="shared" si="1"/>
        <v>0</v>
      </c>
      <c r="BT5" s="2819">
        <f t="shared" si="1"/>
        <v>0</v>
      </c>
    </row>
    <row r="6" spans="1:72" s="2802" customFormat="1" ht="12.75">
      <c r="A6" s="1925" t="s">
        <v>578</v>
      </c>
      <c r="B6" s="2820"/>
      <c r="C6" s="2820"/>
      <c r="D6" s="2821"/>
      <c r="E6" s="2817">
        <f>H6+AC6+AT6</f>
        <v>11435.33</v>
      </c>
      <c r="F6" s="2817" t="s">
        <v>124</v>
      </c>
      <c r="G6" s="2817" t="s">
        <v>124</v>
      </c>
      <c r="H6" s="2822">
        <f>SUMIF(I$12:AB$12,"总值",I6:AB6)</f>
        <v>10615.6</v>
      </c>
      <c r="I6" s="2817">
        <f t="shared" ref="I6:AB6" si="2">ROUND($A$3*I5/$B$3,2)</f>
        <v>1237.68</v>
      </c>
      <c r="J6" s="2817">
        <f t="shared" si="2"/>
        <v>0</v>
      </c>
      <c r="K6" s="2817">
        <f t="shared" si="2"/>
        <v>7657.68</v>
      </c>
      <c r="L6" s="2817">
        <f t="shared" si="2"/>
        <v>0</v>
      </c>
      <c r="M6" s="2817">
        <f t="shared" si="2"/>
        <v>1720.24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819.73</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292.83</v>
      </c>
      <c r="AM6" s="2817">
        <f t="shared" si="3"/>
        <v>0</v>
      </c>
      <c r="AN6" s="2817">
        <f t="shared" si="3"/>
        <v>526.9</v>
      </c>
      <c r="AO6" s="2817">
        <f t="shared" si="3"/>
        <v>0</v>
      </c>
      <c r="AP6" s="2817">
        <f t="shared" si="3"/>
        <v>0</v>
      </c>
      <c r="AQ6" s="2817">
        <f t="shared" si="3"/>
        <v>0</v>
      </c>
      <c r="AR6" s="2817">
        <f t="shared" si="3"/>
        <v>0</v>
      </c>
      <c r="AS6" s="2817">
        <f t="shared" si="3"/>
        <v>0</v>
      </c>
      <c r="AT6" s="2822">
        <f>IF(C3="是",ROUND($A$3*AT5/$B$3,2),0)</f>
        <v>0</v>
      </c>
      <c r="AU6" s="2823"/>
      <c r="AV6" s="1925" t="s">
        <v>578</v>
      </c>
      <c r="AW6" s="2820"/>
      <c r="AX6" s="2820"/>
      <c r="AY6" s="2824">
        <f>IF(AY3&gt;0,AY3,ROUND($A$3*AZ5/$B$3,2))</f>
        <v>11435.33</v>
      </c>
      <c r="AZ6" s="2817" t="s">
        <v>124</v>
      </c>
      <c r="BA6" s="2817">
        <f>ROUND($AY$6*BA5/$AZ$5,2)</f>
        <v>10615.6</v>
      </c>
      <c r="BB6" s="2817">
        <f>ROUND($AY$6*BB5/$AZ$5,2)</f>
        <v>1237.68</v>
      </c>
      <c r="BC6" s="2817">
        <f t="shared" ref="BC6:BH6" si="4">ROUND($AY$6*BC5/$AZ$5,2)</f>
        <v>7657.68</v>
      </c>
      <c r="BD6" s="2817">
        <f t="shared" si="4"/>
        <v>1720.24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819.73</v>
      </c>
      <c r="BM6" s="2817">
        <f t="shared" si="5"/>
        <v>0</v>
      </c>
      <c r="BN6" s="2817">
        <f t="shared" si="5"/>
        <v>0</v>
      </c>
      <c r="BO6" s="2817">
        <f t="shared" si="5"/>
        <v>0</v>
      </c>
      <c r="BP6" s="2817">
        <f t="shared" si="5"/>
        <v>0</v>
      </c>
      <c r="BQ6" s="2817">
        <f t="shared" si="5"/>
        <v>292.83</v>
      </c>
      <c r="BR6" s="2817">
        <f t="shared" si="5"/>
        <v>526.9</v>
      </c>
      <c r="BS6" s="2817">
        <f t="shared" si="5"/>
        <v>0</v>
      </c>
      <c r="BT6" s="2825">
        <f t="shared" si="5"/>
        <v>0</v>
      </c>
    </row>
    <row r="7" spans="1:72" s="2801" customFormat="1" ht="24.75">
      <c r="A7" s="2826" t="s">
        <v>579</v>
      </c>
      <c r="B7" s="2826" t="s">
        <v>580</v>
      </c>
      <c r="C7" s="2826" t="s">
        <v>553</v>
      </c>
      <c r="D7" s="2826" t="s">
        <v>581</v>
      </c>
      <c r="E7" s="2826" t="s">
        <v>578</v>
      </c>
      <c r="F7" s="2826" t="s">
        <v>582</v>
      </c>
      <c r="G7" s="2339" t="s">
        <v>583</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40"/>
      <c r="AU7" s="2827" t="s">
        <v>584</v>
      </c>
      <c r="AV7" s="2828" t="s">
        <v>579</v>
      </c>
      <c r="AW7" s="2380" t="s">
        <v>580</v>
      </c>
      <c r="AX7" s="2828" t="s">
        <v>553</v>
      </c>
      <c r="AY7" s="2239" t="s">
        <v>585</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9" customFormat="1" ht="24">
      <c r="A8" s="2831"/>
      <c r="B8" s="2831"/>
      <c r="C8" s="2831"/>
      <c r="D8" s="2831"/>
      <c r="E8" s="2831"/>
      <c r="F8" s="2831"/>
      <c r="G8" s="2832" t="s">
        <v>586</v>
      </c>
      <c r="H8" s="2833" t="s">
        <v>587</v>
      </c>
      <c r="I8" s="2834"/>
      <c r="J8" s="998"/>
      <c r="K8" s="998"/>
      <c r="L8" s="998"/>
      <c r="M8" s="998"/>
      <c r="N8" s="998"/>
      <c r="O8" s="998"/>
      <c r="P8" s="998"/>
      <c r="Q8" s="998"/>
      <c r="R8" s="998"/>
      <c r="S8" s="998"/>
      <c r="T8" s="998"/>
      <c r="U8" s="998"/>
      <c r="V8" s="2835"/>
      <c r="W8" s="998"/>
      <c r="X8" s="998"/>
      <c r="Y8" s="998"/>
      <c r="Z8" s="998"/>
      <c r="AA8" s="2835"/>
      <c r="AB8" s="2836"/>
      <c r="AC8" s="2176" t="s">
        <v>588</v>
      </c>
      <c r="AD8" s="2837"/>
      <c r="AE8" s="2829"/>
      <c r="AF8" s="998"/>
      <c r="AG8" s="998"/>
      <c r="AH8" s="998"/>
      <c r="AI8" s="998"/>
      <c r="AJ8" s="998"/>
      <c r="AK8" s="998"/>
      <c r="AL8" s="998"/>
      <c r="AM8" s="998"/>
      <c r="AN8" s="998"/>
      <c r="AO8" s="998"/>
      <c r="AP8" s="998"/>
      <c r="AQ8" s="998"/>
      <c r="AR8" s="998"/>
      <c r="AS8" s="998"/>
      <c r="AT8" s="1873" t="s">
        <v>589</v>
      </c>
      <c r="AU8" s="2831" t="s">
        <v>590</v>
      </c>
      <c r="AV8" s="1873"/>
      <c r="AW8" s="2318"/>
      <c r="AX8" s="1873"/>
      <c r="AY8" s="2380" t="s">
        <v>578</v>
      </c>
      <c r="AZ8" s="997" t="s">
        <v>508</v>
      </c>
      <c r="BA8" s="998"/>
      <c r="BB8" s="998"/>
      <c r="BC8" s="998"/>
      <c r="BD8" s="998"/>
      <c r="BE8" s="998"/>
      <c r="BF8" s="998"/>
      <c r="BG8" s="998"/>
      <c r="BH8" s="998"/>
      <c r="BI8" s="998"/>
      <c r="BJ8" s="998"/>
      <c r="BK8" s="998"/>
      <c r="BL8" s="998"/>
      <c r="BM8" s="998"/>
      <c r="BN8" s="998"/>
      <c r="BO8" s="998"/>
      <c r="BP8" s="998"/>
      <c r="BQ8" s="998"/>
      <c r="BR8" s="998"/>
      <c r="BS8" s="998"/>
      <c r="BT8" s="1937"/>
    </row>
    <row r="9" spans="1:72" s="2569" customFormat="1" ht="12.75">
      <c r="A9" s="2831"/>
      <c r="B9" s="2831"/>
      <c r="C9" s="2831"/>
      <c r="D9" s="2831"/>
      <c r="E9" s="2831"/>
      <c r="F9" s="2831"/>
      <c r="G9" s="1873"/>
      <c r="H9" s="2838" t="s">
        <v>591</v>
      </c>
      <c r="I9" s="2839" t="s">
        <v>470</v>
      </c>
      <c r="J9" s="2176"/>
      <c r="K9" s="2839" t="s">
        <v>470</v>
      </c>
      <c r="L9" s="2176"/>
      <c r="M9" s="2839" t="s">
        <v>471</v>
      </c>
      <c r="N9" s="2176"/>
      <c r="O9" s="2839"/>
      <c r="P9" s="2176"/>
      <c r="Q9" s="2839"/>
      <c r="R9" s="2176"/>
      <c r="S9" s="2839"/>
      <c r="T9" s="2176"/>
      <c r="U9" s="2839"/>
      <c r="V9" s="2176"/>
      <c r="W9" s="2839"/>
      <c r="X9" s="2840"/>
      <c r="Y9" s="2839"/>
      <c r="Z9" s="2176"/>
      <c r="AA9" s="2839"/>
      <c r="AB9" s="2176"/>
      <c r="AC9" s="2832" t="s">
        <v>591</v>
      </c>
      <c r="AD9" s="1925" t="s">
        <v>592</v>
      </c>
      <c r="AE9" s="1887"/>
      <c r="AF9" s="1925" t="s">
        <v>593</v>
      </c>
      <c r="AG9" s="1887"/>
      <c r="AH9" s="1925" t="s">
        <v>592</v>
      </c>
      <c r="AI9" s="1887"/>
      <c r="AJ9" s="1925" t="s">
        <v>593</v>
      </c>
      <c r="AK9" s="1887"/>
      <c r="AL9" s="1925" t="s">
        <v>592</v>
      </c>
      <c r="AM9" s="1887"/>
      <c r="AN9" s="1925" t="s">
        <v>593</v>
      </c>
      <c r="AO9" s="1887"/>
      <c r="AP9" s="1925" t="s">
        <v>592</v>
      </c>
      <c r="AQ9" s="1887"/>
      <c r="AR9" s="1925" t="s">
        <v>593</v>
      </c>
      <c r="AS9" s="2841"/>
      <c r="AT9" s="2831"/>
      <c r="AU9" s="2831" t="s">
        <v>594</v>
      </c>
      <c r="AV9" s="1873"/>
      <c r="AW9" s="2318"/>
      <c r="AX9" s="1873"/>
      <c r="AY9" s="2842"/>
      <c r="AZ9" s="2842" t="s">
        <v>586</v>
      </c>
      <c r="BA9" s="2843" t="s">
        <v>595</v>
      </c>
      <c r="BB9" s="2844"/>
      <c r="BC9" s="1936"/>
      <c r="BD9" s="1936"/>
      <c r="BE9" s="1936"/>
      <c r="BF9" s="1936"/>
      <c r="BG9" s="1936"/>
      <c r="BH9" s="1936"/>
      <c r="BI9" s="1936"/>
      <c r="BJ9" s="1936"/>
      <c r="BK9" s="2845"/>
      <c r="BL9" s="1925" t="s">
        <v>596</v>
      </c>
      <c r="BM9" s="998"/>
      <c r="BN9" s="2834"/>
      <c r="BO9" s="998"/>
      <c r="BP9" s="998"/>
      <c r="BQ9" s="998"/>
      <c r="BR9" s="998"/>
      <c r="BS9" s="998"/>
      <c r="BT9" s="1937"/>
    </row>
    <row r="10" spans="1:72" s="2569" customFormat="1" ht="12.75">
      <c r="A10" s="2831"/>
      <c r="B10" s="2831"/>
      <c r="C10" s="2831"/>
      <c r="D10" s="2831"/>
      <c r="E10" s="2831"/>
      <c r="F10" s="2831"/>
      <c r="G10" s="1873"/>
      <c r="H10" s="2842"/>
      <c r="I10" s="2839" t="s">
        <v>229</v>
      </c>
      <c r="J10" s="2176"/>
      <c r="K10" s="2846" t="s">
        <v>229</v>
      </c>
      <c r="L10" s="2176"/>
      <c r="M10" s="2846" t="s">
        <v>597</v>
      </c>
      <c r="N10" s="2176"/>
      <c r="O10" s="2846"/>
      <c r="P10" s="2176"/>
      <c r="Q10" s="2846"/>
      <c r="R10" s="2176"/>
      <c r="S10" s="2846"/>
      <c r="T10" s="2176"/>
      <c r="U10" s="2846"/>
      <c r="V10" s="2176"/>
      <c r="W10" s="2846"/>
      <c r="X10" s="2176"/>
      <c r="Y10" s="2846"/>
      <c r="Z10" s="2176"/>
      <c r="AA10" s="2846"/>
      <c r="AB10" s="2176"/>
      <c r="AC10" s="1873"/>
      <c r="AD10" s="1925" t="s">
        <v>598</v>
      </c>
      <c r="AE10" s="2847"/>
      <c r="AF10" s="1925" t="s">
        <v>598</v>
      </c>
      <c r="AG10" s="2847"/>
      <c r="AH10" s="1925" t="s">
        <v>599</v>
      </c>
      <c r="AI10" s="2847"/>
      <c r="AJ10" s="1925" t="s">
        <v>599</v>
      </c>
      <c r="AK10" s="2847"/>
      <c r="AL10" s="1925" t="s">
        <v>600</v>
      </c>
      <c r="AM10" s="1887"/>
      <c r="AN10" s="1925" t="s">
        <v>600</v>
      </c>
      <c r="AO10" s="1887"/>
      <c r="AP10" s="1925" t="s">
        <v>601</v>
      </c>
      <c r="AQ10" s="1887"/>
      <c r="AR10" s="1925" t="s">
        <v>601</v>
      </c>
      <c r="AS10" s="1887"/>
      <c r="AT10" s="2831"/>
      <c r="AU10" s="2831"/>
      <c r="AV10" s="1873"/>
      <c r="AW10" s="2318"/>
      <c r="AX10" s="1873"/>
      <c r="AY10" s="2842"/>
      <c r="AZ10" s="2842"/>
      <c r="BA10" s="2848" t="s">
        <v>591</v>
      </c>
      <c r="BB10" s="2849" t="str">
        <f>I9</f>
        <v>地上</v>
      </c>
      <c r="BC10" s="1949" t="str">
        <f>K9</f>
        <v>地上</v>
      </c>
      <c r="BD10" s="1949" t="str">
        <f>M9</f>
        <v>地下</v>
      </c>
      <c r="BE10" s="1949">
        <f>O9</f>
        <v>0</v>
      </c>
      <c r="BF10" s="1949">
        <f>Q9</f>
        <v>0</v>
      </c>
      <c r="BG10" s="1949">
        <f>S9</f>
        <v>0</v>
      </c>
      <c r="BH10" s="1949">
        <f>U9</f>
        <v>0</v>
      </c>
      <c r="BI10" s="1949">
        <f>W9</f>
        <v>0</v>
      </c>
      <c r="BJ10" s="1949">
        <f>Y9</f>
        <v>0</v>
      </c>
      <c r="BK10" s="1949">
        <f>AA9</f>
        <v>0</v>
      </c>
      <c r="BL10" s="1944" t="s">
        <v>591</v>
      </c>
      <c r="BM10" s="997" t="str">
        <f>AD9</f>
        <v>地上</v>
      </c>
      <c r="BN10" s="1949" t="str">
        <f>AF9</f>
        <v>地下</v>
      </c>
      <c r="BO10" s="997" t="str">
        <f>AH9</f>
        <v>地上</v>
      </c>
      <c r="BP10" s="1949" t="str">
        <f>AJ9</f>
        <v>地下</v>
      </c>
      <c r="BQ10" s="997" t="str">
        <f>AL9</f>
        <v>地上</v>
      </c>
      <c r="BR10" s="1949" t="str">
        <f>AN9</f>
        <v>地下</v>
      </c>
      <c r="BS10" s="997" t="str">
        <f>AP9</f>
        <v>地上</v>
      </c>
      <c r="BT10" s="2850" t="str">
        <f>AR9</f>
        <v>地下</v>
      </c>
    </row>
    <row r="11" spans="1:72" s="2569" customFormat="1" ht="12.75">
      <c r="A11" s="2831"/>
      <c r="B11" s="2831"/>
      <c r="C11" s="2831"/>
      <c r="D11" s="2831"/>
      <c r="E11" s="2831"/>
      <c r="F11" s="2831"/>
      <c r="G11" s="1873"/>
      <c r="H11" s="2848"/>
      <c r="I11" s="2851" t="s">
        <v>602</v>
      </c>
      <c r="J11" s="2852"/>
      <c r="K11" s="2851" t="s">
        <v>603</v>
      </c>
      <c r="L11" s="2852"/>
      <c r="M11" s="2851" t="s">
        <v>604</v>
      </c>
      <c r="N11" s="2852"/>
      <c r="O11" s="2851"/>
      <c r="P11" s="2852"/>
      <c r="Q11" s="2851"/>
      <c r="R11" s="2852"/>
      <c r="S11" s="2851"/>
      <c r="T11" s="2852"/>
      <c r="U11" s="2851"/>
      <c r="V11" s="2852"/>
      <c r="W11" s="2851"/>
      <c r="X11" s="2852"/>
      <c r="Y11" s="2851"/>
      <c r="Z11" s="2852"/>
      <c r="AA11" s="2851"/>
      <c r="AB11" s="2852"/>
      <c r="AC11" s="1873"/>
      <c r="AD11" s="2853" t="s">
        <v>605</v>
      </c>
      <c r="AE11" s="999"/>
      <c r="AF11" s="2853" t="s">
        <v>605</v>
      </c>
      <c r="AG11" s="999"/>
      <c r="AH11" s="2853" t="s">
        <v>606</v>
      </c>
      <c r="AI11" s="2854"/>
      <c r="AJ11" s="2853" t="s">
        <v>606</v>
      </c>
      <c r="AK11" s="999"/>
      <c r="AL11" s="997"/>
      <c r="AM11" s="999"/>
      <c r="AN11" s="997"/>
      <c r="AO11" s="999"/>
      <c r="AP11" s="997"/>
      <c r="AQ11" s="999"/>
      <c r="AR11" s="997"/>
      <c r="AS11" s="999"/>
      <c r="AT11" s="2318"/>
      <c r="AU11" s="2831"/>
      <c r="AV11" s="1873"/>
      <c r="AW11" s="2318"/>
      <c r="AX11" s="1873"/>
      <c r="AY11" s="2842"/>
      <c r="AZ11" s="2842"/>
      <c r="BA11" s="2842"/>
      <c r="BB11" s="2836" t="str">
        <f>I10</f>
        <v>商业</v>
      </c>
      <c r="BC11" s="2836" t="str">
        <f>K10</f>
        <v>商业</v>
      </c>
      <c r="BD11" s="2836" t="str">
        <f>M10</f>
        <v>车库—商业</v>
      </c>
      <c r="BE11" s="2836">
        <f>O10</f>
        <v>0</v>
      </c>
      <c r="BF11" s="2836">
        <f>Q10</f>
        <v>0</v>
      </c>
      <c r="BG11" s="2836">
        <f>S10</f>
        <v>0</v>
      </c>
      <c r="BH11" s="2836">
        <f>U10</f>
        <v>0</v>
      </c>
      <c r="BI11" s="2836">
        <f>W10</f>
        <v>0</v>
      </c>
      <c r="BJ11" s="2836">
        <f>Y10</f>
        <v>0</v>
      </c>
      <c r="BK11" s="2836">
        <f>AA10</f>
        <v>0</v>
      </c>
      <c r="BL11" s="1873"/>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44" t="str">
        <f>AP10</f>
        <v>未注明</v>
      </c>
      <c r="BT11" s="2855" t="str">
        <f>AR10</f>
        <v>未注明</v>
      </c>
    </row>
    <row r="12" spans="1:72" s="2801" customFormat="1" ht="12.75">
      <c r="A12" s="2856"/>
      <c r="B12" s="2856"/>
      <c r="C12" s="2856"/>
      <c r="D12" s="2856"/>
      <c r="E12" s="2856"/>
      <c r="F12" s="2856"/>
      <c r="G12" s="608"/>
      <c r="H12" s="2857"/>
      <c r="I12" s="2240" t="s">
        <v>607</v>
      </c>
      <c r="J12" s="1000" t="s">
        <v>608</v>
      </c>
      <c r="K12" s="1000" t="s">
        <v>607</v>
      </c>
      <c r="L12" s="1000" t="s">
        <v>608</v>
      </c>
      <c r="M12" s="1000" t="s">
        <v>607</v>
      </c>
      <c r="N12" s="1000" t="s">
        <v>608</v>
      </c>
      <c r="O12" s="1000" t="s">
        <v>607</v>
      </c>
      <c r="P12" s="1000" t="s">
        <v>608</v>
      </c>
      <c r="Q12" s="1000" t="s">
        <v>607</v>
      </c>
      <c r="R12" s="1000" t="s">
        <v>608</v>
      </c>
      <c r="S12" s="1000" t="s">
        <v>607</v>
      </c>
      <c r="T12" s="1000" t="s">
        <v>608</v>
      </c>
      <c r="U12" s="1000" t="s">
        <v>607</v>
      </c>
      <c r="V12" s="2238" t="s">
        <v>608</v>
      </c>
      <c r="W12" s="1000" t="s">
        <v>607</v>
      </c>
      <c r="X12" s="1000" t="s">
        <v>608</v>
      </c>
      <c r="Y12" s="1000" t="s">
        <v>607</v>
      </c>
      <c r="Z12" s="1000" t="s">
        <v>608</v>
      </c>
      <c r="AA12" s="1000" t="s">
        <v>607</v>
      </c>
      <c r="AB12" s="1000" t="s">
        <v>608</v>
      </c>
      <c r="AC12" s="2858"/>
      <c r="AD12" s="2240" t="s">
        <v>607</v>
      </c>
      <c r="AE12" s="1000" t="s">
        <v>608</v>
      </c>
      <c r="AF12" s="1000" t="s">
        <v>607</v>
      </c>
      <c r="AG12" s="1000" t="s">
        <v>608</v>
      </c>
      <c r="AH12" s="1000" t="s">
        <v>607</v>
      </c>
      <c r="AI12" s="1000" t="s">
        <v>608</v>
      </c>
      <c r="AJ12" s="1000" t="s">
        <v>607</v>
      </c>
      <c r="AK12" s="1000" t="s">
        <v>608</v>
      </c>
      <c r="AL12" s="1000" t="s">
        <v>607</v>
      </c>
      <c r="AM12" s="1000" t="s">
        <v>608</v>
      </c>
      <c r="AN12" s="1000" t="s">
        <v>607</v>
      </c>
      <c r="AO12" s="1000" t="s">
        <v>608</v>
      </c>
      <c r="AP12" s="1000" t="s">
        <v>607</v>
      </c>
      <c r="AQ12" s="1000" t="s">
        <v>608</v>
      </c>
      <c r="AR12" s="608" t="s">
        <v>607</v>
      </c>
      <c r="AS12" s="2856" t="s">
        <v>608</v>
      </c>
      <c r="AT12" s="2859"/>
      <c r="AU12" s="2856"/>
      <c r="AV12" s="2860"/>
      <c r="AW12" s="2380"/>
      <c r="AX12" s="2860"/>
      <c r="AY12" s="2861"/>
      <c r="AZ12" s="2842"/>
      <c r="BA12" s="2848"/>
      <c r="BB12" s="996" t="str">
        <f>I11</f>
        <v>底商</v>
      </c>
      <c r="BC12" s="2862" t="str">
        <f>K11</f>
        <v>办公楼</v>
      </c>
      <c r="BD12" s="2862" t="str">
        <f>M11</f>
        <v>车库</v>
      </c>
      <c r="BE12" s="2836">
        <f>O11</f>
        <v>0</v>
      </c>
      <c r="BF12" s="2836">
        <f>Q11</f>
        <v>0</v>
      </c>
      <c r="BG12" s="2836">
        <f>S11</f>
        <v>0</v>
      </c>
      <c r="BH12" s="2836">
        <f>U11</f>
        <v>0</v>
      </c>
      <c r="BI12" s="2836">
        <f>W11</f>
        <v>0</v>
      </c>
      <c r="BJ12" s="2836">
        <f>Y11</f>
        <v>0</v>
      </c>
      <c r="BK12" s="2836">
        <f>AA11</f>
        <v>0</v>
      </c>
      <c r="BL12" s="1873"/>
      <c r="BM12" s="997" t="str">
        <f>AD11</f>
        <v>（住宅）</v>
      </c>
      <c r="BN12" s="997" t="str">
        <f>AF11</f>
        <v>（住宅）</v>
      </c>
      <c r="BO12" s="996" t="str">
        <f>AH11</f>
        <v>（住宅、计出让金）</v>
      </c>
      <c r="BP12" s="996" t="str">
        <f>AJ11</f>
        <v>（住宅、计出让金）</v>
      </c>
      <c r="BQ12" s="996">
        <f>AL11</f>
        <v>0</v>
      </c>
      <c r="BR12" s="996">
        <f>AN11</f>
        <v>0</v>
      </c>
      <c r="BS12" s="1944">
        <f>AP11</f>
        <v>0</v>
      </c>
      <c r="BT12" s="2855">
        <f>AR11</f>
        <v>0</v>
      </c>
    </row>
    <row r="13" spans="1:72" s="2801" customFormat="1" ht="12.75">
      <c r="A13" s="914"/>
      <c r="B13" s="914"/>
      <c r="C13" s="2863" t="s">
        <v>603</v>
      </c>
      <c r="D13" s="2864" t="s">
        <v>609</v>
      </c>
      <c r="E13" s="2817">
        <f>IF($C$3="是",ROUND($A$3*G13/$B$3,2),ROUND($A$3*(G13-AT13)/$B$3,2))</f>
        <v>11435.33</v>
      </c>
      <c r="F13" s="2865"/>
      <c r="G13" s="2866">
        <f>H13+AC13+AT13</f>
        <v>50585.8</v>
      </c>
      <c r="H13" s="2822">
        <f>SUMIF(I$12:AB$12,"总值",I13:AB13)</f>
        <v>46959.61</v>
      </c>
      <c r="I13" s="2867">
        <f>面积位置!D47</f>
        <v>5475.05</v>
      </c>
      <c r="J13" s="2867"/>
      <c r="K13" s="2867">
        <f>面积位置!H46</f>
        <v>33874.85</v>
      </c>
      <c r="L13" s="2867"/>
      <c r="M13" s="2867">
        <f>面积位置!AE2+面积位置!AE3</f>
        <v>7609.71</v>
      </c>
      <c r="N13" s="2867"/>
      <c r="O13" s="2867"/>
      <c r="P13" s="2867"/>
      <c r="Q13" s="2867"/>
      <c r="R13" s="2867"/>
      <c r="S13" s="2867"/>
      <c r="T13" s="2867"/>
      <c r="U13" s="2867"/>
      <c r="V13" s="2867"/>
      <c r="W13" s="2867"/>
      <c r="X13" s="2867"/>
      <c r="Y13" s="2867"/>
      <c r="Z13" s="2867"/>
      <c r="AA13" s="2867"/>
      <c r="AB13" s="2867"/>
      <c r="AC13" s="2817">
        <f>SUMIF(AD$12:AS$12,"总值",AD13:AS13)</f>
        <v>3626.19</v>
      </c>
      <c r="AD13" s="2813"/>
      <c r="AE13" s="2813"/>
      <c r="AF13" s="2813"/>
      <c r="AG13" s="2813"/>
      <c r="AH13" s="2813"/>
      <c r="AI13" s="2813"/>
      <c r="AJ13" s="2813"/>
      <c r="AK13" s="2813"/>
      <c r="AL13" s="2813">
        <f>面积位置!H45+面积位置!AJ3+面积位置!AJ4</f>
        <v>1295.3900000000001</v>
      </c>
      <c r="AM13" s="2813"/>
      <c r="AN13" s="2813">
        <f>面积位置!AJ2+面积位置!AJ5-0.08</f>
        <v>2330.8000000000002</v>
      </c>
      <c r="AO13" s="2813"/>
      <c r="AP13" s="2813"/>
      <c r="AQ13" s="2813"/>
      <c r="AR13" s="2813"/>
      <c r="AS13" s="2813"/>
      <c r="AT13" s="2865"/>
      <c r="AU13" s="2868"/>
      <c r="AV13" s="1000">
        <f t="shared" ref="AV13:AX17" si="6">A13</f>
        <v>0</v>
      </c>
      <c r="AW13" s="1000">
        <f t="shared" si="6"/>
        <v>0</v>
      </c>
      <c r="AX13" s="1000" t="str">
        <f t="shared" si="6"/>
        <v>办公楼</v>
      </c>
      <c r="AY13" s="2240">
        <f>ROUND($AY$6*AZ13/$AZ$5,2)</f>
        <v>11435.33</v>
      </c>
      <c r="AZ13" s="2817">
        <f>BA13+BL13</f>
        <v>50585.8</v>
      </c>
      <c r="BA13" s="2817">
        <f>SUM(BB13:BK13)</f>
        <v>46959.61</v>
      </c>
      <c r="BB13" s="2817">
        <f>IF($D13="是",I13-J13,0)</f>
        <v>5475.05</v>
      </c>
      <c r="BC13" s="2817">
        <f>IF($D13="是",K13-L13,0)</f>
        <v>33874.85</v>
      </c>
      <c r="BD13" s="2817">
        <f>IF($D13="是",M13-N13,0)</f>
        <v>7609.71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3626.19</v>
      </c>
      <c r="BM13" s="2817">
        <f>IF($D13="是",AD13-AE13,0)</f>
        <v>0</v>
      </c>
      <c r="BN13" s="2817">
        <f>IF($D13="是",AF13-AG13,0)</f>
        <v>0</v>
      </c>
      <c r="BO13" s="2817">
        <f>IF($D13="是",AH13-AI13,0)</f>
        <v>0</v>
      </c>
      <c r="BP13" s="2817">
        <f>IF($D13="是",AJ13-AK13,0)</f>
        <v>0</v>
      </c>
      <c r="BQ13" s="2817">
        <f>IF($D13="是",AL13-AM13,0)</f>
        <v>1295.3900000000001</v>
      </c>
      <c r="BR13" s="2817">
        <f>IF($D13="是",AN13-AO13,0)</f>
        <v>2330.8000000000002</v>
      </c>
      <c r="BS13" s="2817">
        <f>IF($D13="是",AP13-AQ13,0)</f>
        <v>0</v>
      </c>
      <c r="BT13" s="2825">
        <f>IF($D13="是",AR13-AS13,0)</f>
        <v>0</v>
      </c>
    </row>
    <row r="14" spans="1:72" s="2801" customFormat="1" ht="12.75">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40">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2.75">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40">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2.75">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40">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2.75">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40">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AK229"/>
  <sheetViews>
    <sheetView topLeftCell="O1" workbookViewId="0">
      <selection activeCell="AB32" sqref="AB32"/>
    </sheetView>
  </sheetViews>
  <sheetFormatPr defaultColWidth="9" defaultRowHeight="13.5"/>
  <sheetData>
    <row r="1" spans="29:37">
      <c r="AC1" s="280" t="s">
        <v>610</v>
      </c>
      <c r="AD1" s="280" t="s">
        <v>611</v>
      </c>
      <c r="AE1" s="280" t="s">
        <v>612</v>
      </c>
      <c r="AF1" s="280" t="s">
        <v>445</v>
      </c>
      <c r="AH1" s="280" t="s">
        <v>610</v>
      </c>
      <c r="AI1" s="280" t="s">
        <v>611</v>
      </c>
      <c r="AJ1" s="280" t="s">
        <v>612</v>
      </c>
      <c r="AK1" s="280" t="s">
        <v>445</v>
      </c>
    </row>
    <row r="2" spans="29:37">
      <c r="AC2">
        <v>1</v>
      </c>
      <c r="AD2">
        <v>-301</v>
      </c>
      <c r="AE2">
        <v>3958.19</v>
      </c>
      <c r="AF2" s="280" t="s">
        <v>613</v>
      </c>
      <c r="AH2">
        <v>1</v>
      </c>
      <c r="AI2">
        <v>-101</v>
      </c>
      <c r="AJ2">
        <v>2170.27</v>
      </c>
      <c r="AK2" s="280" t="s">
        <v>614</v>
      </c>
    </row>
    <row r="3" spans="29:37">
      <c r="AC3">
        <v>2</v>
      </c>
      <c r="AD3">
        <v>-201</v>
      </c>
      <c r="AE3">
        <v>3651.52</v>
      </c>
      <c r="AF3" s="280" t="s">
        <v>613</v>
      </c>
      <c r="AH3">
        <v>2</v>
      </c>
      <c r="AI3">
        <v>101</v>
      </c>
      <c r="AJ3">
        <v>582.96</v>
      </c>
      <c r="AK3" s="280" t="s">
        <v>615</v>
      </c>
    </row>
    <row r="4" spans="29:37">
      <c r="AC4">
        <v>3</v>
      </c>
      <c r="AD4">
        <v>102</v>
      </c>
      <c r="AE4">
        <v>932.5</v>
      </c>
      <c r="AF4" s="280" t="s">
        <v>230</v>
      </c>
      <c r="AH4">
        <v>3</v>
      </c>
      <c r="AI4">
        <v>105</v>
      </c>
      <c r="AJ4">
        <v>659.53</v>
      </c>
      <c r="AK4" s="280" t="s">
        <v>615</v>
      </c>
    </row>
    <row r="5" spans="29:37">
      <c r="AC5">
        <v>4</v>
      </c>
      <c r="AD5">
        <v>103</v>
      </c>
      <c r="AE5">
        <v>52.9</v>
      </c>
      <c r="AF5" s="280" t="s">
        <v>616</v>
      </c>
      <c r="AI5" s="280" t="s">
        <v>617</v>
      </c>
      <c r="AJ5">
        <v>160.61000000000001</v>
      </c>
    </row>
    <row r="6" spans="29:37">
      <c r="AC6">
        <v>5</v>
      </c>
      <c r="AD6">
        <v>104</v>
      </c>
      <c r="AE6">
        <v>932.5</v>
      </c>
      <c r="AF6" s="280" t="s">
        <v>230</v>
      </c>
      <c r="AJ6">
        <f>SUM(AJ2:AJ5)</f>
        <v>3573.37</v>
      </c>
    </row>
    <row r="7" spans="29:37">
      <c r="AC7">
        <v>6</v>
      </c>
      <c r="AD7">
        <v>201</v>
      </c>
      <c r="AE7">
        <v>557.17999999999995</v>
      </c>
      <c r="AF7" s="280" t="s">
        <v>618</v>
      </c>
    </row>
    <row r="8" spans="29:37">
      <c r="AC8">
        <v>7</v>
      </c>
      <c r="AD8">
        <v>202</v>
      </c>
      <c r="AE8">
        <v>321.89999999999998</v>
      </c>
      <c r="AF8" s="280" t="s">
        <v>618</v>
      </c>
    </row>
    <row r="9" spans="29:37">
      <c r="AC9">
        <v>8</v>
      </c>
      <c r="AD9">
        <v>203</v>
      </c>
      <c r="AE9">
        <v>120.48</v>
      </c>
      <c r="AF9" s="280" t="s">
        <v>618</v>
      </c>
    </row>
    <row r="10" spans="29:37">
      <c r="AC10">
        <v>9</v>
      </c>
      <c r="AD10">
        <v>204</v>
      </c>
      <c r="AE10">
        <v>78.92</v>
      </c>
      <c r="AF10" s="280" t="s">
        <v>618</v>
      </c>
    </row>
    <row r="11" spans="29:37">
      <c r="AC11">
        <v>10</v>
      </c>
      <c r="AD11">
        <v>205</v>
      </c>
      <c r="AE11">
        <v>120.48</v>
      </c>
      <c r="AF11" s="280" t="s">
        <v>618</v>
      </c>
    </row>
    <row r="12" spans="29:37">
      <c r="AC12">
        <v>11</v>
      </c>
      <c r="AD12">
        <v>206</v>
      </c>
      <c r="AE12">
        <v>120.48</v>
      </c>
      <c r="AF12" s="280" t="s">
        <v>618</v>
      </c>
    </row>
    <row r="13" spans="29:37">
      <c r="AC13">
        <v>12</v>
      </c>
      <c r="AD13">
        <v>207</v>
      </c>
      <c r="AE13">
        <v>120.48</v>
      </c>
      <c r="AF13" s="280" t="s">
        <v>618</v>
      </c>
    </row>
    <row r="14" spans="29:37">
      <c r="AC14">
        <v>13</v>
      </c>
      <c r="AD14" s="280" t="s">
        <v>619</v>
      </c>
      <c r="AE14">
        <v>919.24</v>
      </c>
      <c r="AF14" s="280" t="s">
        <v>618</v>
      </c>
    </row>
    <row r="15" spans="29:37">
      <c r="AC15">
        <v>14</v>
      </c>
      <c r="AD15" s="280">
        <v>301</v>
      </c>
      <c r="AE15">
        <v>321.75</v>
      </c>
      <c r="AF15" s="280" t="s">
        <v>618</v>
      </c>
    </row>
    <row r="16" spans="29:37">
      <c r="AC16">
        <v>15</v>
      </c>
      <c r="AD16" s="280">
        <v>302</v>
      </c>
      <c r="AE16">
        <v>120.48</v>
      </c>
      <c r="AF16" s="280" t="s">
        <v>618</v>
      </c>
      <c r="AI16">
        <f>7642.25-4068.88</f>
        <v>3573.37</v>
      </c>
    </row>
    <row r="17" spans="29:37">
      <c r="AC17">
        <v>16</v>
      </c>
      <c r="AD17" s="280">
        <v>303</v>
      </c>
      <c r="AE17">
        <v>76.47</v>
      </c>
      <c r="AF17" s="280" t="s">
        <v>618</v>
      </c>
    </row>
    <row r="18" spans="29:37">
      <c r="AC18">
        <v>17</v>
      </c>
      <c r="AD18" s="280">
        <v>304</v>
      </c>
      <c r="AE18">
        <v>361.44</v>
      </c>
      <c r="AF18" s="280" t="s">
        <v>618</v>
      </c>
    </row>
    <row r="19" spans="29:37">
      <c r="AC19">
        <v>18</v>
      </c>
      <c r="AD19" s="280">
        <v>305</v>
      </c>
      <c r="AE19">
        <v>321.75</v>
      </c>
      <c r="AF19" s="280" t="s">
        <v>618</v>
      </c>
    </row>
    <row r="20" spans="29:37">
      <c r="AC20">
        <v>19</v>
      </c>
      <c r="AD20" s="280">
        <v>306</v>
      </c>
      <c r="AE20">
        <v>238.22</v>
      </c>
      <c r="AF20" s="280" t="s">
        <v>618</v>
      </c>
    </row>
    <row r="21" spans="29:37">
      <c r="AC21">
        <v>20</v>
      </c>
      <c r="AD21" s="280">
        <v>307</v>
      </c>
      <c r="AE21">
        <v>319.73</v>
      </c>
      <c r="AF21" s="280" t="s">
        <v>618</v>
      </c>
    </row>
    <row r="22" spans="29:37">
      <c r="AC22">
        <v>21</v>
      </c>
      <c r="AD22" s="280">
        <v>308</v>
      </c>
      <c r="AE22">
        <v>159.94999999999999</v>
      </c>
      <c r="AF22" s="280" t="s">
        <v>618</v>
      </c>
    </row>
    <row r="23" spans="29:37">
      <c r="AC23">
        <v>22</v>
      </c>
      <c r="AD23" s="280">
        <v>309</v>
      </c>
      <c r="AE23">
        <v>159.4</v>
      </c>
      <c r="AF23" s="280" t="s">
        <v>618</v>
      </c>
      <c r="AI23">
        <f>SUM(AE7:AE14)+AE29</f>
        <v>5244.9</v>
      </c>
    </row>
    <row r="24" spans="29:37">
      <c r="AC24">
        <v>23</v>
      </c>
      <c r="AD24" s="280">
        <v>310</v>
      </c>
      <c r="AE24">
        <v>159.4</v>
      </c>
      <c r="AF24" s="280" t="s">
        <v>618</v>
      </c>
      <c r="AI24">
        <v>2585.04</v>
      </c>
    </row>
    <row r="25" spans="29:37">
      <c r="AC25">
        <v>24</v>
      </c>
      <c r="AD25" s="280">
        <v>311</v>
      </c>
      <c r="AE25">
        <v>159.4</v>
      </c>
      <c r="AF25" s="280" t="s">
        <v>618</v>
      </c>
      <c r="AI25">
        <f>AI23-AI24</f>
        <v>2659.8599999999997</v>
      </c>
      <c r="AJ25">
        <f>9600*26</f>
        <v>249600</v>
      </c>
      <c r="AK25">
        <f>AJ25/AI25/365</f>
        <v>0.25709459010562818</v>
      </c>
    </row>
    <row r="26" spans="29:37">
      <c r="AC26">
        <v>25</v>
      </c>
      <c r="AD26" s="280">
        <v>312</v>
      </c>
      <c r="AE26">
        <v>159.94999999999999</v>
      </c>
      <c r="AF26" s="280" t="s">
        <v>618</v>
      </c>
    </row>
    <row r="27" spans="29:37">
      <c r="AC27">
        <v>26</v>
      </c>
      <c r="AD27" s="280">
        <v>313</v>
      </c>
      <c r="AE27">
        <v>319.73</v>
      </c>
      <c r="AF27" s="280" t="s">
        <v>618</v>
      </c>
    </row>
    <row r="28" spans="29:37">
      <c r="AC28">
        <v>27</v>
      </c>
      <c r="AD28" s="280">
        <v>314</v>
      </c>
      <c r="AE28">
        <v>238.22</v>
      </c>
      <c r="AF28" s="280" t="s">
        <v>618</v>
      </c>
    </row>
    <row r="29" spans="29:37">
      <c r="AC29">
        <v>28</v>
      </c>
      <c r="AD29" s="280">
        <v>401</v>
      </c>
      <c r="AE29">
        <v>2885.74</v>
      </c>
      <c r="AF29" s="280" t="s">
        <v>230</v>
      </c>
    </row>
    <row r="30" spans="29:37">
      <c r="AC30">
        <v>29</v>
      </c>
      <c r="AD30" s="280">
        <v>501</v>
      </c>
      <c r="AE30">
        <v>139.97999999999999</v>
      </c>
      <c r="AF30" s="280" t="s">
        <v>230</v>
      </c>
    </row>
    <row r="31" spans="29:37">
      <c r="AC31">
        <v>30</v>
      </c>
      <c r="AD31" s="280">
        <v>502</v>
      </c>
      <c r="AE31">
        <v>79.3</v>
      </c>
      <c r="AF31" s="280" t="s">
        <v>230</v>
      </c>
    </row>
    <row r="32" spans="29:37">
      <c r="AC32">
        <v>31</v>
      </c>
      <c r="AD32" s="280">
        <v>503</v>
      </c>
      <c r="AE32">
        <v>79.3</v>
      </c>
      <c r="AF32" s="280" t="s">
        <v>230</v>
      </c>
    </row>
    <row r="33" spans="3:32">
      <c r="AC33">
        <v>32</v>
      </c>
      <c r="AD33" s="280">
        <v>504</v>
      </c>
      <c r="AE33">
        <v>79.3</v>
      </c>
      <c r="AF33" s="280" t="s">
        <v>230</v>
      </c>
    </row>
    <row r="34" spans="3:32">
      <c r="AC34">
        <v>33</v>
      </c>
      <c r="AD34" s="280">
        <v>505</v>
      </c>
      <c r="AE34">
        <v>79.3</v>
      </c>
      <c r="AF34" s="280" t="s">
        <v>230</v>
      </c>
    </row>
    <row r="35" spans="3:32">
      <c r="AC35">
        <v>34</v>
      </c>
      <c r="AD35" s="280">
        <v>506</v>
      </c>
      <c r="AE35">
        <v>79.3</v>
      </c>
      <c r="AF35" s="280" t="s">
        <v>230</v>
      </c>
    </row>
    <row r="36" spans="3:32">
      <c r="AC36">
        <v>35</v>
      </c>
      <c r="AD36" s="280">
        <v>507</v>
      </c>
      <c r="AE36">
        <v>79.3</v>
      </c>
      <c r="AF36" s="280" t="s">
        <v>230</v>
      </c>
    </row>
    <row r="37" spans="3:32">
      <c r="AC37">
        <v>36</v>
      </c>
      <c r="AD37" s="280">
        <v>508</v>
      </c>
      <c r="AE37">
        <v>79.3</v>
      </c>
      <c r="AF37" s="280" t="s">
        <v>230</v>
      </c>
    </row>
    <row r="38" spans="3:32">
      <c r="AC38">
        <v>37</v>
      </c>
      <c r="AD38" s="280">
        <v>509</v>
      </c>
      <c r="AE38">
        <v>79.3</v>
      </c>
      <c r="AF38" s="280" t="s">
        <v>230</v>
      </c>
    </row>
    <row r="39" spans="3:32">
      <c r="AC39">
        <v>38</v>
      </c>
      <c r="AD39" s="280">
        <v>510</v>
      </c>
      <c r="AE39">
        <v>79.3</v>
      </c>
      <c r="AF39" s="280" t="s">
        <v>230</v>
      </c>
    </row>
    <row r="40" spans="3:32">
      <c r="AC40">
        <v>39</v>
      </c>
      <c r="AD40" s="280">
        <v>511</v>
      </c>
      <c r="AE40">
        <v>79.3</v>
      </c>
      <c r="AF40" s="280" t="s">
        <v>230</v>
      </c>
    </row>
    <row r="41" spans="3:32">
      <c r="AC41">
        <v>40</v>
      </c>
      <c r="AD41" s="280">
        <v>512</v>
      </c>
      <c r="AE41">
        <v>79.3</v>
      </c>
      <c r="AF41" s="280" t="s">
        <v>230</v>
      </c>
    </row>
    <row r="42" spans="3:32">
      <c r="AC42">
        <v>41</v>
      </c>
      <c r="AD42" s="280">
        <v>513</v>
      </c>
      <c r="AE42">
        <v>79.3</v>
      </c>
      <c r="AF42" s="280" t="s">
        <v>230</v>
      </c>
    </row>
    <row r="43" spans="3:32">
      <c r="AC43">
        <v>42</v>
      </c>
      <c r="AD43" s="280">
        <v>514</v>
      </c>
      <c r="AE43">
        <v>100.55</v>
      </c>
      <c r="AF43" s="280" t="s">
        <v>230</v>
      </c>
    </row>
    <row r="44" spans="3:32">
      <c r="AC44">
        <v>43</v>
      </c>
      <c r="AD44" s="280">
        <v>515</v>
      </c>
      <c r="AE44">
        <v>232.89</v>
      </c>
      <c r="AF44" s="280" t="s">
        <v>230</v>
      </c>
    </row>
    <row r="45" spans="3:32">
      <c r="C45">
        <v>1</v>
      </c>
      <c r="D45">
        <v>52.9</v>
      </c>
      <c r="E45" s="280" t="s">
        <v>616</v>
      </c>
      <c r="G45">
        <v>1</v>
      </c>
      <c r="H45">
        <v>52.9</v>
      </c>
      <c r="I45" s="280" t="s">
        <v>616</v>
      </c>
      <c r="AC45">
        <v>44</v>
      </c>
      <c r="AD45" s="280">
        <v>516</v>
      </c>
      <c r="AE45">
        <v>100.56</v>
      </c>
      <c r="AF45" s="280" t="s">
        <v>230</v>
      </c>
    </row>
    <row r="46" spans="3:32">
      <c r="C46">
        <v>202</v>
      </c>
      <c r="D46">
        <v>33874.85</v>
      </c>
      <c r="E46" s="280" t="s">
        <v>230</v>
      </c>
      <c r="G46">
        <v>202</v>
      </c>
      <c r="H46">
        <v>33874.85</v>
      </c>
      <c r="I46" s="280" t="s">
        <v>230</v>
      </c>
      <c r="AC46">
        <v>45</v>
      </c>
      <c r="AD46" s="280">
        <v>517</v>
      </c>
      <c r="AE46">
        <v>79.3</v>
      </c>
      <c r="AF46" s="280" t="s">
        <v>230</v>
      </c>
    </row>
    <row r="47" spans="3:32">
      <c r="C47">
        <v>22</v>
      </c>
      <c r="D47">
        <v>5475.05</v>
      </c>
      <c r="E47" s="280" t="s">
        <v>618</v>
      </c>
      <c r="G47">
        <v>22</v>
      </c>
      <c r="H47">
        <v>5475.05</v>
      </c>
      <c r="I47" s="280" t="s">
        <v>618</v>
      </c>
      <c r="AC47">
        <v>46</v>
      </c>
      <c r="AD47" s="280">
        <v>518</v>
      </c>
      <c r="AE47">
        <v>79.3</v>
      </c>
      <c r="AF47" s="280" t="s">
        <v>230</v>
      </c>
    </row>
    <row r="48" spans="3:32">
      <c r="C48">
        <v>1</v>
      </c>
      <c r="D48">
        <v>2170.27</v>
      </c>
      <c r="E48" s="280" t="s">
        <v>614</v>
      </c>
      <c r="G48">
        <v>2</v>
      </c>
      <c r="H48">
        <v>7609.71</v>
      </c>
      <c r="I48" s="280" t="s">
        <v>620</v>
      </c>
      <c r="AC48">
        <v>47</v>
      </c>
      <c r="AD48" s="280">
        <v>519</v>
      </c>
      <c r="AE48">
        <v>79.3</v>
      </c>
      <c r="AF48" s="280" t="s">
        <v>230</v>
      </c>
    </row>
    <row r="49" spans="3:32">
      <c r="C49">
        <v>2</v>
      </c>
      <c r="D49">
        <v>1242.49</v>
      </c>
      <c r="E49" s="280" t="s">
        <v>615</v>
      </c>
      <c r="G49">
        <f>SUM(G43:G48)</f>
        <v>227</v>
      </c>
      <c r="H49">
        <f>SUM(H43:H48)</f>
        <v>47012.51</v>
      </c>
      <c r="AC49">
        <v>48</v>
      </c>
      <c r="AD49" s="280">
        <v>520</v>
      </c>
      <c r="AE49">
        <v>79.3</v>
      </c>
      <c r="AF49" s="280" t="s">
        <v>230</v>
      </c>
    </row>
    <row r="50" spans="3:32">
      <c r="C50">
        <v>2</v>
      </c>
      <c r="D50">
        <v>7609.71</v>
      </c>
      <c r="E50" s="280" t="s">
        <v>620</v>
      </c>
      <c r="AC50">
        <v>49</v>
      </c>
      <c r="AD50" s="280">
        <v>521</v>
      </c>
      <c r="AE50">
        <v>79.3</v>
      </c>
      <c r="AF50" s="280" t="s">
        <v>230</v>
      </c>
    </row>
    <row r="51" spans="3:32">
      <c r="C51">
        <f>SUM(C45:C50)</f>
        <v>230</v>
      </c>
      <c r="D51">
        <f>SUM(D45:D50)</f>
        <v>50425.27</v>
      </c>
      <c r="AC51">
        <v>50</v>
      </c>
      <c r="AD51" s="280">
        <v>522</v>
      </c>
      <c r="AE51">
        <v>79.319999999999993</v>
      </c>
      <c r="AF51" s="280" t="s">
        <v>230</v>
      </c>
    </row>
    <row r="52" spans="3:32">
      <c r="AC52">
        <v>51</v>
      </c>
      <c r="AD52" s="280">
        <v>523</v>
      </c>
      <c r="AE52">
        <v>79.290000000000006</v>
      </c>
      <c r="AF52" s="280" t="s">
        <v>230</v>
      </c>
    </row>
    <row r="53" spans="3:32">
      <c r="AC53">
        <v>52</v>
      </c>
      <c r="AD53" s="280">
        <v>524</v>
      </c>
      <c r="AE53">
        <v>79.3</v>
      </c>
      <c r="AF53" s="280" t="s">
        <v>230</v>
      </c>
    </row>
    <row r="54" spans="3:32">
      <c r="AC54">
        <v>53</v>
      </c>
      <c r="AD54" s="280">
        <v>525</v>
      </c>
      <c r="AE54">
        <v>79.3</v>
      </c>
      <c r="AF54" s="280" t="s">
        <v>230</v>
      </c>
    </row>
    <row r="55" spans="3:32">
      <c r="AC55">
        <v>54</v>
      </c>
      <c r="AD55" s="280">
        <v>526</v>
      </c>
      <c r="AE55">
        <v>79.3</v>
      </c>
      <c r="AF55" s="280" t="s">
        <v>230</v>
      </c>
    </row>
    <row r="56" spans="3:32">
      <c r="AC56">
        <v>55</v>
      </c>
      <c r="AD56" s="280">
        <v>527</v>
      </c>
      <c r="AE56">
        <v>79.3</v>
      </c>
      <c r="AF56" s="280" t="s">
        <v>230</v>
      </c>
    </row>
    <row r="57" spans="3:32">
      <c r="AC57">
        <v>56</v>
      </c>
      <c r="AD57" s="280">
        <v>528</v>
      </c>
      <c r="AE57">
        <v>79.3</v>
      </c>
      <c r="AF57" s="280" t="s">
        <v>230</v>
      </c>
    </row>
    <row r="58" spans="3:32">
      <c r="AC58">
        <v>57</v>
      </c>
      <c r="AD58" s="280">
        <v>529</v>
      </c>
      <c r="AE58">
        <v>139.97999999999999</v>
      </c>
      <c r="AF58" s="280" t="s">
        <v>230</v>
      </c>
    </row>
    <row r="59" spans="3:32">
      <c r="AC59">
        <v>58</v>
      </c>
      <c r="AD59" s="280">
        <v>530</v>
      </c>
      <c r="AE59">
        <v>82.84</v>
      </c>
      <c r="AF59" s="280" t="s">
        <v>230</v>
      </c>
    </row>
    <row r="60" spans="3:32">
      <c r="AC60">
        <v>59</v>
      </c>
      <c r="AD60" s="280">
        <v>531</v>
      </c>
      <c r="AE60">
        <v>82.84</v>
      </c>
      <c r="AF60" s="280" t="s">
        <v>230</v>
      </c>
    </row>
    <row r="61" spans="3:32">
      <c r="AC61">
        <v>60</v>
      </c>
      <c r="AD61" s="280">
        <v>601</v>
      </c>
      <c r="AE61">
        <v>143</v>
      </c>
      <c r="AF61" s="280" t="s">
        <v>230</v>
      </c>
    </row>
    <row r="62" spans="3:32">
      <c r="AC62">
        <v>61</v>
      </c>
      <c r="AD62" s="280">
        <v>602</v>
      </c>
      <c r="AE62">
        <v>81.02</v>
      </c>
      <c r="AF62" s="280" t="s">
        <v>230</v>
      </c>
    </row>
    <row r="63" spans="3:32">
      <c r="AC63">
        <v>62</v>
      </c>
      <c r="AD63" s="280">
        <v>603</v>
      </c>
      <c r="AE63">
        <v>81.02</v>
      </c>
      <c r="AF63" s="280" t="s">
        <v>230</v>
      </c>
    </row>
    <row r="64" spans="3:32">
      <c r="AC64">
        <v>63</v>
      </c>
      <c r="AD64" s="280">
        <v>604</v>
      </c>
      <c r="AE64">
        <v>81.02</v>
      </c>
      <c r="AF64" s="280" t="s">
        <v>230</v>
      </c>
    </row>
    <row r="65" spans="29:32">
      <c r="AC65">
        <v>64</v>
      </c>
      <c r="AD65" s="280">
        <v>605</v>
      </c>
      <c r="AE65">
        <v>81.02</v>
      </c>
      <c r="AF65" s="280" t="s">
        <v>230</v>
      </c>
    </row>
    <row r="66" spans="29:32">
      <c r="AC66">
        <v>65</v>
      </c>
      <c r="AD66" s="280">
        <v>606</v>
      </c>
      <c r="AE66">
        <v>81.02</v>
      </c>
      <c r="AF66" s="280" t="s">
        <v>230</v>
      </c>
    </row>
    <row r="67" spans="29:32">
      <c r="AC67">
        <v>66</v>
      </c>
      <c r="AD67" s="280">
        <v>607</v>
      </c>
      <c r="AE67">
        <v>81.02</v>
      </c>
      <c r="AF67" s="280" t="s">
        <v>230</v>
      </c>
    </row>
    <row r="68" spans="29:32">
      <c r="AC68">
        <v>67</v>
      </c>
      <c r="AD68" s="280">
        <v>608</v>
      </c>
      <c r="AE68">
        <v>81.02</v>
      </c>
      <c r="AF68" s="280" t="s">
        <v>230</v>
      </c>
    </row>
    <row r="69" spans="29:32">
      <c r="AC69">
        <v>68</v>
      </c>
      <c r="AD69" s="280">
        <v>609</v>
      </c>
      <c r="AE69">
        <v>81.02</v>
      </c>
      <c r="AF69" s="280" t="s">
        <v>230</v>
      </c>
    </row>
    <row r="70" spans="29:32">
      <c r="AC70">
        <v>69</v>
      </c>
      <c r="AD70" s="280">
        <v>610</v>
      </c>
      <c r="AE70">
        <v>81.02</v>
      </c>
      <c r="AF70" s="280" t="s">
        <v>230</v>
      </c>
    </row>
    <row r="71" spans="29:32">
      <c r="AC71">
        <v>70</v>
      </c>
      <c r="AD71" s="280">
        <v>611</v>
      </c>
      <c r="AE71">
        <v>81.02</v>
      </c>
      <c r="AF71" s="280" t="s">
        <v>230</v>
      </c>
    </row>
    <row r="72" spans="29:32">
      <c r="AC72">
        <v>71</v>
      </c>
      <c r="AD72" s="280">
        <v>612</v>
      </c>
      <c r="AE72">
        <v>81.02</v>
      </c>
      <c r="AF72" s="280" t="s">
        <v>230</v>
      </c>
    </row>
    <row r="73" spans="29:32">
      <c r="AC73">
        <v>72</v>
      </c>
      <c r="AD73" s="280">
        <v>613</v>
      </c>
      <c r="AE73">
        <v>81.02</v>
      </c>
      <c r="AF73" s="280" t="s">
        <v>230</v>
      </c>
    </row>
    <row r="74" spans="29:32">
      <c r="AC74">
        <v>73</v>
      </c>
      <c r="AD74" s="280">
        <v>614</v>
      </c>
      <c r="AE74">
        <v>102.72</v>
      </c>
      <c r="AF74" s="280" t="s">
        <v>230</v>
      </c>
    </row>
    <row r="75" spans="29:32">
      <c r="AC75">
        <v>74</v>
      </c>
      <c r="AD75" s="280">
        <v>615</v>
      </c>
      <c r="AE75">
        <v>84.62</v>
      </c>
      <c r="AF75" s="280" t="s">
        <v>230</v>
      </c>
    </row>
    <row r="76" spans="29:32">
      <c r="AC76">
        <v>75</v>
      </c>
      <c r="AD76" s="280">
        <v>616</v>
      </c>
      <c r="AE76">
        <v>84.62</v>
      </c>
      <c r="AF76" s="280" t="s">
        <v>230</v>
      </c>
    </row>
    <row r="77" spans="29:32">
      <c r="AC77">
        <v>76</v>
      </c>
      <c r="AD77" s="280">
        <v>617</v>
      </c>
      <c r="AE77">
        <v>102.72</v>
      </c>
      <c r="AF77" s="280" t="s">
        <v>230</v>
      </c>
    </row>
    <row r="78" spans="29:32">
      <c r="AC78">
        <v>77</v>
      </c>
      <c r="AD78" s="280">
        <v>618</v>
      </c>
      <c r="AE78">
        <v>81.02</v>
      </c>
      <c r="AF78" s="280" t="s">
        <v>230</v>
      </c>
    </row>
    <row r="79" spans="29:32">
      <c r="AC79">
        <v>78</v>
      </c>
      <c r="AD79" s="280">
        <v>619</v>
      </c>
      <c r="AE79">
        <v>81.02</v>
      </c>
      <c r="AF79" s="280" t="s">
        <v>230</v>
      </c>
    </row>
    <row r="80" spans="29:32">
      <c r="AC80">
        <v>79</v>
      </c>
      <c r="AD80" s="280">
        <v>620</v>
      </c>
      <c r="AE80">
        <v>81.02</v>
      </c>
      <c r="AF80" s="280" t="s">
        <v>230</v>
      </c>
    </row>
    <row r="81" spans="29:32">
      <c r="AC81">
        <v>80</v>
      </c>
      <c r="AD81" s="280">
        <v>621</v>
      </c>
      <c r="AE81">
        <v>81.02</v>
      </c>
      <c r="AF81" s="280" t="s">
        <v>230</v>
      </c>
    </row>
    <row r="82" spans="29:32">
      <c r="AC82">
        <v>81</v>
      </c>
      <c r="AD82" s="280">
        <v>622</v>
      </c>
      <c r="AE82">
        <v>81.02</v>
      </c>
      <c r="AF82" s="280" t="s">
        <v>230</v>
      </c>
    </row>
    <row r="83" spans="29:32">
      <c r="AC83">
        <v>82</v>
      </c>
      <c r="AD83" s="280">
        <v>623</v>
      </c>
      <c r="AE83">
        <v>81</v>
      </c>
      <c r="AF83" s="280" t="s">
        <v>230</v>
      </c>
    </row>
    <row r="84" spans="29:32">
      <c r="AC84">
        <v>83</v>
      </c>
      <c r="AD84" s="280">
        <v>624</v>
      </c>
      <c r="AE84">
        <v>81.03</v>
      </c>
      <c r="AF84" s="280" t="s">
        <v>230</v>
      </c>
    </row>
    <row r="85" spans="29:32">
      <c r="AC85">
        <v>84</v>
      </c>
      <c r="AD85" s="280">
        <v>625</v>
      </c>
      <c r="AE85">
        <v>81.02</v>
      </c>
      <c r="AF85" s="280" t="s">
        <v>230</v>
      </c>
    </row>
    <row r="86" spans="29:32">
      <c r="AC86">
        <v>85</v>
      </c>
      <c r="AD86" s="280">
        <v>626</v>
      </c>
      <c r="AE86">
        <v>81.02</v>
      </c>
      <c r="AF86" s="280" t="s">
        <v>230</v>
      </c>
    </row>
    <row r="87" spans="29:32">
      <c r="AC87">
        <v>86</v>
      </c>
      <c r="AD87" s="280">
        <v>627</v>
      </c>
      <c r="AE87">
        <v>81.02</v>
      </c>
      <c r="AF87" s="280" t="s">
        <v>230</v>
      </c>
    </row>
    <row r="88" spans="29:32">
      <c r="AC88">
        <v>87</v>
      </c>
      <c r="AD88" s="280">
        <v>628</v>
      </c>
      <c r="AE88">
        <v>81.02</v>
      </c>
      <c r="AF88" s="280" t="s">
        <v>230</v>
      </c>
    </row>
    <row r="89" spans="29:32">
      <c r="AC89">
        <v>88</v>
      </c>
      <c r="AD89" s="280">
        <v>629</v>
      </c>
      <c r="AE89">
        <v>81.02</v>
      </c>
      <c r="AF89" s="280" t="s">
        <v>230</v>
      </c>
    </row>
    <row r="90" spans="29:32">
      <c r="AC90">
        <v>89</v>
      </c>
      <c r="AD90" s="280">
        <v>630</v>
      </c>
      <c r="AE90">
        <v>143</v>
      </c>
      <c r="AF90" s="280" t="s">
        <v>230</v>
      </c>
    </row>
    <row r="91" spans="29:32">
      <c r="AC91">
        <v>90</v>
      </c>
      <c r="AD91" s="280">
        <v>631</v>
      </c>
      <c r="AE91">
        <v>84.62</v>
      </c>
      <c r="AF91" s="280" t="s">
        <v>230</v>
      </c>
    </row>
    <row r="92" spans="29:32">
      <c r="AC92">
        <v>91</v>
      </c>
      <c r="AD92" s="280">
        <v>632</v>
      </c>
      <c r="AE92">
        <v>84.62</v>
      </c>
      <c r="AF92" s="280" t="s">
        <v>230</v>
      </c>
    </row>
    <row r="93" spans="29:32">
      <c r="AC93">
        <v>92</v>
      </c>
      <c r="AD93" s="280">
        <v>701</v>
      </c>
      <c r="AE93">
        <v>285.43</v>
      </c>
      <c r="AF93" s="280" t="s">
        <v>230</v>
      </c>
    </row>
    <row r="94" spans="29:32">
      <c r="AC94">
        <v>93</v>
      </c>
      <c r="AD94" s="280">
        <v>702</v>
      </c>
      <c r="AE94">
        <v>148.97999999999999</v>
      </c>
      <c r="AF94" s="280" t="s">
        <v>230</v>
      </c>
    </row>
    <row r="95" spans="29:32">
      <c r="AC95">
        <v>94</v>
      </c>
      <c r="AD95" s="280">
        <v>703</v>
      </c>
      <c r="AE95">
        <v>111.74</v>
      </c>
      <c r="AF95" s="280" t="s">
        <v>230</v>
      </c>
    </row>
    <row r="96" spans="29:32">
      <c r="AC96">
        <v>95</v>
      </c>
      <c r="AD96" s="280">
        <v>704</v>
      </c>
      <c r="AE96">
        <v>111.74</v>
      </c>
      <c r="AF96" s="280" t="s">
        <v>230</v>
      </c>
    </row>
    <row r="97" spans="29:32">
      <c r="AC97">
        <v>96</v>
      </c>
      <c r="AD97" s="280">
        <v>705</v>
      </c>
      <c r="AE97">
        <v>111.74</v>
      </c>
      <c r="AF97" s="280" t="s">
        <v>230</v>
      </c>
    </row>
    <row r="98" spans="29:32">
      <c r="AC98">
        <v>97</v>
      </c>
      <c r="AD98" s="280">
        <v>706</v>
      </c>
      <c r="AE98">
        <v>148.97999999999999</v>
      </c>
      <c r="AF98" s="280" t="s">
        <v>230</v>
      </c>
    </row>
    <row r="99" spans="29:32">
      <c r="AC99">
        <v>98</v>
      </c>
      <c r="AD99" s="280">
        <v>707</v>
      </c>
      <c r="AE99">
        <v>269.32</v>
      </c>
      <c r="AF99" s="280" t="s">
        <v>230</v>
      </c>
    </row>
    <row r="100" spans="29:32">
      <c r="AC100">
        <v>99</v>
      </c>
      <c r="AD100" s="280">
        <v>708</v>
      </c>
      <c r="AE100">
        <v>211.33</v>
      </c>
      <c r="AF100" s="280" t="s">
        <v>230</v>
      </c>
    </row>
    <row r="101" spans="29:32">
      <c r="AC101">
        <v>100</v>
      </c>
      <c r="AD101" s="280">
        <v>709</v>
      </c>
      <c r="AE101">
        <v>285.43</v>
      </c>
      <c r="AF101" s="280" t="s">
        <v>230</v>
      </c>
    </row>
    <row r="102" spans="29:32">
      <c r="AC102">
        <v>101</v>
      </c>
      <c r="AD102" s="280">
        <v>710</v>
      </c>
      <c r="AE102">
        <v>148.97999999999999</v>
      </c>
      <c r="AF102" s="280" t="s">
        <v>230</v>
      </c>
    </row>
    <row r="103" spans="29:32">
      <c r="AC103">
        <v>102</v>
      </c>
      <c r="AD103" s="280">
        <v>711</v>
      </c>
      <c r="AE103">
        <v>111.74</v>
      </c>
      <c r="AF103" s="280" t="s">
        <v>230</v>
      </c>
    </row>
    <row r="104" spans="29:32">
      <c r="AC104">
        <v>103</v>
      </c>
      <c r="AD104" s="280">
        <v>712</v>
      </c>
      <c r="AE104">
        <v>111.74</v>
      </c>
      <c r="AF104" s="280" t="s">
        <v>230</v>
      </c>
    </row>
    <row r="105" spans="29:32">
      <c r="AC105">
        <v>104</v>
      </c>
      <c r="AD105" s="280">
        <v>713</v>
      </c>
      <c r="AE105">
        <v>111.74</v>
      </c>
      <c r="AF105" s="280" t="s">
        <v>230</v>
      </c>
    </row>
    <row r="106" spans="29:32">
      <c r="AC106">
        <v>105</v>
      </c>
      <c r="AD106" s="280">
        <v>714</v>
      </c>
      <c r="AE106">
        <v>148.97999999999999</v>
      </c>
      <c r="AF106" s="280" t="s">
        <v>230</v>
      </c>
    </row>
    <row r="107" spans="29:32">
      <c r="AC107">
        <v>106</v>
      </c>
      <c r="AD107" s="280">
        <v>715</v>
      </c>
      <c r="AE107">
        <v>285.43</v>
      </c>
      <c r="AF107" s="280" t="s">
        <v>230</v>
      </c>
    </row>
    <row r="108" spans="29:32">
      <c r="AC108">
        <v>107</v>
      </c>
      <c r="AD108" s="280">
        <v>716</v>
      </c>
      <c r="AE108">
        <v>211.33</v>
      </c>
      <c r="AF108" s="280" t="s">
        <v>230</v>
      </c>
    </row>
    <row r="109" spans="29:32">
      <c r="AC109">
        <v>108</v>
      </c>
      <c r="AD109" s="280">
        <v>801</v>
      </c>
      <c r="AE109">
        <v>285.43</v>
      </c>
      <c r="AF109" s="280" t="s">
        <v>230</v>
      </c>
    </row>
    <row r="110" spans="29:32">
      <c r="AC110">
        <v>109</v>
      </c>
      <c r="AD110" s="280">
        <v>802</v>
      </c>
      <c r="AE110">
        <v>148.97999999999999</v>
      </c>
      <c r="AF110" s="280" t="s">
        <v>230</v>
      </c>
    </row>
    <row r="111" spans="29:32">
      <c r="AC111">
        <v>110</v>
      </c>
      <c r="AD111" s="280">
        <v>803</v>
      </c>
      <c r="AE111">
        <v>111.74</v>
      </c>
      <c r="AF111" s="280" t="s">
        <v>230</v>
      </c>
    </row>
    <row r="112" spans="29:32">
      <c r="AC112">
        <v>111</v>
      </c>
      <c r="AD112" s="280">
        <v>804</v>
      </c>
      <c r="AE112">
        <v>111.74</v>
      </c>
      <c r="AF112" s="280" t="s">
        <v>230</v>
      </c>
    </row>
    <row r="113" spans="29:32">
      <c r="AC113">
        <v>112</v>
      </c>
      <c r="AD113" s="280">
        <v>805</v>
      </c>
      <c r="AE113">
        <v>111.74</v>
      </c>
      <c r="AF113" s="280" t="s">
        <v>230</v>
      </c>
    </row>
    <row r="114" spans="29:32">
      <c r="AC114">
        <v>113</v>
      </c>
      <c r="AD114" s="280">
        <v>806</v>
      </c>
      <c r="AE114">
        <v>148.97999999999999</v>
      </c>
      <c r="AF114" s="280" t="s">
        <v>230</v>
      </c>
    </row>
    <row r="115" spans="29:32">
      <c r="AC115">
        <v>114</v>
      </c>
      <c r="AD115" s="280">
        <v>807</v>
      </c>
      <c r="AE115">
        <v>269.32</v>
      </c>
      <c r="AF115" s="280" t="s">
        <v>230</v>
      </c>
    </row>
    <row r="116" spans="29:32">
      <c r="AC116">
        <v>115</v>
      </c>
      <c r="AD116" s="280">
        <v>808</v>
      </c>
      <c r="AE116">
        <v>211.33</v>
      </c>
      <c r="AF116" s="280" t="s">
        <v>230</v>
      </c>
    </row>
    <row r="117" spans="29:32">
      <c r="AC117">
        <v>116</v>
      </c>
      <c r="AD117" s="280">
        <v>809</v>
      </c>
      <c r="AE117">
        <v>285.43</v>
      </c>
      <c r="AF117" s="280" t="s">
        <v>230</v>
      </c>
    </row>
    <row r="118" spans="29:32">
      <c r="AC118">
        <v>117</v>
      </c>
      <c r="AD118" s="280">
        <v>810</v>
      </c>
      <c r="AE118">
        <v>148.97999999999999</v>
      </c>
      <c r="AF118" s="280" t="s">
        <v>230</v>
      </c>
    </row>
    <row r="119" spans="29:32">
      <c r="AC119">
        <v>118</v>
      </c>
      <c r="AD119" s="280">
        <v>811</v>
      </c>
      <c r="AE119">
        <v>111.74</v>
      </c>
      <c r="AF119" s="280" t="s">
        <v>230</v>
      </c>
    </row>
    <row r="120" spans="29:32">
      <c r="AC120">
        <v>119</v>
      </c>
      <c r="AD120" s="280">
        <v>812</v>
      </c>
      <c r="AE120">
        <v>111.74</v>
      </c>
      <c r="AF120" s="280" t="s">
        <v>230</v>
      </c>
    </row>
    <row r="121" spans="29:32">
      <c r="AC121">
        <v>120</v>
      </c>
      <c r="AD121" s="280">
        <v>813</v>
      </c>
      <c r="AE121">
        <v>111.74</v>
      </c>
      <c r="AF121" s="280" t="s">
        <v>230</v>
      </c>
    </row>
    <row r="122" spans="29:32">
      <c r="AC122">
        <v>121</v>
      </c>
      <c r="AD122" s="280">
        <v>814</v>
      </c>
      <c r="AE122">
        <v>148.97999999999999</v>
      </c>
      <c r="AF122" s="280" t="s">
        <v>230</v>
      </c>
    </row>
    <row r="123" spans="29:32">
      <c r="AC123">
        <v>122</v>
      </c>
      <c r="AD123" s="280">
        <v>815</v>
      </c>
      <c r="AE123">
        <v>285.43</v>
      </c>
      <c r="AF123" s="280" t="s">
        <v>230</v>
      </c>
    </row>
    <row r="124" spans="29:32">
      <c r="AC124">
        <v>123</v>
      </c>
      <c r="AD124" s="280">
        <v>816</v>
      </c>
      <c r="AE124">
        <v>211.33</v>
      </c>
      <c r="AF124" s="280" t="s">
        <v>230</v>
      </c>
    </row>
    <row r="125" spans="29:32">
      <c r="AC125">
        <v>124</v>
      </c>
      <c r="AD125" s="280">
        <v>901</v>
      </c>
      <c r="AE125">
        <v>285.43</v>
      </c>
      <c r="AF125" s="280" t="s">
        <v>230</v>
      </c>
    </row>
    <row r="126" spans="29:32">
      <c r="AC126">
        <v>125</v>
      </c>
      <c r="AD126" s="280">
        <v>902</v>
      </c>
      <c r="AE126">
        <v>148.97999999999999</v>
      </c>
      <c r="AF126" s="280" t="s">
        <v>230</v>
      </c>
    </row>
    <row r="127" spans="29:32">
      <c r="AC127">
        <v>126</v>
      </c>
      <c r="AD127" s="280">
        <v>903</v>
      </c>
      <c r="AE127">
        <v>111.74</v>
      </c>
      <c r="AF127" s="280" t="s">
        <v>230</v>
      </c>
    </row>
    <row r="128" spans="29:32">
      <c r="AC128">
        <v>127</v>
      </c>
      <c r="AD128" s="280">
        <v>904</v>
      </c>
      <c r="AE128">
        <v>111.74</v>
      </c>
      <c r="AF128" s="280" t="s">
        <v>230</v>
      </c>
    </row>
    <row r="129" spans="29:32">
      <c r="AC129">
        <v>128</v>
      </c>
      <c r="AD129" s="280">
        <v>905</v>
      </c>
      <c r="AE129">
        <v>111.74</v>
      </c>
      <c r="AF129" s="280" t="s">
        <v>230</v>
      </c>
    </row>
    <row r="130" spans="29:32">
      <c r="AC130">
        <v>129</v>
      </c>
      <c r="AD130" s="280">
        <v>906</v>
      </c>
      <c r="AE130">
        <v>148.97999999999999</v>
      </c>
      <c r="AF130" s="280" t="s">
        <v>230</v>
      </c>
    </row>
    <row r="131" spans="29:32">
      <c r="AC131">
        <v>130</v>
      </c>
      <c r="AD131" s="280">
        <v>907</v>
      </c>
      <c r="AE131">
        <v>269.32</v>
      </c>
      <c r="AF131" s="280" t="s">
        <v>230</v>
      </c>
    </row>
    <row r="132" spans="29:32">
      <c r="AC132">
        <v>131</v>
      </c>
      <c r="AD132" s="280">
        <v>908</v>
      </c>
      <c r="AE132">
        <v>211.33</v>
      </c>
      <c r="AF132" s="280" t="s">
        <v>230</v>
      </c>
    </row>
    <row r="133" spans="29:32">
      <c r="AC133">
        <v>132</v>
      </c>
      <c r="AD133" s="280">
        <v>909</v>
      </c>
      <c r="AE133">
        <v>285.43</v>
      </c>
      <c r="AF133" s="280" t="s">
        <v>230</v>
      </c>
    </row>
    <row r="134" spans="29:32">
      <c r="AC134">
        <v>133</v>
      </c>
      <c r="AD134" s="280">
        <v>910</v>
      </c>
      <c r="AE134">
        <v>148.97999999999999</v>
      </c>
      <c r="AF134" s="280" t="s">
        <v>230</v>
      </c>
    </row>
    <row r="135" spans="29:32">
      <c r="AC135">
        <v>134</v>
      </c>
      <c r="AD135" s="280">
        <v>911</v>
      </c>
      <c r="AE135">
        <v>111.74</v>
      </c>
      <c r="AF135" s="280" t="s">
        <v>230</v>
      </c>
    </row>
    <row r="136" spans="29:32">
      <c r="AC136">
        <v>135</v>
      </c>
      <c r="AD136" s="280">
        <v>912</v>
      </c>
      <c r="AE136">
        <v>111.74</v>
      </c>
      <c r="AF136" s="280" t="s">
        <v>230</v>
      </c>
    </row>
    <row r="137" spans="29:32">
      <c r="AC137">
        <v>136</v>
      </c>
      <c r="AD137" s="280">
        <v>913</v>
      </c>
      <c r="AE137">
        <v>111.74</v>
      </c>
      <c r="AF137" s="280" t="s">
        <v>230</v>
      </c>
    </row>
    <row r="138" spans="29:32">
      <c r="AC138">
        <v>137</v>
      </c>
      <c r="AD138" s="280">
        <v>914</v>
      </c>
      <c r="AE138">
        <v>148.97999999999999</v>
      </c>
      <c r="AF138" s="280" t="s">
        <v>230</v>
      </c>
    </row>
    <row r="139" spans="29:32">
      <c r="AC139">
        <v>138</v>
      </c>
      <c r="AD139" s="280">
        <v>915</v>
      </c>
      <c r="AE139">
        <v>285.43</v>
      </c>
      <c r="AF139" s="280" t="s">
        <v>230</v>
      </c>
    </row>
    <row r="140" spans="29:32">
      <c r="AC140">
        <v>139</v>
      </c>
      <c r="AD140" s="280">
        <v>916</v>
      </c>
      <c r="AE140">
        <v>211.33</v>
      </c>
      <c r="AF140" s="280" t="s">
        <v>230</v>
      </c>
    </row>
    <row r="141" spans="29:32">
      <c r="AC141">
        <v>140</v>
      </c>
      <c r="AD141" s="280">
        <v>1001</v>
      </c>
      <c r="AE141">
        <v>270.64999999999998</v>
      </c>
      <c r="AF141" s="280" t="s">
        <v>230</v>
      </c>
    </row>
    <row r="142" spans="29:32">
      <c r="AC142">
        <v>141</v>
      </c>
      <c r="AD142" s="280">
        <v>1002</v>
      </c>
      <c r="AE142">
        <v>151.32</v>
      </c>
      <c r="AF142" s="280" t="s">
        <v>230</v>
      </c>
    </row>
    <row r="143" spans="29:32">
      <c r="AC143">
        <v>142</v>
      </c>
      <c r="AD143" s="280">
        <v>1003</v>
      </c>
      <c r="AE143">
        <v>113.49</v>
      </c>
      <c r="AF143" s="280" t="s">
        <v>230</v>
      </c>
    </row>
    <row r="144" spans="29:32">
      <c r="AC144">
        <v>143</v>
      </c>
      <c r="AD144" s="280">
        <v>1004</v>
      </c>
      <c r="AE144">
        <v>113.49</v>
      </c>
      <c r="AF144" s="280" t="s">
        <v>230</v>
      </c>
    </row>
    <row r="145" spans="29:32">
      <c r="AC145">
        <v>144</v>
      </c>
      <c r="AD145" s="280">
        <v>1005</v>
      </c>
      <c r="AE145">
        <v>113.49</v>
      </c>
      <c r="AF145" s="280" t="s">
        <v>230</v>
      </c>
    </row>
    <row r="146" spans="29:32">
      <c r="AC146">
        <v>145</v>
      </c>
      <c r="AD146" s="280">
        <v>1006</v>
      </c>
      <c r="AE146">
        <v>151.32</v>
      </c>
      <c r="AF146" s="280" t="s">
        <v>230</v>
      </c>
    </row>
    <row r="147" spans="29:32">
      <c r="AC147">
        <v>146</v>
      </c>
      <c r="AD147" s="280">
        <v>1007</v>
      </c>
      <c r="AE147">
        <v>270.64999999999998</v>
      </c>
      <c r="AF147" s="280" t="s">
        <v>230</v>
      </c>
    </row>
    <row r="148" spans="29:32">
      <c r="AC148">
        <v>147</v>
      </c>
      <c r="AD148" s="280">
        <v>1008</v>
      </c>
      <c r="AE148">
        <v>217.01</v>
      </c>
      <c r="AF148" s="280" t="s">
        <v>230</v>
      </c>
    </row>
    <row r="149" spans="29:32">
      <c r="AC149">
        <v>148</v>
      </c>
      <c r="AD149" s="280">
        <v>1009</v>
      </c>
      <c r="AE149">
        <v>270.64999999999998</v>
      </c>
      <c r="AF149" s="280" t="s">
        <v>230</v>
      </c>
    </row>
    <row r="150" spans="29:32">
      <c r="AC150">
        <v>149</v>
      </c>
      <c r="AD150" s="280">
        <v>1010</v>
      </c>
      <c r="AE150">
        <v>151.32</v>
      </c>
      <c r="AF150" s="280" t="s">
        <v>230</v>
      </c>
    </row>
    <row r="151" spans="29:32">
      <c r="AC151">
        <v>150</v>
      </c>
      <c r="AD151" s="280">
        <v>1011</v>
      </c>
      <c r="AE151">
        <v>113.49</v>
      </c>
      <c r="AF151" s="280" t="s">
        <v>230</v>
      </c>
    </row>
    <row r="152" spans="29:32">
      <c r="AC152">
        <v>151</v>
      </c>
      <c r="AD152" s="280">
        <v>1012</v>
      </c>
      <c r="AE152">
        <v>113.49</v>
      </c>
      <c r="AF152" s="280" t="s">
        <v>230</v>
      </c>
    </row>
    <row r="153" spans="29:32">
      <c r="AC153">
        <v>152</v>
      </c>
      <c r="AD153" s="280">
        <v>1013</v>
      </c>
      <c r="AE153">
        <v>113.49</v>
      </c>
      <c r="AF153" s="280" t="s">
        <v>230</v>
      </c>
    </row>
    <row r="154" spans="29:32">
      <c r="AC154">
        <v>153</v>
      </c>
      <c r="AD154" s="280">
        <v>1014</v>
      </c>
      <c r="AE154">
        <v>151.32</v>
      </c>
      <c r="AF154" s="280" t="s">
        <v>230</v>
      </c>
    </row>
    <row r="155" spans="29:32">
      <c r="AC155">
        <v>154</v>
      </c>
      <c r="AD155" s="280">
        <v>1015</v>
      </c>
      <c r="AE155">
        <v>270.64999999999998</v>
      </c>
      <c r="AF155" s="280" t="s">
        <v>230</v>
      </c>
    </row>
    <row r="156" spans="29:32">
      <c r="AC156">
        <v>155</v>
      </c>
      <c r="AD156" s="280">
        <v>1016</v>
      </c>
      <c r="AE156">
        <v>217.01</v>
      </c>
      <c r="AF156" s="280" t="s">
        <v>230</v>
      </c>
    </row>
    <row r="157" spans="29:32">
      <c r="AC157">
        <v>156</v>
      </c>
      <c r="AD157" s="280">
        <v>1101</v>
      </c>
      <c r="AE157">
        <v>270.64999999999998</v>
      </c>
      <c r="AF157" s="280" t="s">
        <v>230</v>
      </c>
    </row>
    <row r="158" spans="29:32">
      <c r="AC158">
        <v>157</v>
      </c>
      <c r="AD158" s="280">
        <v>1102</v>
      </c>
      <c r="AE158">
        <v>151.32</v>
      </c>
      <c r="AF158" s="280" t="s">
        <v>230</v>
      </c>
    </row>
    <row r="159" spans="29:32">
      <c r="AC159">
        <v>158</v>
      </c>
      <c r="AD159" s="280">
        <v>1103</v>
      </c>
      <c r="AE159">
        <v>113.49</v>
      </c>
      <c r="AF159" s="280" t="s">
        <v>230</v>
      </c>
    </row>
    <row r="160" spans="29:32">
      <c r="AC160">
        <v>159</v>
      </c>
      <c r="AD160" s="280">
        <v>1104</v>
      </c>
      <c r="AE160">
        <v>113.49</v>
      </c>
      <c r="AF160" s="280" t="s">
        <v>230</v>
      </c>
    </row>
    <row r="161" spans="29:32">
      <c r="AC161">
        <v>160</v>
      </c>
      <c r="AD161" s="280">
        <v>1105</v>
      </c>
      <c r="AE161">
        <v>113.49</v>
      </c>
      <c r="AF161" s="280" t="s">
        <v>230</v>
      </c>
    </row>
    <row r="162" spans="29:32">
      <c r="AC162">
        <v>161</v>
      </c>
      <c r="AD162" s="280">
        <v>1106</v>
      </c>
      <c r="AE162">
        <v>151.32</v>
      </c>
      <c r="AF162" s="280" t="s">
        <v>230</v>
      </c>
    </row>
    <row r="163" spans="29:32">
      <c r="AC163">
        <v>162</v>
      </c>
      <c r="AD163" s="280">
        <v>1107</v>
      </c>
      <c r="AE163">
        <v>270.64999999999998</v>
      </c>
      <c r="AF163" s="280" t="s">
        <v>230</v>
      </c>
    </row>
    <row r="164" spans="29:32">
      <c r="AC164">
        <v>163</v>
      </c>
      <c r="AD164" s="280">
        <v>1108</v>
      </c>
      <c r="AE164">
        <v>217.01</v>
      </c>
      <c r="AF164" s="280" t="s">
        <v>230</v>
      </c>
    </row>
    <row r="165" spans="29:32">
      <c r="AC165">
        <v>164</v>
      </c>
      <c r="AD165" s="280">
        <v>1109</v>
      </c>
      <c r="AE165">
        <v>270.64999999999998</v>
      </c>
      <c r="AF165" s="280" t="s">
        <v>230</v>
      </c>
    </row>
    <row r="166" spans="29:32">
      <c r="AC166">
        <v>165</v>
      </c>
      <c r="AD166" s="280">
        <v>1110</v>
      </c>
      <c r="AE166">
        <v>151.32</v>
      </c>
      <c r="AF166" s="280" t="s">
        <v>230</v>
      </c>
    </row>
    <row r="167" spans="29:32">
      <c r="AC167">
        <v>166</v>
      </c>
      <c r="AD167" s="280">
        <v>1111</v>
      </c>
      <c r="AE167">
        <v>113.49</v>
      </c>
      <c r="AF167" s="280" t="s">
        <v>230</v>
      </c>
    </row>
    <row r="168" spans="29:32">
      <c r="AC168">
        <v>167</v>
      </c>
      <c r="AD168" s="280">
        <v>1112</v>
      </c>
      <c r="AE168">
        <v>113.49</v>
      </c>
      <c r="AF168" s="280" t="s">
        <v>230</v>
      </c>
    </row>
    <row r="169" spans="29:32">
      <c r="AC169">
        <v>168</v>
      </c>
      <c r="AD169" s="280">
        <v>1113</v>
      </c>
      <c r="AE169">
        <v>113.49</v>
      </c>
      <c r="AF169" s="280" t="s">
        <v>230</v>
      </c>
    </row>
    <row r="170" spans="29:32">
      <c r="AC170">
        <v>169</v>
      </c>
      <c r="AD170" s="280">
        <v>1114</v>
      </c>
      <c r="AE170">
        <v>151.32</v>
      </c>
      <c r="AF170" s="280" t="s">
        <v>230</v>
      </c>
    </row>
    <row r="171" spans="29:32">
      <c r="AC171">
        <v>170</v>
      </c>
      <c r="AD171" s="280">
        <v>1115</v>
      </c>
      <c r="AE171">
        <v>270.64999999999998</v>
      </c>
      <c r="AF171" s="280" t="s">
        <v>230</v>
      </c>
    </row>
    <row r="172" spans="29:32">
      <c r="AC172">
        <v>171</v>
      </c>
      <c r="AD172" s="280">
        <v>1116</v>
      </c>
      <c r="AE172">
        <v>217.01</v>
      </c>
      <c r="AF172" s="280" t="s">
        <v>230</v>
      </c>
    </row>
    <row r="173" spans="29:32">
      <c r="AC173">
        <v>172</v>
      </c>
      <c r="AD173" s="280">
        <v>1201</v>
      </c>
      <c r="AE173">
        <v>230.62</v>
      </c>
      <c r="AF173" s="280" t="s">
        <v>230</v>
      </c>
    </row>
    <row r="174" spans="29:32">
      <c r="AC174">
        <v>173</v>
      </c>
      <c r="AD174" s="280">
        <v>1202</v>
      </c>
      <c r="AE174">
        <v>128.94</v>
      </c>
      <c r="AF174" s="280" t="s">
        <v>230</v>
      </c>
    </row>
    <row r="175" spans="29:32">
      <c r="AC175">
        <v>174</v>
      </c>
      <c r="AD175" s="280">
        <v>1203</v>
      </c>
      <c r="AE175">
        <v>96.71</v>
      </c>
      <c r="AF175" s="280" t="s">
        <v>230</v>
      </c>
    </row>
    <row r="176" spans="29:32">
      <c r="AC176">
        <v>175</v>
      </c>
      <c r="AD176" s="280">
        <v>1204</v>
      </c>
      <c r="AE176">
        <v>96.71</v>
      </c>
      <c r="AF176" s="280" t="s">
        <v>230</v>
      </c>
    </row>
    <row r="177" spans="29:32">
      <c r="AC177">
        <v>176</v>
      </c>
      <c r="AD177" s="280">
        <v>1205</v>
      </c>
      <c r="AE177">
        <v>96.71</v>
      </c>
      <c r="AF177" s="280" t="s">
        <v>230</v>
      </c>
    </row>
    <row r="178" spans="29:32">
      <c r="AC178">
        <v>177</v>
      </c>
      <c r="AD178" s="280">
        <v>1206</v>
      </c>
      <c r="AE178">
        <v>128.94</v>
      </c>
      <c r="AF178" s="280" t="s">
        <v>230</v>
      </c>
    </row>
    <row r="179" spans="29:32">
      <c r="AC179">
        <v>178</v>
      </c>
      <c r="AD179" s="280">
        <v>1207</v>
      </c>
      <c r="AE179">
        <v>230.62</v>
      </c>
      <c r="AF179" s="280" t="s">
        <v>230</v>
      </c>
    </row>
    <row r="180" spans="29:32">
      <c r="AC180">
        <v>179</v>
      </c>
      <c r="AD180" s="280">
        <v>1208</v>
      </c>
      <c r="AE180">
        <v>184.91</v>
      </c>
      <c r="AF180" s="280" t="s">
        <v>230</v>
      </c>
    </row>
    <row r="181" spans="29:32">
      <c r="AC181">
        <v>180</v>
      </c>
      <c r="AD181" s="280">
        <v>1209</v>
      </c>
      <c r="AE181">
        <v>230.62</v>
      </c>
      <c r="AF181" s="280" t="s">
        <v>230</v>
      </c>
    </row>
    <row r="182" spans="29:32">
      <c r="AC182">
        <v>181</v>
      </c>
      <c r="AD182" s="280">
        <v>1210</v>
      </c>
      <c r="AE182">
        <v>128.94</v>
      </c>
      <c r="AF182" s="280" t="s">
        <v>230</v>
      </c>
    </row>
    <row r="183" spans="29:32">
      <c r="AC183">
        <v>182</v>
      </c>
      <c r="AD183" s="280">
        <v>1211</v>
      </c>
      <c r="AE183">
        <v>96.71</v>
      </c>
      <c r="AF183" s="280" t="s">
        <v>230</v>
      </c>
    </row>
    <row r="184" spans="29:32">
      <c r="AC184">
        <v>183</v>
      </c>
      <c r="AD184" s="280">
        <v>1212</v>
      </c>
      <c r="AE184">
        <v>96.71</v>
      </c>
      <c r="AF184" s="280" t="s">
        <v>230</v>
      </c>
    </row>
    <row r="185" spans="29:32">
      <c r="AC185">
        <v>184</v>
      </c>
      <c r="AD185" s="280">
        <v>1213</v>
      </c>
      <c r="AE185">
        <v>96.71</v>
      </c>
      <c r="AF185" s="280" t="s">
        <v>230</v>
      </c>
    </row>
    <row r="186" spans="29:32">
      <c r="AC186">
        <v>185</v>
      </c>
      <c r="AD186" s="280">
        <v>1214</v>
      </c>
      <c r="AE186">
        <v>128.94</v>
      </c>
      <c r="AF186" s="280" t="s">
        <v>230</v>
      </c>
    </row>
    <row r="187" spans="29:32">
      <c r="AC187">
        <v>186</v>
      </c>
      <c r="AD187" s="280">
        <v>1215</v>
      </c>
      <c r="AE187">
        <v>230.62</v>
      </c>
      <c r="AF187" s="280" t="s">
        <v>230</v>
      </c>
    </row>
    <row r="188" spans="29:32">
      <c r="AC188">
        <v>187</v>
      </c>
      <c r="AD188" s="280">
        <v>1216</v>
      </c>
      <c r="AE188">
        <v>184.91</v>
      </c>
      <c r="AF188" s="280" t="s">
        <v>230</v>
      </c>
    </row>
    <row r="189" spans="29:32">
      <c r="AC189">
        <v>188</v>
      </c>
      <c r="AD189" s="280">
        <v>1301</v>
      </c>
      <c r="AE189">
        <v>230.62</v>
      </c>
      <c r="AF189" s="280" t="s">
        <v>230</v>
      </c>
    </row>
    <row r="190" spans="29:32">
      <c r="AC190">
        <v>189</v>
      </c>
      <c r="AD190" s="280">
        <v>1302</v>
      </c>
      <c r="AE190">
        <v>128.94</v>
      </c>
      <c r="AF190" s="280" t="s">
        <v>230</v>
      </c>
    </row>
    <row r="191" spans="29:32">
      <c r="AC191">
        <v>190</v>
      </c>
      <c r="AD191" s="280">
        <v>1303</v>
      </c>
      <c r="AE191">
        <v>96.71</v>
      </c>
      <c r="AF191" s="280" t="s">
        <v>230</v>
      </c>
    </row>
    <row r="192" spans="29:32">
      <c r="AC192">
        <v>191</v>
      </c>
      <c r="AD192" s="280">
        <v>1304</v>
      </c>
      <c r="AE192">
        <v>96.71</v>
      </c>
      <c r="AF192" s="280" t="s">
        <v>230</v>
      </c>
    </row>
    <row r="193" spans="29:32">
      <c r="AC193">
        <v>192</v>
      </c>
      <c r="AD193" s="280">
        <v>1305</v>
      </c>
      <c r="AE193">
        <v>96.71</v>
      </c>
      <c r="AF193" s="280" t="s">
        <v>230</v>
      </c>
    </row>
    <row r="194" spans="29:32">
      <c r="AC194">
        <v>193</v>
      </c>
      <c r="AD194" s="280">
        <v>1306</v>
      </c>
      <c r="AE194">
        <v>128.94</v>
      </c>
      <c r="AF194" s="280" t="s">
        <v>230</v>
      </c>
    </row>
    <row r="195" spans="29:32">
      <c r="AC195">
        <v>194</v>
      </c>
      <c r="AD195" s="280">
        <v>1307</v>
      </c>
      <c r="AE195">
        <v>230.62</v>
      </c>
      <c r="AF195" s="280" t="s">
        <v>230</v>
      </c>
    </row>
    <row r="196" spans="29:32">
      <c r="AC196">
        <v>195</v>
      </c>
      <c r="AD196" s="280">
        <v>1308</v>
      </c>
      <c r="AE196">
        <v>184.91</v>
      </c>
      <c r="AF196" s="280" t="s">
        <v>230</v>
      </c>
    </row>
    <row r="197" spans="29:32">
      <c r="AC197">
        <v>196</v>
      </c>
      <c r="AD197" s="280">
        <v>1309</v>
      </c>
      <c r="AE197">
        <v>230.62</v>
      </c>
      <c r="AF197" s="280" t="s">
        <v>230</v>
      </c>
    </row>
    <row r="198" spans="29:32">
      <c r="AC198">
        <v>197</v>
      </c>
      <c r="AD198" s="280">
        <v>1310</v>
      </c>
      <c r="AE198">
        <v>128.94</v>
      </c>
      <c r="AF198" s="280" t="s">
        <v>230</v>
      </c>
    </row>
    <row r="199" spans="29:32">
      <c r="AC199">
        <v>198</v>
      </c>
      <c r="AD199" s="280">
        <v>1311</v>
      </c>
      <c r="AE199">
        <v>96.71</v>
      </c>
      <c r="AF199" s="280" t="s">
        <v>230</v>
      </c>
    </row>
    <row r="200" spans="29:32">
      <c r="AC200">
        <v>199</v>
      </c>
      <c r="AD200" s="280">
        <v>1312</v>
      </c>
      <c r="AE200">
        <v>96.71</v>
      </c>
      <c r="AF200" s="280" t="s">
        <v>230</v>
      </c>
    </row>
    <row r="201" spans="29:32">
      <c r="AC201">
        <v>200</v>
      </c>
      <c r="AD201" s="280">
        <v>1313</v>
      </c>
      <c r="AE201">
        <v>96.71</v>
      </c>
      <c r="AF201" s="280" t="s">
        <v>230</v>
      </c>
    </row>
    <row r="202" spans="29:32">
      <c r="AC202">
        <v>201</v>
      </c>
      <c r="AD202" s="280">
        <v>1314</v>
      </c>
      <c r="AE202">
        <v>128.94</v>
      </c>
      <c r="AF202" s="280" t="s">
        <v>230</v>
      </c>
    </row>
    <row r="203" spans="29:32">
      <c r="AC203">
        <v>202</v>
      </c>
      <c r="AD203" s="280">
        <v>1315</v>
      </c>
      <c r="AE203">
        <v>230.62</v>
      </c>
      <c r="AF203" s="280" t="s">
        <v>230</v>
      </c>
    </row>
    <row r="204" spans="29:32">
      <c r="AC204">
        <v>203</v>
      </c>
      <c r="AD204" s="280">
        <v>1316</v>
      </c>
      <c r="AE204">
        <v>184.91</v>
      </c>
      <c r="AF204" s="280" t="s">
        <v>230</v>
      </c>
    </row>
    <row r="205" spans="29:32">
      <c r="AC205">
        <v>204</v>
      </c>
      <c r="AD205" s="280">
        <v>1401</v>
      </c>
      <c r="AE205">
        <v>230.62</v>
      </c>
      <c r="AF205" s="280" t="s">
        <v>230</v>
      </c>
    </row>
    <row r="206" spans="29:32">
      <c r="AC206">
        <v>205</v>
      </c>
      <c r="AD206" s="280">
        <v>1402</v>
      </c>
      <c r="AE206">
        <v>128.94</v>
      </c>
      <c r="AF206" s="280" t="s">
        <v>230</v>
      </c>
    </row>
    <row r="207" spans="29:32">
      <c r="AC207">
        <v>206</v>
      </c>
      <c r="AD207" s="280">
        <v>1403</v>
      </c>
      <c r="AE207">
        <v>96.71</v>
      </c>
      <c r="AF207" s="280" t="s">
        <v>230</v>
      </c>
    </row>
    <row r="208" spans="29:32">
      <c r="AC208">
        <v>207</v>
      </c>
      <c r="AD208" s="280">
        <v>1404</v>
      </c>
      <c r="AE208">
        <v>96.71</v>
      </c>
      <c r="AF208" s="280" t="s">
        <v>230</v>
      </c>
    </row>
    <row r="209" spans="29:32">
      <c r="AC209">
        <v>208</v>
      </c>
      <c r="AD209" s="280">
        <v>1405</v>
      </c>
      <c r="AE209">
        <v>96.71</v>
      </c>
      <c r="AF209" s="280" t="s">
        <v>230</v>
      </c>
    </row>
    <row r="210" spans="29:32">
      <c r="AC210">
        <v>209</v>
      </c>
      <c r="AD210" s="280">
        <v>1406</v>
      </c>
      <c r="AE210">
        <v>128.94</v>
      </c>
      <c r="AF210" s="280" t="s">
        <v>230</v>
      </c>
    </row>
    <row r="211" spans="29:32">
      <c r="AC211">
        <v>210</v>
      </c>
      <c r="AD211" s="280">
        <v>1407</v>
      </c>
      <c r="AE211">
        <v>230.62</v>
      </c>
      <c r="AF211" s="280" t="s">
        <v>230</v>
      </c>
    </row>
    <row r="212" spans="29:32">
      <c r="AC212">
        <v>211</v>
      </c>
      <c r="AD212" s="280">
        <v>1408</v>
      </c>
      <c r="AE212">
        <v>184.91</v>
      </c>
      <c r="AF212" s="280" t="s">
        <v>230</v>
      </c>
    </row>
    <row r="213" spans="29:32">
      <c r="AC213">
        <v>212</v>
      </c>
      <c r="AD213" s="280">
        <v>1409</v>
      </c>
      <c r="AE213">
        <v>230.62</v>
      </c>
      <c r="AF213" s="280" t="s">
        <v>230</v>
      </c>
    </row>
    <row r="214" spans="29:32">
      <c r="AC214">
        <v>213</v>
      </c>
      <c r="AD214" s="280">
        <v>1410</v>
      </c>
      <c r="AE214">
        <v>128.94</v>
      </c>
      <c r="AF214" s="280" t="s">
        <v>230</v>
      </c>
    </row>
    <row r="215" spans="29:32">
      <c r="AC215">
        <v>214</v>
      </c>
      <c r="AD215" s="280">
        <v>1411</v>
      </c>
      <c r="AE215">
        <v>96.71</v>
      </c>
      <c r="AF215" s="280" t="s">
        <v>230</v>
      </c>
    </row>
    <row r="216" spans="29:32">
      <c r="AC216">
        <v>215</v>
      </c>
      <c r="AD216" s="280">
        <v>1412</v>
      </c>
      <c r="AE216">
        <v>96.71</v>
      </c>
      <c r="AF216" s="280" t="s">
        <v>230</v>
      </c>
    </row>
    <row r="217" spans="29:32">
      <c r="AC217">
        <v>216</v>
      </c>
      <c r="AD217" s="280">
        <v>1413</v>
      </c>
      <c r="AE217">
        <v>96.71</v>
      </c>
      <c r="AF217" s="280" t="s">
        <v>230</v>
      </c>
    </row>
    <row r="218" spans="29:32">
      <c r="AC218">
        <v>217</v>
      </c>
      <c r="AD218" s="280">
        <v>1414</v>
      </c>
      <c r="AE218">
        <v>128.94</v>
      </c>
      <c r="AF218" s="280" t="s">
        <v>230</v>
      </c>
    </row>
    <row r="219" spans="29:32">
      <c r="AC219">
        <v>218</v>
      </c>
      <c r="AD219" s="280">
        <v>1415</v>
      </c>
      <c r="AE219">
        <v>230.62</v>
      </c>
      <c r="AF219" s="280" t="s">
        <v>230</v>
      </c>
    </row>
    <row r="220" spans="29:32">
      <c r="AC220">
        <v>219</v>
      </c>
      <c r="AD220" s="280">
        <v>1416</v>
      </c>
      <c r="AE220">
        <v>184.91</v>
      </c>
      <c r="AF220" s="280" t="s">
        <v>230</v>
      </c>
    </row>
    <row r="221" spans="29:32">
      <c r="AC221">
        <v>220</v>
      </c>
      <c r="AD221" s="280">
        <v>1501</v>
      </c>
      <c r="AE221">
        <v>684.97</v>
      </c>
      <c r="AF221" s="280" t="s">
        <v>230</v>
      </c>
    </row>
    <row r="222" spans="29:32">
      <c r="AC222">
        <v>221</v>
      </c>
      <c r="AD222" s="280">
        <v>1502</v>
      </c>
      <c r="AE222">
        <v>225.83</v>
      </c>
      <c r="AF222" s="280" t="s">
        <v>230</v>
      </c>
    </row>
    <row r="223" spans="29:32">
      <c r="AC223">
        <v>222</v>
      </c>
      <c r="AD223" s="280">
        <v>1503</v>
      </c>
      <c r="AE223">
        <v>96.76</v>
      </c>
      <c r="AF223" s="280" t="s">
        <v>230</v>
      </c>
    </row>
    <row r="224" spans="29:32">
      <c r="AC224">
        <v>223</v>
      </c>
      <c r="AD224" s="280">
        <v>1504</v>
      </c>
      <c r="AE224">
        <v>206.61</v>
      </c>
      <c r="AF224" s="280" t="s">
        <v>230</v>
      </c>
    </row>
    <row r="225" spans="29:32">
      <c r="AC225">
        <v>224</v>
      </c>
      <c r="AD225" s="280">
        <v>1505</v>
      </c>
      <c r="AE225">
        <v>618.52</v>
      </c>
      <c r="AF225" s="280" t="s">
        <v>230</v>
      </c>
    </row>
    <row r="226" spans="29:32">
      <c r="AC226">
        <v>225</v>
      </c>
      <c r="AD226" s="280">
        <v>1506</v>
      </c>
      <c r="AE226">
        <v>197.03</v>
      </c>
      <c r="AF226" s="280" t="s">
        <v>230</v>
      </c>
    </row>
    <row r="227" spans="29:32">
      <c r="AC227">
        <v>226</v>
      </c>
      <c r="AD227" s="280">
        <v>1507</v>
      </c>
      <c r="AE227">
        <v>96.79</v>
      </c>
      <c r="AF227" s="280" t="s">
        <v>230</v>
      </c>
    </row>
    <row r="228" spans="29:32">
      <c r="AC228">
        <v>227</v>
      </c>
      <c r="AD228" s="280">
        <v>1508</v>
      </c>
      <c r="AE228">
        <v>225.83</v>
      </c>
      <c r="AF228" s="280" t="s">
        <v>230</v>
      </c>
    </row>
    <row r="229" spans="29:32">
      <c r="AE229">
        <f>SUM(AE2:AE228)</f>
        <v>47012.510000000097</v>
      </c>
    </row>
  </sheetData>
  <phoneticPr fontId="23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9" sqref="K19"/>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30" t="s">
        <v>621</v>
      </c>
      <c r="B1" s="2305"/>
      <c r="C1" s="2305"/>
      <c r="D1" s="2305"/>
      <c r="E1" s="2305"/>
      <c r="F1" s="2305"/>
      <c r="G1" s="2305"/>
      <c r="H1" s="2305"/>
      <c r="I1" s="2305"/>
      <c r="J1" s="2305"/>
      <c r="K1" s="2305"/>
      <c r="L1" s="2305"/>
      <c r="M1" s="2305"/>
      <c r="N1" s="2305"/>
      <c r="O1" s="2305"/>
      <c r="P1" s="2305"/>
    </row>
    <row r="2" spans="1:16" ht="15">
      <c r="A2" s="3258" t="s">
        <v>622</v>
      </c>
      <c r="B2" s="3258"/>
      <c r="C2" s="3258"/>
      <c r="D2" s="2159" t="s">
        <v>623</v>
      </c>
      <c r="E2" s="2740" t="s">
        <v>624</v>
      </c>
      <c r="F2" s="2575"/>
      <c r="G2" s="2741"/>
      <c r="H2" s="2742"/>
      <c r="I2" s="2450" t="s">
        <v>625</v>
      </c>
      <c r="J2" s="2575"/>
      <c r="K2" s="2575"/>
      <c r="L2" s="2575"/>
      <c r="M2" s="2575"/>
      <c r="N2" s="1065"/>
      <c r="O2" s="2575"/>
      <c r="P2" s="2575"/>
    </row>
    <row r="3" spans="1:16" ht="15">
      <c r="A3" s="3259" t="s">
        <v>626</v>
      </c>
      <c r="B3" s="3259"/>
      <c r="C3" s="3259"/>
      <c r="D3" s="2743">
        <f>'数据-基础表'!AY6</f>
        <v>11435.33</v>
      </c>
      <c r="E3" s="2743">
        <f>'数据-基础表'!AZ5</f>
        <v>50585.8</v>
      </c>
      <c r="F3" s="2575"/>
      <c r="G3" s="2744"/>
      <c r="H3" s="2254" t="s">
        <v>627</v>
      </c>
      <c r="I3" s="1526">
        <f>ROUND('数据-基础表'!B3/'数据-基础表'!A3,2)</f>
        <v>4.42</v>
      </c>
      <c r="J3" s="2575"/>
      <c r="K3" s="2575"/>
      <c r="L3" s="2575"/>
      <c r="M3" s="2575"/>
      <c r="N3" s="1065"/>
      <c r="O3" s="2575"/>
      <c r="P3" s="2575"/>
    </row>
    <row r="4" spans="1:16" ht="15">
      <c r="A4" s="3260"/>
      <c r="B4" s="3261"/>
      <c r="C4" s="3262"/>
      <c r="D4" s="2745" t="s">
        <v>623</v>
      </c>
      <c r="E4" s="2746" t="s">
        <v>624</v>
      </c>
      <c r="F4" s="2575"/>
      <c r="G4" s="2747" t="s">
        <v>628</v>
      </c>
      <c r="H4" s="2254" t="s">
        <v>629</v>
      </c>
      <c r="I4" s="1526">
        <f>ROUND(SUMIF('数据-基础表'!I9:AS9,"地上",'数据-基础表'!I5:AS5)/'数据-基础表'!A3,2)</f>
        <v>3.55</v>
      </c>
      <c r="J4" s="2575"/>
      <c r="K4" s="2575"/>
      <c r="L4" s="2575"/>
      <c r="M4" s="2575"/>
      <c r="N4" s="1065"/>
      <c r="O4" s="2575"/>
      <c r="P4" s="2575"/>
    </row>
    <row r="5" spans="1:16">
      <c r="A5" s="2744" t="s">
        <v>630</v>
      </c>
      <c r="B5" s="3263" t="s">
        <v>631</v>
      </c>
      <c r="C5" s="3263"/>
      <c r="D5" s="2254">
        <f>ROUND($D$3*E5/$E$3,2)</f>
        <v>0</v>
      </c>
      <c r="E5" s="2748">
        <f>SUMIF('数据-基础表'!$11:$11,"住宅",'数据-基础表'!$5:$5)</f>
        <v>0</v>
      </c>
      <c r="F5" s="2575"/>
      <c r="G5" s="2744"/>
      <c r="H5" s="2254" t="s">
        <v>627</v>
      </c>
      <c r="I5" s="1526">
        <f>ROUND(E31/D31,2)</f>
        <v>4.42</v>
      </c>
      <c r="J5" s="2575"/>
      <c r="K5" s="2575"/>
      <c r="L5" s="2575"/>
      <c r="M5" s="2575"/>
      <c r="N5" s="2575"/>
      <c r="O5" s="2575"/>
      <c r="P5" s="2575"/>
    </row>
    <row r="6" spans="1:16">
      <c r="A6" s="2749"/>
      <c r="B6" s="3263" t="s">
        <v>632</v>
      </c>
      <c r="C6" s="3263"/>
      <c r="D6" s="2254">
        <f>ROUND($D$3*E6/$E$3,2)</f>
        <v>11435.33</v>
      </c>
      <c r="E6" s="2748">
        <f>E3-E5</f>
        <v>50585.8</v>
      </c>
      <c r="F6" s="2575"/>
      <c r="G6" s="2750" t="s">
        <v>633</v>
      </c>
      <c r="H6" s="2751" t="s">
        <v>629</v>
      </c>
      <c r="I6" s="2752">
        <f>ROUND(F31/D31,2)</f>
        <v>3.55</v>
      </c>
      <c r="J6" s="2575"/>
      <c r="K6" s="2575"/>
      <c r="L6" s="2575"/>
      <c r="M6" s="2575"/>
      <c r="N6" s="2575"/>
      <c r="O6" s="2575"/>
      <c r="P6" s="2575"/>
    </row>
    <row r="7" spans="1:16" ht="15">
      <c r="A7" s="3249"/>
      <c r="B7" s="3250"/>
      <c r="C7" s="3251"/>
      <c r="D7" s="2745" t="s">
        <v>623</v>
      </c>
      <c r="E7" s="2753" t="s">
        <v>634</v>
      </c>
      <c r="F7" s="2575"/>
      <c r="G7" s="2754" t="s">
        <v>635</v>
      </c>
      <c r="H7" s="2671"/>
      <c r="I7" s="2755"/>
      <c r="J7" s="2575"/>
      <c r="K7" s="2575"/>
      <c r="L7" s="2575"/>
      <c r="M7" s="2575"/>
      <c r="N7" s="2575"/>
      <c r="O7" s="2575"/>
      <c r="P7" s="2575"/>
    </row>
    <row r="8" spans="1:16">
      <c r="A8" s="2744" t="s">
        <v>636</v>
      </c>
      <c r="B8" s="2751" t="s">
        <v>637</v>
      </c>
      <c r="C8" s="2254" t="s">
        <v>638</v>
      </c>
      <c r="D8" s="2254">
        <f t="shared" ref="D8:D15" si="0">ROUND($D$3*E8/$E$3,2)</f>
        <v>8895.36</v>
      </c>
      <c r="E8" s="2756">
        <f>SUMIF('数据-基础表'!BB10:BK10,"地上",'数据-基础表'!BB5:BK5)</f>
        <v>39349.9</v>
      </c>
      <c r="F8" s="2575"/>
      <c r="G8" s="2575"/>
      <c r="H8" s="2575"/>
      <c r="I8" s="2575"/>
      <c r="J8" s="2575"/>
      <c r="K8" s="2575"/>
      <c r="L8" s="2575"/>
      <c r="M8" s="2575"/>
      <c r="N8" s="2575"/>
      <c r="O8" s="2575"/>
      <c r="P8" s="2575"/>
    </row>
    <row r="9" spans="1:16">
      <c r="A9" s="2750"/>
      <c r="B9" s="2757"/>
      <c r="C9" s="2254" t="s">
        <v>639</v>
      </c>
      <c r="D9" s="2254">
        <f t="shared" si="0"/>
        <v>0</v>
      </c>
      <c r="E9" s="2758">
        <v>0</v>
      </c>
      <c r="F9" s="2575"/>
      <c r="G9" s="2575"/>
      <c r="H9" s="2575"/>
      <c r="I9" s="2575"/>
      <c r="J9" s="2575"/>
      <c r="K9" s="2575"/>
      <c r="L9" s="2575"/>
      <c r="M9" s="2575"/>
      <c r="N9" s="2575"/>
      <c r="O9" s="2575"/>
      <c r="P9" s="2575"/>
    </row>
    <row r="10" spans="1:16">
      <c r="A10" s="2750"/>
      <c r="B10" s="2757"/>
      <c r="C10" s="2254" t="s">
        <v>640</v>
      </c>
      <c r="D10" s="2254">
        <f t="shared" si="0"/>
        <v>0</v>
      </c>
      <c r="E10" s="2756">
        <f>SUMPRODUCT(('数据-基础表'!BB10:BK10="地下")*('数据-基础表'!BB11:BK11="商业")*('数据-基础表'!BB5:BK5))</f>
        <v>0</v>
      </c>
      <c r="F10" s="2575"/>
      <c r="G10" s="2575"/>
      <c r="H10" s="2575"/>
      <c r="I10" s="2575"/>
      <c r="J10" s="2575"/>
      <c r="K10" s="2575"/>
      <c r="L10" s="2575"/>
      <c r="M10" s="2575"/>
      <c r="N10" s="2575"/>
      <c r="O10" s="2575"/>
      <c r="P10" s="2575"/>
    </row>
    <row r="11" spans="1:16">
      <c r="A11" s="2750"/>
      <c r="B11" s="2757"/>
      <c r="C11" s="2254" t="s">
        <v>641</v>
      </c>
      <c r="D11" s="2254">
        <f t="shared" si="0"/>
        <v>0</v>
      </c>
      <c r="E11" s="2756">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0"/>
      <c r="B12" s="2757"/>
      <c r="C12" s="2254" t="s">
        <v>642</v>
      </c>
      <c r="D12" s="2254">
        <f t="shared" si="0"/>
        <v>0</v>
      </c>
      <c r="E12" s="2756">
        <f>SUMPRODUCT(('数据-基础表'!BB10:BK10="地下")*('数据-基础表'!BB11:BK11="仓储")*('数据-基础表'!BB5:BK5))</f>
        <v>0</v>
      </c>
      <c r="F12" s="2575"/>
      <c r="G12" s="2575"/>
      <c r="H12" s="2575"/>
      <c r="I12" s="2575"/>
      <c r="J12" s="2575"/>
      <c r="K12" s="2575"/>
      <c r="L12" s="2575"/>
      <c r="M12" s="2575"/>
      <c r="N12" s="2575"/>
      <c r="O12" s="2575"/>
      <c r="P12" s="2575"/>
    </row>
    <row r="13" spans="1:16">
      <c r="A13" s="2750"/>
      <c r="B13" s="2757"/>
      <c r="C13" s="2254" t="s">
        <v>643</v>
      </c>
      <c r="D13" s="2254">
        <f t="shared" si="0"/>
        <v>0</v>
      </c>
      <c r="E13" s="2756">
        <f>SUMPRODUCT(('数据-基础表'!BB10:BK10="地下")*('数据-基础表'!BB11:BK11="车库")*('数据-基础表'!BB5:BK5))</f>
        <v>0</v>
      </c>
      <c r="F13" s="2575"/>
      <c r="G13" s="2575"/>
      <c r="H13" s="2575"/>
      <c r="I13" s="2575"/>
      <c r="J13" s="2575"/>
      <c r="K13" s="2575"/>
      <c r="L13" s="2575"/>
      <c r="M13" s="2575"/>
      <c r="N13" s="2575"/>
      <c r="O13" s="2575"/>
      <c r="P13" s="2575"/>
    </row>
    <row r="14" spans="1:16">
      <c r="A14" s="2750"/>
      <c r="B14" s="2757"/>
      <c r="C14" s="2254" t="s">
        <v>644</v>
      </c>
      <c r="D14" s="2254">
        <f t="shared" si="0"/>
        <v>1720.24</v>
      </c>
      <c r="E14" s="2756">
        <f>SUMPRODUCT(('数据-基础表'!BB10:BK10="地下")*('数据-基础表'!BB11:BK11="车库—商业")*('数据-基础表'!BB5:BK5))</f>
        <v>7609.71</v>
      </c>
      <c r="F14" s="2575"/>
      <c r="G14" s="2575"/>
      <c r="H14" s="2575"/>
      <c r="I14" s="2575"/>
      <c r="J14" s="2575"/>
      <c r="K14" s="2575"/>
      <c r="L14" s="2575"/>
      <c r="M14" s="2575"/>
      <c r="N14" s="2575"/>
      <c r="O14" s="2575"/>
      <c r="P14" s="2575"/>
    </row>
    <row r="15" spans="1:16">
      <c r="A15" s="2750"/>
      <c r="B15" s="2757"/>
      <c r="C15" s="2254" t="s">
        <v>645</v>
      </c>
      <c r="D15" s="2254">
        <f t="shared" si="0"/>
        <v>0</v>
      </c>
      <c r="E15" s="2756">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49"/>
      <c r="B16" s="2757"/>
      <c r="C16" s="2751" t="s">
        <v>646</v>
      </c>
      <c r="D16" s="2751">
        <f>SUM(D8:D15)</f>
        <v>10615.6</v>
      </c>
      <c r="E16" s="2759">
        <f>SUM(E8:E15)</f>
        <v>46959.61</v>
      </c>
      <c r="F16" s="2575"/>
      <c r="G16" s="2575"/>
      <c r="H16" s="2760" t="s">
        <v>647</v>
      </c>
      <c r="I16" s="2761"/>
      <c r="J16" s="2305"/>
      <c r="K16" s="3252" t="s">
        <v>647</v>
      </c>
      <c r="L16" s="3253"/>
      <c r="M16" s="3253"/>
      <c r="N16" s="3253"/>
      <c r="O16" s="3253"/>
      <c r="P16" s="3254"/>
    </row>
    <row r="17" spans="1:19" ht="15">
      <c r="A17" s="2582" t="s">
        <v>648</v>
      </c>
      <c r="B17" s="2763" t="s">
        <v>649</v>
      </c>
      <c r="C17" s="2279" t="s">
        <v>650</v>
      </c>
      <c r="D17" s="2762" t="s">
        <v>623</v>
      </c>
      <c r="E17" s="2764" t="s">
        <v>624</v>
      </c>
      <c r="F17" s="2765"/>
      <c r="G17" s="2766"/>
      <c r="H17" s="2767" t="s">
        <v>651</v>
      </c>
      <c r="I17" s="2768" t="s">
        <v>652</v>
      </c>
      <c r="J17" s="2305"/>
      <c r="K17" s="3255" t="s">
        <v>653</v>
      </c>
      <c r="L17" s="3256"/>
      <c r="M17" s="3257"/>
      <c r="N17" s="3255" t="s">
        <v>654</v>
      </c>
      <c r="O17" s="3256"/>
      <c r="P17" s="3257"/>
      <c r="R17" s="2198" t="s">
        <v>655</v>
      </c>
      <c r="S17" s="2244"/>
    </row>
    <row r="18" spans="1:19" ht="15">
      <c r="A18" s="2750"/>
      <c r="B18" s="2769"/>
      <c r="C18" s="2247"/>
      <c r="D18" s="2770"/>
      <c r="E18" s="2771" t="s">
        <v>656</v>
      </c>
      <c r="F18" s="2772" t="s">
        <v>629</v>
      </c>
      <c r="G18" s="2773" t="s">
        <v>657</v>
      </c>
      <c r="H18" s="2624" t="s">
        <v>658</v>
      </c>
      <c r="I18" s="2774" t="s">
        <v>659</v>
      </c>
      <c r="J18" s="2305"/>
      <c r="K18" s="2624" t="s">
        <v>660</v>
      </c>
      <c r="L18" s="2463" t="s">
        <v>661</v>
      </c>
      <c r="M18" s="1526" t="s">
        <v>662</v>
      </c>
      <c r="N18" s="2624" t="s">
        <v>660</v>
      </c>
      <c r="O18" s="2463" t="s">
        <v>661</v>
      </c>
      <c r="P18" s="1526" t="s">
        <v>662</v>
      </c>
      <c r="R18" s="2254" t="s">
        <v>658</v>
      </c>
      <c r="S18" s="2254" t="s">
        <v>659</v>
      </c>
    </row>
    <row r="19" spans="1:19">
      <c r="A19" s="2775"/>
      <c r="B19" s="2751" t="s">
        <v>663</v>
      </c>
      <c r="C19" s="2776" t="s">
        <v>664</v>
      </c>
      <c r="D19" s="2254">
        <f>ROUND($D$3*E19/$E$3,2)</f>
        <v>5681.6</v>
      </c>
      <c r="E19" s="2777">
        <f t="shared" ref="E19:E26" si="1">SUM(F19:G19)</f>
        <v>25133.34</v>
      </c>
      <c r="F19" s="2622">
        <f>租赁台账!I116</f>
        <v>25133.34</v>
      </c>
      <c r="G19" s="2758"/>
      <c r="H19" s="2645">
        <f>ROUND($D$3*I19/$E$3,2)</f>
        <v>438.73</v>
      </c>
      <c r="I19" s="2756">
        <f t="shared" ref="I19:I26" si="2">IF($I$17="自定义",P19,M19)</f>
        <v>1940.78</v>
      </c>
      <c r="J19" s="2305"/>
      <c r="K19" s="2645">
        <f t="shared" ref="K19:K26" si="3">ROUND(E$28*E19/E$27,2)</f>
        <v>1940.78</v>
      </c>
      <c r="L19" s="2254">
        <f t="shared" ref="L19:L26" si="4">ROUND(IF(COUNTIF(C19,"*住宅*")&gt;0,E$29*E19/E$32,0),2)</f>
        <v>0</v>
      </c>
      <c r="M19" s="2756">
        <f>K19+L19</f>
        <v>1940.78</v>
      </c>
      <c r="N19" s="2778"/>
      <c r="O19" s="2779"/>
      <c r="P19" s="2756">
        <f>N19+O19</f>
        <v>0</v>
      </c>
      <c r="R19" s="2254">
        <f t="shared" ref="R19:S26" si="5">D19+H19</f>
        <v>6120.33</v>
      </c>
      <c r="S19" s="2777">
        <f t="shared" si="5"/>
        <v>27074.12</v>
      </c>
    </row>
    <row r="20" spans="1:19">
      <c r="A20" s="2775"/>
      <c r="B20" s="2751" t="s">
        <v>663</v>
      </c>
      <c r="C20" s="2776" t="s">
        <v>665</v>
      </c>
      <c r="D20" s="2254">
        <f t="shared" ref="D20:D26" si="6">ROUND($D$3*E20/$E$3,2)</f>
        <v>3213.77</v>
      </c>
      <c r="E20" s="2777">
        <f t="shared" si="1"/>
        <v>14216.560000000001</v>
      </c>
      <c r="F20" s="2622">
        <f>'数据-基础表'!I13+'数据-基础表'!K13-F19</f>
        <v>14216.560000000001</v>
      </c>
      <c r="G20" s="2758"/>
      <c r="H20" s="2645">
        <f t="shared" ref="H20:H26" si="7">ROUND($D$3*I20/$E$3,2)</f>
        <v>248.16</v>
      </c>
      <c r="I20" s="2756">
        <f t="shared" si="2"/>
        <v>1097.79</v>
      </c>
      <c r="J20" s="2305"/>
      <c r="K20" s="2645">
        <f t="shared" si="3"/>
        <v>1097.79</v>
      </c>
      <c r="L20" s="2254">
        <f t="shared" si="4"/>
        <v>0</v>
      </c>
      <c r="M20" s="2756">
        <f t="shared" ref="M20:M26" si="8">K20+L20</f>
        <v>1097.79</v>
      </c>
      <c r="N20" s="2778"/>
      <c r="O20" s="2779"/>
      <c r="P20" s="2756">
        <f t="shared" ref="P20:P26" si="9">N20+O20</f>
        <v>0</v>
      </c>
      <c r="R20" s="2254">
        <f t="shared" si="5"/>
        <v>3461.93</v>
      </c>
      <c r="S20" s="2777">
        <f t="shared" si="5"/>
        <v>15314.350000000002</v>
      </c>
    </row>
    <row r="21" spans="1:19">
      <c r="A21" s="2775"/>
      <c r="B21" s="2751" t="s">
        <v>663</v>
      </c>
      <c r="C21" s="2780" t="s">
        <v>604</v>
      </c>
      <c r="D21" s="2254">
        <f t="shared" si="6"/>
        <v>1720.24</v>
      </c>
      <c r="E21" s="2777">
        <f t="shared" si="1"/>
        <v>7609.71</v>
      </c>
      <c r="F21" s="2632"/>
      <c r="G21" s="2758">
        <f>'数据-基础表'!M13</f>
        <v>7609.71</v>
      </c>
      <c r="H21" s="2645">
        <f t="shared" si="7"/>
        <v>132.84</v>
      </c>
      <c r="I21" s="2756">
        <f t="shared" si="2"/>
        <v>587.62</v>
      </c>
      <c r="J21" s="2305"/>
      <c r="K21" s="2645">
        <f t="shared" si="3"/>
        <v>587.62</v>
      </c>
      <c r="L21" s="2254">
        <f t="shared" si="4"/>
        <v>0</v>
      </c>
      <c r="M21" s="2756">
        <f t="shared" si="8"/>
        <v>587.62</v>
      </c>
      <c r="N21" s="2778"/>
      <c r="O21" s="2779"/>
      <c r="P21" s="2756">
        <f t="shared" si="9"/>
        <v>0</v>
      </c>
      <c r="R21" s="2254">
        <f t="shared" si="5"/>
        <v>1853.08</v>
      </c>
      <c r="S21" s="2777">
        <f t="shared" si="5"/>
        <v>8197.33</v>
      </c>
    </row>
    <row r="22" spans="1:19">
      <c r="A22" s="2775"/>
      <c r="B22" s="2751" t="s">
        <v>663</v>
      </c>
      <c r="C22" s="2780"/>
      <c r="D22" s="2254">
        <f t="shared" si="6"/>
        <v>0</v>
      </c>
      <c r="E22" s="2777">
        <f t="shared" si="1"/>
        <v>0</v>
      </c>
      <c r="F22" s="2781"/>
      <c r="G22" s="2782"/>
      <c r="H22" s="2645">
        <f t="shared" si="7"/>
        <v>0</v>
      </c>
      <c r="I22" s="2756">
        <f t="shared" si="2"/>
        <v>0</v>
      </c>
      <c r="J22" s="2305"/>
      <c r="K22" s="2645">
        <f t="shared" si="3"/>
        <v>0</v>
      </c>
      <c r="L22" s="2254">
        <f t="shared" si="4"/>
        <v>0</v>
      </c>
      <c r="M22" s="2756">
        <f t="shared" si="8"/>
        <v>0</v>
      </c>
      <c r="N22" s="2778"/>
      <c r="O22" s="2779"/>
      <c r="P22" s="2756">
        <f t="shared" si="9"/>
        <v>0</v>
      </c>
      <c r="R22" s="2254">
        <f t="shared" si="5"/>
        <v>0</v>
      </c>
      <c r="S22" s="2777">
        <f t="shared" si="5"/>
        <v>0</v>
      </c>
    </row>
    <row r="23" spans="1:19">
      <c r="A23" s="2775"/>
      <c r="B23" s="2751" t="s">
        <v>663</v>
      </c>
      <c r="C23" s="2780"/>
      <c r="D23" s="2254">
        <f t="shared" si="6"/>
        <v>0</v>
      </c>
      <c r="E23" s="2777">
        <f t="shared" si="1"/>
        <v>0</v>
      </c>
      <c r="F23" s="2781"/>
      <c r="G23" s="2782"/>
      <c r="H23" s="2645">
        <f t="shared" si="7"/>
        <v>0</v>
      </c>
      <c r="I23" s="2756">
        <f t="shared" si="2"/>
        <v>0</v>
      </c>
      <c r="J23" s="2305"/>
      <c r="K23" s="2645">
        <f t="shared" si="3"/>
        <v>0</v>
      </c>
      <c r="L23" s="2254">
        <f t="shared" si="4"/>
        <v>0</v>
      </c>
      <c r="M23" s="2756">
        <f t="shared" si="8"/>
        <v>0</v>
      </c>
      <c r="N23" s="2778"/>
      <c r="O23" s="2779"/>
      <c r="P23" s="2756">
        <f t="shared" si="9"/>
        <v>0</v>
      </c>
      <c r="R23" s="2254">
        <f t="shared" si="5"/>
        <v>0</v>
      </c>
      <c r="S23" s="2777">
        <f t="shared" si="5"/>
        <v>0</v>
      </c>
    </row>
    <row r="24" spans="1:19">
      <c r="A24" s="2775"/>
      <c r="B24" s="2751" t="s">
        <v>663</v>
      </c>
      <c r="C24" s="2780"/>
      <c r="D24" s="2254">
        <f t="shared" si="6"/>
        <v>0</v>
      </c>
      <c r="E24" s="2777">
        <f t="shared" si="1"/>
        <v>0</v>
      </c>
      <c r="F24" s="2781"/>
      <c r="G24" s="2782"/>
      <c r="H24" s="2645">
        <f t="shared" si="7"/>
        <v>0</v>
      </c>
      <c r="I24" s="2756">
        <f t="shared" si="2"/>
        <v>0</v>
      </c>
      <c r="J24" s="2305"/>
      <c r="K24" s="2645">
        <f t="shared" si="3"/>
        <v>0</v>
      </c>
      <c r="L24" s="2254">
        <f t="shared" si="4"/>
        <v>0</v>
      </c>
      <c r="M24" s="2756">
        <f t="shared" si="8"/>
        <v>0</v>
      </c>
      <c r="N24" s="2778"/>
      <c r="O24" s="2779"/>
      <c r="P24" s="2756">
        <f t="shared" si="9"/>
        <v>0</v>
      </c>
      <c r="R24" s="2254">
        <f t="shared" si="5"/>
        <v>0</v>
      </c>
      <c r="S24" s="2777">
        <f t="shared" si="5"/>
        <v>0</v>
      </c>
    </row>
    <row r="25" spans="1:19">
      <c r="A25" s="2775"/>
      <c r="B25" s="2751" t="s">
        <v>663</v>
      </c>
      <c r="C25" s="2780"/>
      <c r="D25" s="2254">
        <f t="shared" si="6"/>
        <v>0</v>
      </c>
      <c r="E25" s="2777">
        <f t="shared" si="1"/>
        <v>0</v>
      </c>
      <c r="F25" s="2781"/>
      <c r="G25" s="2782"/>
      <c r="H25" s="2744">
        <f t="shared" si="7"/>
        <v>0</v>
      </c>
      <c r="I25" s="2756">
        <f t="shared" si="2"/>
        <v>0</v>
      </c>
      <c r="J25" s="2305"/>
      <c r="K25" s="2645">
        <f t="shared" si="3"/>
        <v>0</v>
      </c>
      <c r="L25" s="2254">
        <f t="shared" si="4"/>
        <v>0</v>
      </c>
      <c r="M25" s="2756">
        <f t="shared" si="8"/>
        <v>0</v>
      </c>
      <c r="N25" s="2778"/>
      <c r="O25" s="2779"/>
      <c r="P25" s="2756">
        <f t="shared" si="9"/>
        <v>0</v>
      </c>
      <c r="R25" s="2254">
        <f t="shared" si="5"/>
        <v>0</v>
      </c>
      <c r="S25" s="2777">
        <f t="shared" si="5"/>
        <v>0</v>
      </c>
    </row>
    <row r="26" spans="1:19">
      <c r="A26" s="2775"/>
      <c r="B26" s="2751" t="s">
        <v>663</v>
      </c>
      <c r="C26" s="2783"/>
      <c r="D26" s="2254">
        <f t="shared" si="6"/>
        <v>0</v>
      </c>
      <c r="E26" s="2777">
        <f t="shared" si="1"/>
        <v>0</v>
      </c>
      <c r="F26" s="2781"/>
      <c r="G26" s="2782"/>
      <c r="H26" s="2744">
        <f t="shared" si="7"/>
        <v>0</v>
      </c>
      <c r="I26" s="2756">
        <f t="shared" si="2"/>
        <v>0</v>
      </c>
      <c r="J26" s="2305"/>
      <c r="K26" s="2744">
        <f t="shared" si="3"/>
        <v>0</v>
      </c>
      <c r="L26" s="2751">
        <f t="shared" si="4"/>
        <v>0</v>
      </c>
      <c r="M26" s="2759">
        <f t="shared" si="8"/>
        <v>0</v>
      </c>
      <c r="N26" s="2784"/>
      <c r="O26" s="2785"/>
      <c r="P26" s="2759">
        <f t="shared" si="9"/>
        <v>0</v>
      </c>
      <c r="R26" s="2254">
        <f t="shared" si="5"/>
        <v>0</v>
      </c>
      <c r="S26" s="2777">
        <f t="shared" si="5"/>
        <v>0</v>
      </c>
    </row>
    <row r="27" spans="1:19" ht="28.5">
      <c r="A27" s="2775"/>
      <c r="B27" s="2254"/>
      <c r="C27" s="2453" t="s">
        <v>666</v>
      </c>
      <c r="D27" s="2786">
        <f>SUM(D19:D26)</f>
        <v>10615.61</v>
      </c>
      <c r="E27" s="2787">
        <f>IF(SUM(E19:E26)='数据-基础表'!BA5,SUM(E19:E26),IF(F27="地上面积有误","面积有误","地下面积有误"))</f>
        <v>46959.61</v>
      </c>
      <c r="F27" s="2786">
        <f>IF(SUM(F19:F26)=E8,SUM(F19:F26),"地上面积有误")</f>
        <v>39349.9</v>
      </c>
      <c r="G27" s="2788">
        <f>SUM(G19:G26)</f>
        <v>7609.71</v>
      </c>
      <c r="H27" s="2789">
        <f>SUM(H19:H26)</f>
        <v>819.73</v>
      </c>
      <c r="I27" s="2790">
        <f>SUM(I19:I26)</f>
        <v>3626.1899999999996</v>
      </c>
      <c r="J27" s="2305"/>
      <c r="K27" s="2791">
        <f>SUM(K19:K26)</f>
        <v>3626.1899999999996</v>
      </c>
      <c r="L27" s="2205">
        <f>SUM(L19:L26)</f>
        <v>0</v>
      </c>
      <c r="M27" s="2792">
        <f>SUM(M19:M26)</f>
        <v>3626.1899999999996</v>
      </c>
      <c r="N27" s="2791">
        <f t="shared" ref="N27:P27" si="10">SUM(N19:N26)</f>
        <v>0</v>
      </c>
      <c r="O27" s="2205">
        <f t="shared" si="10"/>
        <v>0</v>
      </c>
      <c r="P27" s="2670">
        <f t="shared" si="10"/>
        <v>0</v>
      </c>
      <c r="R27" s="2600" t="str">
        <f>IF(SUM(R19:R26)=$D$3,SUM(R19:R26),SUM(R19:R26)&amp;"误差"&amp;ROUND(SUM(R19:R26)-$D$3,2))</f>
        <v>11435.34误差0.01</v>
      </c>
      <c r="S27" s="2254">
        <f>IF(SUM(S19:S26)=$E$3,SUM(S19:S26),SUM(S19:S26)&amp;"误差"&amp;ROUND(SUM(S19:S26)-E3,2))</f>
        <v>50585.8</v>
      </c>
    </row>
    <row r="28" spans="1:19">
      <c r="A28" s="2775"/>
      <c r="B28" s="2751" t="s">
        <v>667</v>
      </c>
      <c r="C28" s="2244" t="s">
        <v>668</v>
      </c>
      <c r="D28" s="2254">
        <f>ROUND($D$3*E28/$E$3,2)</f>
        <v>819.73</v>
      </c>
      <c r="E28" s="2777">
        <f>SUM(F28:G28)</f>
        <v>3626.19</v>
      </c>
      <c r="F28" s="2244">
        <f>'数据-基础表'!BQ5+'数据-基础表'!BS5</f>
        <v>1295.3900000000001</v>
      </c>
      <c r="G28" s="2185">
        <f>'数据-基础表'!BR5+'数据-基础表'!BT5</f>
        <v>2330.8000000000002</v>
      </c>
      <c r="H28" s="2575"/>
      <c r="I28" s="2575"/>
      <c r="J28" s="2575"/>
      <c r="K28" s="2575"/>
      <c r="L28" s="2575"/>
      <c r="M28" s="2575"/>
      <c r="N28" s="2575"/>
      <c r="O28" s="2575"/>
      <c r="P28" s="2575"/>
    </row>
    <row r="29" spans="1:19">
      <c r="A29" s="2775"/>
      <c r="B29" s="2751" t="s">
        <v>667</v>
      </c>
      <c r="C29" s="2303" t="s">
        <v>669</v>
      </c>
      <c r="D29" s="2254">
        <f>ROUND($D$3*E29/$E$3,2)</f>
        <v>0</v>
      </c>
      <c r="E29" s="2777">
        <f>SUM(F29:G29)</f>
        <v>0</v>
      </c>
      <c r="F29" s="2793">
        <f>'数据-基础表'!BM5+'数据-基础表'!BO5</f>
        <v>0</v>
      </c>
      <c r="G29" s="2759">
        <f>'数据-基础表'!BN5+'数据-基础表'!BP5</f>
        <v>0</v>
      </c>
      <c r="H29" s="2575"/>
      <c r="I29" s="2575"/>
      <c r="J29" s="2575"/>
      <c r="K29" s="2575"/>
      <c r="L29" s="2575"/>
      <c r="M29" s="2575"/>
      <c r="N29" s="2575"/>
      <c r="O29" s="2575"/>
      <c r="P29" s="2575"/>
    </row>
    <row r="30" spans="1:19" ht="15">
      <c r="A30" s="2775"/>
      <c r="B30" s="2751"/>
      <c r="C30" s="2794" t="s">
        <v>666</v>
      </c>
      <c r="D30" s="2786">
        <f>SUM(D28:D29)</f>
        <v>819.73</v>
      </c>
      <c r="E30" s="2786">
        <f>SUM(E28:E29)</f>
        <v>3626.19</v>
      </c>
      <c r="F30" s="2786">
        <f>SUM(F28:F29)</f>
        <v>1295.3900000000001</v>
      </c>
      <c r="G30" s="2788">
        <f>SUM(G28:G29)</f>
        <v>2330.8000000000002</v>
      </c>
      <c r="H30" s="2575"/>
      <c r="I30" s="2575"/>
      <c r="J30" s="2575"/>
      <c r="K30" s="2575"/>
      <c r="L30" s="2575"/>
      <c r="M30" s="2575"/>
      <c r="N30" s="2575"/>
      <c r="O30" s="2575"/>
      <c r="P30" s="2575"/>
    </row>
    <row r="31" spans="1:19" ht="15">
      <c r="A31" s="2795"/>
      <c r="B31" s="2669"/>
      <c r="C31" s="2205" t="s">
        <v>670</v>
      </c>
      <c r="D31" s="2796">
        <f>D27+D30</f>
        <v>11435.34</v>
      </c>
      <c r="E31" s="2796">
        <f>E27+E30</f>
        <v>50585.8</v>
      </c>
      <c r="F31" s="2797">
        <f>F27+F30</f>
        <v>40645.29</v>
      </c>
      <c r="G31" s="2798">
        <f>G27+G30</f>
        <v>9940.51</v>
      </c>
      <c r="H31" s="2575"/>
      <c r="I31" s="2575"/>
      <c r="J31" s="2575"/>
      <c r="K31" s="2575"/>
      <c r="L31" s="2575"/>
      <c r="M31" s="2575"/>
      <c r="N31" s="2575"/>
      <c r="O31" s="2575"/>
      <c r="P31" s="2575"/>
    </row>
    <row r="32" spans="1:19">
      <c r="A32" s="2769"/>
      <c r="B32" s="2769" t="s">
        <v>671</v>
      </c>
      <c r="C32" s="2769"/>
      <c r="D32" s="2769"/>
      <c r="E32" s="2799">
        <f>SUMIF(C19:C26,"*住宅*",E19:E26)</f>
        <v>0</v>
      </c>
      <c r="F32" s="2769"/>
      <c r="G32" s="2769"/>
      <c r="H32" s="2575"/>
      <c r="I32" s="2575"/>
      <c r="J32" s="2575"/>
      <c r="K32" s="2575"/>
      <c r="L32" s="2575"/>
      <c r="M32" s="2575"/>
      <c r="N32" s="2575"/>
      <c r="O32" s="2575"/>
      <c r="P32" s="2575"/>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O21" sqref="O21"/>
    </sheetView>
  </sheetViews>
  <sheetFormatPr defaultColWidth="13.75" defaultRowHeight="12.75"/>
  <cols>
    <col min="1" max="1" width="20.875" style="2567" customWidth="1"/>
    <col min="2" max="2" width="12" style="2229" customWidth="1"/>
    <col min="3" max="3" width="12.75" style="2229" customWidth="1"/>
    <col min="4" max="4" width="9.125" style="2568" customWidth="1"/>
    <col min="5" max="5" width="15.625" style="2229" customWidth="1"/>
    <col min="6" max="10" width="8.875" style="2229" customWidth="1"/>
    <col min="11" max="12" width="12.375" style="2569"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10.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900"/>
    <col min="41" max="41" width="11.625" style="900" customWidth="1"/>
    <col min="42" max="42" width="9.75" style="900" customWidth="1"/>
    <col min="43" max="44" width="13.875" style="900" customWidth="1"/>
    <col min="45" max="67" width="13.75" style="900"/>
    <col min="68" max="16384" width="13.75" style="2229"/>
  </cols>
  <sheetData>
    <row r="1" spans="1:67" ht="18.75">
      <c r="A1" s="2570" t="s">
        <v>672</v>
      </c>
      <c r="B1" s="1901"/>
      <c r="C1" s="985"/>
      <c r="D1" s="2571"/>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36"/>
      <c r="AO1" s="2136"/>
      <c r="AP1" s="2136"/>
      <c r="AQ1" s="2136"/>
      <c r="AR1" s="2136"/>
    </row>
    <row r="2" spans="1:67" s="2565" customFormat="1" ht="15">
      <c r="A2" s="2572" t="s">
        <v>673</v>
      </c>
      <c r="B2" s="2573">
        <f>项目基本情况!D3</f>
        <v>45980</v>
      </c>
      <c r="C2" s="2305"/>
      <c r="D2" s="2574"/>
      <c r="E2" s="2305"/>
      <c r="F2" s="2305"/>
      <c r="G2" s="2305"/>
      <c r="H2" s="2305"/>
      <c r="I2" s="2305"/>
      <c r="J2" s="2305"/>
      <c r="K2" s="1493"/>
      <c r="L2" s="1493"/>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7"/>
      <c r="C3" s="2305"/>
      <c r="D3" s="2574"/>
      <c r="E3" s="2305"/>
      <c r="F3" s="2305"/>
      <c r="G3" s="2305"/>
      <c r="H3" s="2305"/>
      <c r="I3" s="2305"/>
      <c r="J3" s="2305"/>
      <c r="K3" s="1493"/>
      <c r="L3" s="1493"/>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1" t="s">
        <v>674</v>
      </c>
      <c r="B4" s="2261"/>
      <c r="C4" s="2577"/>
      <c r="D4" s="2578"/>
      <c r="E4" s="2577" t="s">
        <v>675</v>
      </c>
      <c r="F4" s="2577"/>
      <c r="G4" s="2577"/>
      <c r="H4" s="2577"/>
      <c r="I4" s="2577"/>
      <c r="J4" s="2301"/>
      <c r="K4" s="2579"/>
      <c r="L4" s="2580"/>
      <c r="M4" s="2577"/>
      <c r="N4" s="2577" t="s">
        <v>676</v>
      </c>
      <c r="O4" s="2577"/>
      <c r="P4" s="2577"/>
      <c r="Q4" s="2577"/>
      <c r="R4" s="2577"/>
      <c r="S4" s="2301"/>
      <c r="T4" s="2581" t="str">
        <f>'数据-汇总表'!I17</f>
        <v>按面积比例</v>
      </c>
      <c r="U4" s="2261" t="s">
        <v>677</v>
      </c>
      <c r="V4" s="2577"/>
      <c r="W4" s="2577"/>
      <c r="X4" s="2577"/>
      <c r="Y4" s="2301"/>
      <c r="Z4" s="2279" t="s">
        <v>678</v>
      </c>
      <c r="AA4" s="2279"/>
      <c r="AB4" s="2279"/>
      <c r="AC4" s="2279"/>
      <c r="AD4" s="2279"/>
      <c r="AE4" s="2582" t="s">
        <v>679</v>
      </c>
      <c r="AF4" s="2279"/>
      <c r="AG4" s="2583"/>
      <c r="AH4" s="2261"/>
      <c r="AI4" s="2577"/>
      <c r="AJ4" s="2577"/>
      <c r="AK4" s="2577"/>
      <c r="AL4" s="2577"/>
      <c r="AM4" s="2301"/>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650</v>
      </c>
      <c r="B5" s="2585" t="s">
        <v>649</v>
      </c>
      <c r="C5" s="2586" t="s">
        <v>680</v>
      </c>
      <c r="D5" s="2587" t="s">
        <v>681</v>
      </c>
      <c r="E5" s="1308" t="s">
        <v>682</v>
      </c>
      <c r="F5" s="2588" t="s">
        <v>683</v>
      </c>
      <c r="G5" s="1308" t="s">
        <v>684</v>
      </c>
      <c r="H5" s="1308" t="s">
        <v>685</v>
      </c>
      <c r="I5" s="1308" t="s">
        <v>686</v>
      </c>
      <c r="J5" s="1339" t="s">
        <v>687</v>
      </c>
      <c r="K5" s="2589" t="s">
        <v>659</v>
      </c>
      <c r="L5" s="2590" t="s">
        <v>688</v>
      </c>
      <c r="M5" s="2591" t="s">
        <v>689</v>
      </c>
      <c r="N5" s="2592" t="s">
        <v>690</v>
      </c>
      <c r="O5" s="2590" t="s">
        <v>691</v>
      </c>
      <c r="P5" s="2593" t="s">
        <v>692</v>
      </c>
      <c r="Q5" s="1344" t="s">
        <v>693</v>
      </c>
      <c r="R5" s="2594" t="s">
        <v>694</v>
      </c>
      <c r="S5" s="2595" t="s">
        <v>695</v>
      </c>
      <c r="T5" s="2596" t="s">
        <v>696</v>
      </c>
      <c r="U5" s="2597" t="s">
        <v>697</v>
      </c>
      <c r="V5" s="1308" t="s">
        <v>698</v>
      </c>
      <c r="W5" s="1308" t="s">
        <v>699</v>
      </c>
      <c r="X5" s="1074"/>
      <c r="Y5" s="1076" t="s">
        <v>700</v>
      </c>
      <c r="Z5" s="1243" t="s">
        <v>697</v>
      </c>
      <c r="AA5" s="1308" t="s">
        <v>698</v>
      </c>
      <c r="AB5" s="1308" t="s">
        <v>699</v>
      </c>
      <c r="AC5" s="1074"/>
      <c r="AD5" s="1074" t="s">
        <v>700</v>
      </c>
      <c r="AE5" s="2597" t="s">
        <v>701</v>
      </c>
      <c r="AF5" s="1308" t="s">
        <v>702</v>
      </c>
      <c r="AG5" s="1076" t="s">
        <v>703</v>
      </c>
      <c r="AH5" s="2597" t="s">
        <v>704</v>
      </c>
      <c r="AI5" s="1243" t="s">
        <v>705</v>
      </c>
      <c r="AJ5" s="1243" t="s">
        <v>706</v>
      </c>
      <c r="AK5" s="1308" t="s">
        <v>707</v>
      </c>
      <c r="AL5" s="1308" t="s">
        <v>708</v>
      </c>
      <c r="AM5" s="1076" t="s">
        <v>709</v>
      </c>
      <c r="AN5" s="2598" t="s">
        <v>710</v>
      </c>
      <c r="AO5" s="2599" t="s">
        <v>711</v>
      </c>
      <c r="AP5" s="2600" t="s">
        <v>712</v>
      </c>
      <c r="AQ5" s="2601" t="s">
        <v>713</v>
      </c>
      <c r="AR5" s="2601" t="s">
        <v>714</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65" customFormat="1" ht="14.25">
      <c r="A6" s="2602" t="str">
        <f>'数据-汇总表'!C19</f>
        <v>出租部分</v>
      </c>
      <c r="B6" s="2603" t="str">
        <f>IF(A6=0,"","经营性")</f>
        <v>经营性</v>
      </c>
      <c r="C6" s="2604" t="s">
        <v>229</v>
      </c>
      <c r="D6" s="2605">
        <f>SUMIF(项目基本情况!C$12:I$12,C6,项目基本情况!C$14:I$14)</f>
        <v>40</v>
      </c>
      <c r="E6" s="2606">
        <f>IF(B6="","",SUMIF(项目基本情况!C$12:I$12,C6,项目基本情况!C$13:I$13))</f>
        <v>50362</v>
      </c>
      <c r="F6" s="2607">
        <f>SUMIF(项目基本情况!C$12:I$12,C6,项目基本情况!C$15:I$15)</f>
        <v>12</v>
      </c>
      <c r="G6" s="2608">
        <f>IF(ISERROR(ROUND(POWER(1+H6,D6-F6)*(POWER(1+H6,F6)-1)/(POWER(1+H6,D6)-1),3)),0,ROUND(POWER(1+H6,D6-F6)*(POWER(1+H6,F6)-1)/(POWER(1+H6,D6)-1),3))</f>
        <v>0.53700000000000003</v>
      </c>
      <c r="H6" s="2609">
        <v>5.5E-2</v>
      </c>
      <c r="I6" s="2609">
        <v>0.06</v>
      </c>
      <c r="J6" s="2610">
        <v>7.0000000000000007E-2</v>
      </c>
      <c r="K6" s="2611">
        <f>SUMIF('数据-汇总表'!C$19:C$33,A6,'数据-汇总表'!E$19:E$33)</f>
        <v>25133.34</v>
      </c>
      <c r="L6" s="2612">
        <v>4500</v>
      </c>
      <c r="M6" s="2613">
        <f t="shared" ref="M6:M14" si="0">ROUND(K6*L6/10000,0)</f>
        <v>11310</v>
      </c>
      <c r="N6" s="2614">
        <f>ROUND(1-(2025-2018)/60,2)</f>
        <v>0.88</v>
      </c>
      <c r="O6" s="2613" t="str">
        <f>IF($N$5="成新度","——",ROUND(M6*N6,0))</f>
        <v>——</v>
      </c>
      <c r="P6" s="1066" t="str">
        <f>IF($N$5="成新度","——",M6-O6)</f>
        <v>——</v>
      </c>
      <c r="Q6" s="2615">
        <v>0.2</v>
      </c>
      <c r="R6" s="2611">
        <f ca="1">SUMIF('数据-汇总表'!C$19:C$33,A6,'数据-汇总表'!R$19:R$27)</f>
        <v>6120.33</v>
      </c>
      <c r="S6" s="2616">
        <f>IF('数据-汇总表'!$I$17="按面积比例",SUMIF('数据-汇总表'!C$19:C$33,A6,'数据-汇总表'!K$19:K$33),SUMIF('数据-汇总表'!C$19:C$33,A6,'数据-汇总表'!N$19:N$33))</f>
        <v>1940.78</v>
      </c>
      <c r="T6" s="2617">
        <f>ROUND($L$14*S6/10000,0)</f>
        <v>873</v>
      </c>
      <c r="U6" s="2618">
        <f>租赁台账!L116</f>
        <v>4.9800000000000004</v>
      </c>
      <c r="V6" s="2619">
        <v>0</v>
      </c>
      <c r="W6" s="2619">
        <v>0</v>
      </c>
      <c r="X6" s="2620"/>
      <c r="Y6" s="2621">
        <f t="shared" ref="Y6:Y8" si="1">N6</f>
        <v>0.88</v>
      </c>
      <c r="Z6" s="2622">
        <f>ROUND(U6*(1+AA6)^AF6,2)</f>
        <v>5.47</v>
      </c>
      <c r="AA6" s="2610">
        <v>0.02</v>
      </c>
      <c r="AB6" s="2610">
        <v>0.15</v>
      </c>
      <c r="AC6" s="2620"/>
      <c r="AD6" s="2623">
        <f>ROUND(1-(2030-2018)/60,2)</f>
        <v>0.8</v>
      </c>
      <c r="AE6" s="2624">
        <f ca="1">IF(AN6="",0,SUMIF(INDIRECT("'"&amp;AN6&amp;"'"&amp;"!E:E"),$AE$5,INDIRECT("'"&amp;AN6&amp;"'"&amp;"!F:F")))</f>
        <v>12</v>
      </c>
      <c r="AF6" s="2241">
        <f>项目基本情况!I15</f>
        <v>4.74</v>
      </c>
      <c r="AG6" s="1614">
        <f ca="1">IF(AF6="",0,AE6-AF6)</f>
        <v>7.26</v>
      </c>
      <c r="AH6" s="2625"/>
      <c r="AI6" s="2626">
        <v>365</v>
      </c>
      <c r="AJ6" s="2241"/>
      <c r="AK6" s="2627">
        <v>0.01</v>
      </c>
      <c r="AL6" s="2628">
        <v>1.5E-3</v>
      </c>
      <c r="AM6" s="2629">
        <v>0.02</v>
      </c>
      <c r="AN6" s="2630" t="s">
        <v>353</v>
      </c>
      <c r="AO6" s="1071">
        <f ca="1">SUMIF(INDIRECT("'"&amp;AN6&amp;"'"&amp;"!A:A"),"总价",INDIRECT("'"&amp;AN6&amp;"'"&amp;"!B:B"))</f>
        <v>29186</v>
      </c>
      <c r="AP6" s="2631">
        <f>IF(C6="住宅",K6*L6,0)</f>
        <v>0</v>
      </c>
      <c r="AQ6" s="1071">
        <f>ROUND($L$14*$N$14*S6/10000,0)</f>
        <v>769</v>
      </c>
      <c r="AR6" s="1071">
        <f>ROUND($L$14*(1-$N$14)*S6/10000,0)</f>
        <v>105</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t="str">
        <f>'数据-汇总表'!C20</f>
        <v>空置部分</v>
      </c>
      <c r="B7" s="2603" t="str">
        <f t="shared" ref="B7:B13" si="2">IF(A7=0,"","经营性")</f>
        <v>经营性</v>
      </c>
      <c r="C7" s="2604" t="s">
        <v>229</v>
      </c>
      <c r="D7" s="2605">
        <f>SUMIF(项目基本情况!C$12:I$12,C7,项目基本情况!C$14:I$14)</f>
        <v>40</v>
      </c>
      <c r="E7" s="2606">
        <f>IF(B7="","",SUMIF(项目基本情况!C$12:I$12,C7,项目基本情况!C$13:I$13))</f>
        <v>50362</v>
      </c>
      <c r="F7" s="2607">
        <f>SUMIF(项目基本情况!C$12:I$12,C7,项目基本情况!C$15:I$15)</f>
        <v>12</v>
      </c>
      <c r="G7" s="2608">
        <f t="shared" ref="G7:G13" si="3">IF(ISERROR(ROUND(POWER(1+H7,D7-F7)*(POWER(1+H7,F7)-1)/(POWER(1+H7,D7)-1),3)),0,ROUND(POWER(1+H7,D7-F7)*(POWER(1+H7,F7)-1)/(POWER(1+H7,D7)-1),3))</f>
        <v>0.53700000000000003</v>
      </c>
      <c r="H7" s="2609">
        <v>5.5E-2</v>
      </c>
      <c r="I7" s="2609">
        <v>0.06</v>
      </c>
      <c r="J7" s="2610">
        <v>7.0000000000000007E-2</v>
      </c>
      <c r="K7" s="2611">
        <f>SUMIF('数据-汇总表'!C$19:C$33,A7,'数据-汇总表'!E$19:E$33)</f>
        <v>14216.560000000001</v>
      </c>
      <c r="L7" s="2612">
        <v>4500</v>
      </c>
      <c r="M7" s="2613">
        <f t="shared" si="0"/>
        <v>6397</v>
      </c>
      <c r="N7" s="2614">
        <f>N6</f>
        <v>0.88</v>
      </c>
      <c r="O7" s="2613" t="str">
        <f t="shared" ref="O7:O14" si="4">IF($N$5="成新度","——",ROUND(M7*N7,0))</f>
        <v>——</v>
      </c>
      <c r="P7" s="1066" t="str">
        <f t="shared" ref="P7:P14" si="5">IF($N$5="成新度","——",M7-O7)</f>
        <v>——</v>
      </c>
      <c r="Q7" s="2615">
        <v>0.2</v>
      </c>
      <c r="R7" s="2611">
        <f ca="1">SUMIF('数据-汇总表'!C$19:C$33,A7,'数据-汇总表'!R$19:R$27)</f>
        <v>3461.93</v>
      </c>
      <c r="S7" s="2616">
        <f>IF('数据-汇总表'!$I$17="按面积比例",SUMIF('数据-汇总表'!C$19:C$33,A7,'数据-汇总表'!K$19:K$33),SUMIF('数据-汇总表'!C$19:C$33,A7,'数据-汇总表'!N$19:N$33))</f>
        <v>1097.79</v>
      </c>
      <c r="T7" s="2617">
        <f t="shared" ref="T7:T13" si="6">ROUND($L$14*S7/10000,0)</f>
        <v>494</v>
      </c>
      <c r="U7" s="2618">
        <f>T25</f>
        <v>3.71</v>
      </c>
      <c r="V7" s="2619">
        <v>0.02</v>
      </c>
      <c r="W7" s="2619">
        <v>0.15</v>
      </c>
      <c r="X7" s="2620"/>
      <c r="Y7" s="2621">
        <f t="shared" si="1"/>
        <v>0.88</v>
      </c>
      <c r="Z7" s="2632"/>
      <c r="AA7" s="2610"/>
      <c r="AB7" s="2610"/>
      <c r="AC7" s="2620"/>
      <c r="AD7" s="2623"/>
      <c r="AE7" s="2624">
        <f t="shared" ref="AE7:AE13" ca="1" si="7">IF(AN7="",0,SUMIF(INDIRECT("'"&amp;AN7&amp;"'"&amp;"!E:E"),$AE$5,INDIRECT("'"&amp;AN7&amp;"'"&amp;"!F:F")))</f>
        <v>12</v>
      </c>
      <c r="AF7" s="2241"/>
      <c r="AG7" s="1614">
        <f t="shared" ref="AG7:AG13" si="8">IF(AF7="",0,AE7-AF7)</f>
        <v>0</v>
      </c>
      <c r="AH7" s="2625"/>
      <c r="AI7" s="2626">
        <v>365</v>
      </c>
      <c r="AJ7" s="2241"/>
      <c r="AK7" s="2627">
        <f>AK6</f>
        <v>0.01</v>
      </c>
      <c r="AL7" s="2628">
        <f t="shared" ref="AL7:AL8" si="9">AL6</f>
        <v>1.5E-3</v>
      </c>
      <c r="AM7" s="2629">
        <f t="shared" ref="AM7:AM8" si="10">AM6</f>
        <v>0.02</v>
      </c>
      <c r="AN7" s="2630" t="s">
        <v>355</v>
      </c>
      <c r="AO7" s="1071">
        <f t="shared" ref="AO7:AO13" ca="1" si="11">SUMIF(INDIRECT("'"&amp;AN7&amp;"'"&amp;"!A:A"),"总价",INDIRECT("'"&amp;AN7&amp;"'"&amp;"!B:B"))</f>
        <v>11212</v>
      </c>
      <c r="AP7" s="2631">
        <f t="shared" ref="AP7:AP13" si="12">IF(C7="住宅",K7*L7,0)</f>
        <v>0</v>
      </c>
      <c r="AQ7" s="1071">
        <f t="shared" ref="AQ7:AQ13" si="13">ROUND($L$14*$N$14*S7/10000,0)</f>
        <v>435</v>
      </c>
      <c r="AR7" s="1071">
        <f t="shared" ref="AR7:AR13" si="14">ROUND($L$14*(1-$N$14)*S7/10000,0)</f>
        <v>59</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t="str">
        <f>'数据-汇总表'!C21</f>
        <v>车库</v>
      </c>
      <c r="B8" s="2603" t="str">
        <f t="shared" si="2"/>
        <v>经营性</v>
      </c>
      <c r="C8" s="2604" t="s">
        <v>604</v>
      </c>
      <c r="D8" s="2605">
        <f>SUMIF(项目基本情况!C$12:I$12,C8,项目基本情况!C$14:I$14)</f>
        <v>40</v>
      </c>
      <c r="E8" s="2606">
        <f>IF(B8="","",SUMIF(项目基本情况!C$12:I$12,C8,项目基本情况!C$13:I$13))</f>
        <v>50362</v>
      </c>
      <c r="F8" s="2607">
        <f>SUMIF(项目基本情况!C$12:I$12,C8,项目基本情况!C$15:I$15)</f>
        <v>12</v>
      </c>
      <c r="G8" s="2608">
        <f t="shared" si="3"/>
        <v>0.496</v>
      </c>
      <c r="H8" s="2610">
        <v>4.4999999999999998E-2</v>
      </c>
      <c r="I8" s="2610">
        <v>0.05</v>
      </c>
      <c r="J8" s="2610">
        <v>7.0000000000000007E-2</v>
      </c>
      <c r="K8" s="2611">
        <f>SUMIF('数据-汇总表'!C$19:C$33,A8,'数据-汇总表'!E$19:E$33)</f>
        <v>7609.71</v>
      </c>
      <c r="L8" s="2612">
        <v>4500</v>
      </c>
      <c r="M8" s="2613">
        <f t="shared" si="0"/>
        <v>3424</v>
      </c>
      <c r="N8" s="2614">
        <f t="shared" ref="N8:N13" si="15">N7</f>
        <v>0.88</v>
      </c>
      <c r="O8" s="2613" t="str">
        <f t="shared" si="4"/>
        <v>——</v>
      </c>
      <c r="P8" s="1066" t="str">
        <f t="shared" si="5"/>
        <v>——</v>
      </c>
      <c r="Q8" s="2615">
        <v>0.05</v>
      </c>
      <c r="R8" s="2611">
        <f ca="1">SUMIF('数据-汇总表'!C$19:C$33,A8,'数据-汇总表'!R$19:R$27)</f>
        <v>1853.08</v>
      </c>
      <c r="S8" s="2616">
        <f>IF('数据-汇总表'!$I$17="按面积比例",SUMIF('数据-汇总表'!C$19:C$33,A8,'数据-汇总表'!K$19:K$33),SUMIF('数据-汇总表'!C$19:C$33,A8,'数据-汇总表'!N$19:N$33))</f>
        <v>587.62</v>
      </c>
      <c r="T8" s="2617">
        <f t="shared" si="6"/>
        <v>264</v>
      </c>
      <c r="U8" s="2618">
        <v>480</v>
      </c>
      <c r="V8" s="2619">
        <v>1.4999999999999999E-2</v>
      </c>
      <c r="W8" s="2619">
        <v>0.2</v>
      </c>
      <c r="X8" s="2620"/>
      <c r="Y8" s="2621">
        <f t="shared" si="1"/>
        <v>0.88</v>
      </c>
      <c r="Z8" s="2632"/>
      <c r="AA8" s="2610"/>
      <c r="AB8" s="2610"/>
      <c r="AC8" s="2620"/>
      <c r="AD8" s="2623"/>
      <c r="AE8" s="2624">
        <f t="shared" ca="1" si="7"/>
        <v>12</v>
      </c>
      <c r="AF8" s="2241"/>
      <c r="AG8" s="1614">
        <f t="shared" si="8"/>
        <v>0</v>
      </c>
      <c r="AH8" s="2625">
        <v>250</v>
      </c>
      <c r="AI8" s="2633">
        <v>12</v>
      </c>
      <c r="AJ8" s="2241"/>
      <c r="AK8" s="2627">
        <f t="shared" ref="AK8" si="16">AK7</f>
        <v>0.01</v>
      </c>
      <c r="AL8" s="2628">
        <f t="shared" si="9"/>
        <v>1.5E-3</v>
      </c>
      <c r="AM8" s="2629">
        <f t="shared" si="10"/>
        <v>0.02</v>
      </c>
      <c r="AN8" s="2630" t="s">
        <v>356</v>
      </c>
      <c r="AO8" s="1071">
        <f t="shared" ca="1" si="11"/>
        <v>363</v>
      </c>
      <c r="AP8" s="2631">
        <f t="shared" si="12"/>
        <v>0</v>
      </c>
      <c r="AQ8" s="1071">
        <f t="shared" si="13"/>
        <v>233</v>
      </c>
      <c r="AR8" s="1071">
        <f t="shared" si="14"/>
        <v>32</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hidden="1">
      <c r="A9" s="2602">
        <f>'数据-汇总表'!C22</f>
        <v>0</v>
      </c>
      <c r="B9" s="2603" t="str">
        <f t="shared" si="2"/>
        <v/>
      </c>
      <c r="C9" s="2604" t="s">
        <v>604</v>
      </c>
      <c r="D9" s="2605">
        <f>SUMIF(项目基本情况!C$12:I$12,C9,项目基本情况!C$14:I$14)</f>
        <v>40</v>
      </c>
      <c r="E9" s="2606" t="str">
        <f>IF(B9="","",SUMIF(项目基本情况!C$12:I$12,C9,项目基本情况!C$13:I$13))</f>
        <v/>
      </c>
      <c r="F9" s="2607">
        <f>SUMIF(项目基本情况!C$12:I$12,C9,项目基本情况!C$15:I$15)</f>
        <v>12</v>
      </c>
      <c r="G9" s="2608">
        <f t="shared" si="3"/>
        <v>0</v>
      </c>
      <c r="H9" s="2610"/>
      <c r="I9" s="2610"/>
      <c r="J9" s="2610"/>
      <c r="K9" s="2611">
        <f>SUMIF('数据-汇总表'!C$19:C$33,A9,'数据-汇总表'!E$19:E$33)</f>
        <v>0</v>
      </c>
      <c r="L9" s="2612"/>
      <c r="M9" s="2613">
        <f t="shared" si="0"/>
        <v>0</v>
      </c>
      <c r="N9" s="2614"/>
      <c r="O9" s="2613" t="str">
        <f t="shared" si="4"/>
        <v>——</v>
      </c>
      <c r="P9" s="1066" t="str">
        <f t="shared" si="5"/>
        <v>——</v>
      </c>
      <c r="Q9" s="2615"/>
      <c r="R9" s="2611">
        <f ca="1">SUMIF('数据-汇总表'!C$19:C$33,A9,'数据-汇总表'!R$19:R$27)</f>
        <v>0</v>
      </c>
      <c r="S9" s="2616">
        <f>IF('数据-汇总表'!$I$17="按面积比例",SUMIF('数据-汇总表'!C$19:C$33,A9,'数据-汇总表'!K$19:K$33),SUMIF('数据-汇总表'!C$19:C$33,A9,'数据-汇总表'!N$19:N$33))</f>
        <v>0</v>
      </c>
      <c r="T9" s="2617">
        <f t="shared" si="6"/>
        <v>0</v>
      </c>
      <c r="U9" s="2634"/>
      <c r="V9" s="2619"/>
      <c r="W9" s="2619"/>
      <c r="X9" s="2620"/>
      <c r="Y9" s="2621"/>
      <c r="Z9" s="2632"/>
      <c r="AA9" s="2610"/>
      <c r="AB9" s="2610"/>
      <c r="AC9" s="2620"/>
      <c r="AD9" s="2623"/>
      <c r="AE9" s="2624">
        <f t="shared" ca="1" si="7"/>
        <v>0</v>
      </c>
      <c r="AF9" s="2241"/>
      <c r="AG9" s="1614">
        <f t="shared" si="8"/>
        <v>0</v>
      </c>
      <c r="AH9" s="2625"/>
      <c r="AI9" s="2626"/>
      <c r="AJ9" s="2241"/>
      <c r="AK9" s="2635"/>
      <c r="AL9" s="2636"/>
      <c r="AM9" s="2637"/>
      <c r="AN9" s="2630"/>
      <c r="AO9" s="1071" t="e">
        <f t="shared" ca="1" si="11"/>
        <v>#REF!</v>
      </c>
      <c r="AP9" s="2631">
        <f t="shared" si="12"/>
        <v>0</v>
      </c>
      <c r="AQ9" s="1071">
        <f t="shared" si="13"/>
        <v>0</v>
      </c>
      <c r="AR9" s="1071">
        <f t="shared" si="14"/>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hidden="1">
      <c r="A10" s="2602">
        <f>'数据-汇总表'!C23</f>
        <v>0</v>
      </c>
      <c r="B10" s="2603" t="str">
        <f t="shared" si="2"/>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3"/>
        <v>0</v>
      </c>
      <c r="H10" s="2610"/>
      <c r="I10" s="2610"/>
      <c r="J10" s="2610"/>
      <c r="K10" s="2611">
        <f>SUMIF('数据-汇总表'!C$19:C$33,A10,'数据-汇总表'!E$19:E$33)</f>
        <v>0</v>
      </c>
      <c r="L10" s="2612"/>
      <c r="M10" s="2613">
        <f t="shared" si="0"/>
        <v>0</v>
      </c>
      <c r="N10" s="2614">
        <f t="shared" si="15"/>
        <v>0</v>
      </c>
      <c r="O10" s="2613" t="str">
        <f t="shared" si="4"/>
        <v>——</v>
      </c>
      <c r="P10" s="1066" t="str">
        <f t="shared" si="5"/>
        <v>——</v>
      </c>
      <c r="Q10" s="2615"/>
      <c r="R10" s="2611">
        <f ca="1">SUMIF('数据-汇总表'!C$19:C$33,A10,'数据-汇总表'!R$19:R$27)</f>
        <v>0</v>
      </c>
      <c r="S10" s="2616">
        <f>IF('数据-汇总表'!$I$17="按面积比例",SUMIF('数据-汇总表'!C$19:C$33,A10,'数据-汇总表'!K$19:K$33),SUMIF('数据-汇总表'!C$19:C$33,A10,'数据-汇总表'!N$19:N$33))</f>
        <v>0</v>
      </c>
      <c r="T10" s="2617">
        <f t="shared" si="6"/>
        <v>0</v>
      </c>
      <c r="U10" s="2634"/>
      <c r="V10" s="2619"/>
      <c r="W10" s="2619"/>
      <c r="X10" s="2620"/>
      <c r="Y10" s="2621"/>
      <c r="Z10" s="2632"/>
      <c r="AA10" s="2610"/>
      <c r="AB10" s="2610"/>
      <c r="AC10" s="2620"/>
      <c r="AD10" s="2623"/>
      <c r="AE10" s="2624">
        <f t="shared" ca="1" si="7"/>
        <v>0</v>
      </c>
      <c r="AF10" s="2241"/>
      <c r="AG10" s="1614">
        <f t="shared" si="8"/>
        <v>0</v>
      </c>
      <c r="AH10" s="2625"/>
      <c r="AI10" s="2626"/>
      <c r="AJ10" s="2241"/>
      <c r="AK10" s="2635"/>
      <c r="AL10" s="2636"/>
      <c r="AM10" s="2637"/>
      <c r="AN10" s="2630"/>
      <c r="AO10" s="1071" t="e">
        <f t="shared" ca="1" si="11"/>
        <v>#REF!</v>
      </c>
      <c r="AP10" s="2631">
        <f t="shared" si="12"/>
        <v>0</v>
      </c>
      <c r="AQ10" s="1071">
        <f t="shared" si="13"/>
        <v>0</v>
      </c>
      <c r="AR10" s="1071">
        <f t="shared" si="14"/>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hidden="1">
      <c r="A11" s="2602">
        <f>'数据-汇总表'!C24</f>
        <v>0</v>
      </c>
      <c r="B11" s="2603" t="str">
        <f t="shared" si="2"/>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3"/>
        <v>0</v>
      </c>
      <c r="H11" s="2610"/>
      <c r="I11" s="2610"/>
      <c r="J11" s="2610"/>
      <c r="K11" s="2611">
        <f>SUMIF('数据-汇总表'!C$19:C$33,A11,'数据-汇总表'!E$19:E$33)</f>
        <v>0</v>
      </c>
      <c r="L11" s="2612"/>
      <c r="M11" s="2613">
        <f t="shared" si="0"/>
        <v>0</v>
      </c>
      <c r="N11" s="2614">
        <f t="shared" si="15"/>
        <v>0</v>
      </c>
      <c r="O11" s="2613" t="str">
        <f t="shared" si="4"/>
        <v>——</v>
      </c>
      <c r="P11" s="1066" t="str">
        <f t="shared" si="5"/>
        <v>——</v>
      </c>
      <c r="Q11" s="2615"/>
      <c r="R11" s="2611">
        <f ca="1">SUMIF('数据-汇总表'!C$19:C$33,A11,'数据-汇总表'!R$19:R$27)</f>
        <v>0</v>
      </c>
      <c r="S11" s="2616">
        <f>IF('数据-汇总表'!$I$17="按面积比例",SUMIF('数据-汇总表'!C$19:C$33,A11,'数据-汇总表'!K$19:K$33),SUMIF('数据-汇总表'!C$19:C$33,A11,'数据-汇总表'!N$19:N$33))</f>
        <v>0</v>
      </c>
      <c r="T11" s="2617">
        <f t="shared" si="6"/>
        <v>0</v>
      </c>
      <c r="U11" s="2634"/>
      <c r="V11" s="2610"/>
      <c r="W11" s="2610"/>
      <c r="X11" s="2620"/>
      <c r="Y11" s="2621"/>
      <c r="Z11" s="2638"/>
      <c r="AA11" s="2610"/>
      <c r="AB11" s="2610"/>
      <c r="AC11" s="2620"/>
      <c r="AD11" s="2623"/>
      <c r="AE11" s="2624">
        <f t="shared" ca="1" si="7"/>
        <v>0</v>
      </c>
      <c r="AF11" s="2241"/>
      <c r="AG11" s="1614">
        <f t="shared" si="8"/>
        <v>0</v>
      </c>
      <c r="AH11" s="2625"/>
      <c r="AI11" s="2626"/>
      <c r="AJ11" s="2241"/>
      <c r="AK11" s="2635"/>
      <c r="AL11" s="2636"/>
      <c r="AM11" s="2637"/>
      <c r="AN11" s="2630"/>
      <c r="AO11" s="1071" t="e">
        <f t="shared" ca="1" si="11"/>
        <v>#REF!</v>
      </c>
      <c r="AP11" s="2631">
        <f t="shared" si="12"/>
        <v>0</v>
      </c>
      <c r="AQ11" s="1071">
        <f t="shared" si="13"/>
        <v>0</v>
      </c>
      <c r="AR11" s="1071">
        <f t="shared" si="14"/>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hidden="1">
      <c r="A12" s="2602">
        <f>'数据-汇总表'!C25</f>
        <v>0</v>
      </c>
      <c r="B12" s="2603" t="str">
        <f t="shared" si="2"/>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3"/>
        <v>0</v>
      </c>
      <c r="H12" s="2610"/>
      <c r="I12" s="2610"/>
      <c r="J12" s="2610"/>
      <c r="K12" s="2611">
        <f>SUMIF('数据-汇总表'!C$19:C$33,A12,'数据-汇总表'!E$19:E$33)</f>
        <v>0</v>
      </c>
      <c r="L12" s="2612"/>
      <c r="M12" s="2613">
        <f t="shared" si="0"/>
        <v>0</v>
      </c>
      <c r="N12" s="2614">
        <f t="shared" si="15"/>
        <v>0</v>
      </c>
      <c r="O12" s="2613" t="str">
        <f t="shared" si="4"/>
        <v>——</v>
      </c>
      <c r="P12" s="1066" t="str">
        <f t="shared" si="5"/>
        <v>——</v>
      </c>
      <c r="Q12" s="2615"/>
      <c r="R12" s="2611">
        <f ca="1">SUMIF('数据-汇总表'!C$19:C$33,A12,'数据-汇总表'!R$19:R$27)</f>
        <v>0</v>
      </c>
      <c r="S12" s="2616">
        <f>IF('数据-汇总表'!$I$17="按面积比例",SUMIF('数据-汇总表'!C$19:C$33,A12,'数据-汇总表'!K$19:K$33),SUMIF('数据-汇总表'!C$19:C$33,A12,'数据-汇总表'!N$19:N$33))</f>
        <v>0</v>
      </c>
      <c r="T12" s="2617">
        <f t="shared" si="6"/>
        <v>0</v>
      </c>
      <c r="U12" s="2634"/>
      <c r="V12" s="2610"/>
      <c r="W12" s="2610"/>
      <c r="X12" s="2620"/>
      <c r="Y12" s="2621"/>
      <c r="Z12" s="2638"/>
      <c r="AA12" s="2610"/>
      <c r="AB12" s="2610"/>
      <c r="AC12" s="2620"/>
      <c r="AD12" s="2623"/>
      <c r="AE12" s="2624">
        <f t="shared" ca="1" si="7"/>
        <v>0</v>
      </c>
      <c r="AF12" s="2241"/>
      <c r="AG12" s="1614">
        <f t="shared" si="8"/>
        <v>0</v>
      </c>
      <c r="AH12" s="2625"/>
      <c r="AI12" s="2626"/>
      <c r="AJ12" s="2241"/>
      <c r="AK12" s="2635"/>
      <c r="AL12" s="2636"/>
      <c r="AM12" s="2637"/>
      <c r="AN12" s="2630"/>
      <c r="AO12" s="1071" t="e">
        <f t="shared" ca="1" si="11"/>
        <v>#REF!</v>
      </c>
      <c r="AP12" s="2631">
        <f t="shared" si="12"/>
        <v>0</v>
      </c>
      <c r="AQ12" s="1071">
        <f t="shared" si="13"/>
        <v>0</v>
      </c>
      <c r="AR12" s="1071">
        <f t="shared" si="14"/>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hidden="1">
      <c r="A13" s="2602">
        <f>'数据-汇总表'!C26</f>
        <v>0</v>
      </c>
      <c r="B13" s="2603" t="str">
        <f t="shared" si="2"/>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3"/>
        <v>0</v>
      </c>
      <c r="H13" s="2610"/>
      <c r="I13" s="2610"/>
      <c r="J13" s="2610"/>
      <c r="K13" s="2611">
        <f>SUMIF('数据-汇总表'!C$19:C$33,A13,'数据-汇总表'!E$19:E$33)</f>
        <v>0</v>
      </c>
      <c r="L13" s="2612"/>
      <c r="M13" s="2613">
        <f t="shared" si="0"/>
        <v>0</v>
      </c>
      <c r="N13" s="2614">
        <f t="shared" si="15"/>
        <v>0</v>
      </c>
      <c r="O13" s="2613" t="str">
        <f t="shared" si="4"/>
        <v>——</v>
      </c>
      <c r="P13" s="1066" t="str">
        <f t="shared" si="5"/>
        <v>——</v>
      </c>
      <c r="Q13" s="2615"/>
      <c r="R13" s="2611">
        <f ca="1">SUMIF('数据-汇总表'!C$19:C$33,A13,'数据-汇总表'!R$19:R$27)</f>
        <v>0</v>
      </c>
      <c r="S13" s="2616">
        <f>IF('数据-汇总表'!$I$17="按面积比例",SUMIF('数据-汇总表'!C$19:C$33,A13,'数据-汇总表'!K$19:K$33),SUMIF('数据-汇总表'!C$19:C$33,A13,'数据-汇总表'!N$19:N$33))</f>
        <v>0</v>
      </c>
      <c r="T13" s="2617">
        <f t="shared" si="6"/>
        <v>0</v>
      </c>
      <c r="U13" s="2639"/>
      <c r="V13" s="2619"/>
      <c r="W13" s="2619"/>
      <c r="X13" s="2620"/>
      <c r="Y13" s="2621"/>
      <c r="Z13" s="2632"/>
      <c r="AA13" s="2610"/>
      <c r="AB13" s="2610"/>
      <c r="AC13" s="2620"/>
      <c r="AD13" s="2623"/>
      <c r="AE13" s="2624">
        <f t="shared" ca="1" si="7"/>
        <v>0</v>
      </c>
      <c r="AF13" s="2241"/>
      <c r="AG13" s="1614">
        <f t="shared" si="8"/>
        <v>0</v>
      </c>
      <c r="AH13" s="2625"/>
      <c r="AI13" s="2626"/>
      <c r="AJ13" s="2241"/>
      <c r="AK13" s="2635"/>
      <c r="AL13" s="2636"/>
      <c r="AM13" s="2637"/>
      <c r="AN13" s="2630"/>
      <c r="AO13" s="1071" t="e">
        <f t="shared" ca="1" si="11"/>
        <v>#REF!</v>
      </c>
      <c r="AP13" s="2631">
        <f t="shared" si="12"/>
        <v>0</v>
      </c>
      <c r="AQ13" s="1071">
        <f t="shared" si="13"/>
        <v>0</v>
      </c>
      <c r="AR13" s="1071">
        <f t="shared" si="14"/>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0" t="s">
        <v>668</v>
      </c>
      <c r="B14" s="2603" t="s">
        <v>667</v>
      </c>
      <c r="C14" s="2641" t="s">
        <v>668</v>
      </c>
      <c r="D14" s="2605"/>
      <c r="E14" s="2606"/>
      <c r="F14" s="2607"/>
      <c r="G14" s="2608"/>
      <c r="H14" s="2642"/>
      <c r="I14" s="2642"/>
      <c r="J14" s="2642"/>
      <c r="K14" s="2611">
        <f>SUMIF('数据-汇总表'!C$19:C$33,A14,'数据-汇总表'!E$19:E$33)</f>
        <v>3626.19</v>
      </c>
      <c r="L14" s="2612">
        <v>4500</v>
      </c>
      <c r="M14" s="2613">
        <f t="shared" si="0"/>
        <v>1632</v>
      </c>
      <c r="N14" s="2643">
        <f>N8</f>
        <v>0.88</v>
      </c>
      <c r="O14" s="2613" t="str">
        <f t="shared" si="4"/>
        <v>——</v>
      </c>
      <c r="P14" s="1066" t="str">
        <f t="shared" si="5"/>
        <v>——</v>
      </c>
      <c r="Q14" s="2644"/>
      <c r="R14" s="2611"/>
      <c r="S14" s="2616"/>
      <c r="T14" s="2617"/>
      <c r="U14" s="2645"/>
      <c r="V14" s="2646"/>
      <c r="W14" s="2646"/>
      <c r="X14" s="2647"/>
      <c r="Y14" s="2648"/>
      <c r="Z14" s="2244"/>
      <c r="AA14" s="2649"/>
      <c r="AB14" s="2649"/>
      <c r="AC14" s="2620"/>
      <c r="AD14" s="2647"/>
      <c r="AE14" s="2624"/>
      <c r="AF14" s="1071"/>
      <c r="AG14" s="1614"/>
      <c r="AH14" s="2624"/>
      <c r="AI14" s="1070"/>
      <c r="AJ14" s="1071"/>
      <c r="AK14" s="2650"/>
      <c r="AL14" s="2651"/>
      <c r="AM14" s="2652"/>
      <c r="AN14" s="2575"/>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0" t="s">
        <v>669</v>
      </c>
      <c r="B15" s="2603" t="s">
        <v>667</v>
      </c>
      <c r="C15" s="2641" t="s">
        <v>715</v>
      </c>
      <c r="D15" s="2605"/>
      <c r="E15" s="2606"/>
      <c r="F15" s="2607"/>
      <c r="G15" s="2608"/>
      <c r="H15" s="2642"/>
      <c r="I15" s="2642"/>
      <c r="J15" s="2642"/>
      <c r="K15" s="2611">
        <f>SUMIF('数据-汇总表'!C$19:C$33,A15,'数据-汇总表'!E$19:E$33)</f>
        <v>0</v>
      </c>
      <c r="L15" s="2653"/>
      <c r="M15" s="2613"/>
      <c r="N15" s="2654"/>
      <c r="O15" s="2613"/>
      <c r="P15" s="1066"/>
      <c r="Q15" s="2644"/>
      <c r="R15" s="2611"/>
      <c r="S15" s="2616"/>
      <c r="T15" s="2617"/>
      <c r="U15" s="2645"/>
      <c r="V15" s="2646"/>
      <c r="W15" s="2646"/>
      <c r="X15" s="2647"/>
      <c r="Y15" s="2648"/>
      <c r="Z15" s="2244"/>
      <c r="AA15" s="2649"/>
      <c r="AB15" s="2649"/>
      <c r="AC15" s="2620"/>
      <c r="AD15" s="2647"/>
      <c r="AE15" s="2624"/>
      <c r="AF15" s="1071"/>
      <c r="AG15" s="1614"/>
      <c r="AH15" s="2624"/>
      <c r="AI15" s="1070"/>
      <c r="AJ15" s="1071"/>
      <c r="AK15" s="2650"/>
      <c r="AL15" s="2651"/>
      <c r="AM15" s="2652"/>
      <c r="AN15" s="2575"/>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5" t="s">
        <v>670</v>
      </c>
      <c r="B16" s="2656"/>
      <c r="C16" s="2203"/>
      <c r="D16" s="2657"/>
      <c r="E16" s="2656"/>
      <c r="F16" s="2656"/>
      <c r="G16" s="2658">
        <f>ROUND(SUMPRODUCT(G6:G13,K6:K13)/SUMPRODUCT((G6:G13&gt;0)*(K6:K13)),3)</f>
        <v>0.53</v>
      </c>
      <c r="H16" s="2659">
        <f>ROUND(SUMPRODUCT(H6:H13,K6:K13)/SUMPRODUCT((H6:H13&gt;0)*(K6:K13)),3)</f>
        <v>5.2999999999999999E-2</v>
      </c>
      <c r="I16" s="2660"/>
      <c r="J16" s="2660"/>
      <c r="K16" s="2661">
        <f>SUM(K6:K15)</f>
        <v>50585.8</v>
      </c>
      <c r="L16" s="2662">
        <f>ROUND(M16*10000/SUM(K6:K14),0)</f>
        <v>4500</v>
      </c>
      <c r="M16" s="2662">
        <f>SUM(M6:M14)</f>
        <v>22763</v>
      </c>
      <c r="N16" s="2663">
        <f>ROUND(SUMPRODUCT(M6:M14,N6:N14)/M16,3)</f>
        <v>0.88</v>
      </c>
      <c r="O16" s="2662">
        <f>SUM(O6:O14)</f>
        <v>0</v>
      </c>
      <c r="P16" s="2662">
        <f>SUM(P6:P14)</f>
        <v>0</v>
      </c>
      <c r="Q16" s="2664">
        <f>ROUND(SUMPRODUCT(Q6:Q13,K6:K13)/SUMPRODUCT((Q6:Q13&gt;0)*(K6:K13)),2)</f>
        <v>0.18</v>
      </c>
      <c r="R16" s="2665">
        <f ca="1">SUM(R6:R13)</f>
        <v>11435.34</v>
      </c>
      <c r="S16" s="2666">
        <f>SUM(S6:S13)</f>
        <v>3626.1899999999996</v>
      </c>
      <c r="T16" s="2667" t="str">
        <f>IF(SUMIF(T6:T13,"&lt;9E307")=M14,SUMIF(T6:T13,"&lt;9E307"),"有误，请检查")</f>
        <v>有误，请检查</v>
      </c>
      <c r="U16" s="2668"/>
      <c r="V16" s="2256"/>
      <c r="W16" s="2256"/>
      <c r="X16" s="2669"/>
      <c r="Y16" s="2670"/>
      <c r="Z16" s="2671"/>
      <c r="AA16" s="2256"/>
      <c r="AB16" s="2256"/>
      <c r="AC16" s="2669"/>
      <c r="AD16" s="2669"/>
      <c r="AE16" s="2668"/>
      <c r="AF16" s="2256"/>
      <c r="AG16" s="2670"/>
      <c r="AH16" s="2668"/>
      <c r="AI16" s="2671"/>
      <c r="AJ16" s="2671"/>
      <c r="AK16" s="2256"/>
      <c r="AL16" s="2256"/>
      <c r="AM16" s="2670"/>
      <c r="AN16" s="2575"/>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s="2565" customFormat="1" ht="15">
      <c r="A17" s="1593"/>
      <c r="B17" s="2672"/>
      <c r="C17" s="2575"/>
      <c r="D17" s="2673"/>
      <c r="E17" s="2673"/>
      <c r="F17" s="2575"/>
      <c r="G17" s="2575"/>
      <c r="H17" s="2575"/>
      <c r="I17" s="2575"/>
      <c r="J17" s="2575"/>
      <c r="K17" s="1065"/>
      <c r="L17" s="1065"/>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c r="AP17" s="2575"/>
      <c r="AQ17" s="2575"/>
      <c r="AR17" s="2575"/>
      <c r="AS17" s="2510"/>
      <c r="AT17" s="2510"/>
      <c r="AU17" s="2510"/>
      <c r="AV17" s="2510"/>
      <c r="AW17" s="2510"/>
      <c r="AX17" s="2510"/>
      <c r="AY17" s="2510"/>
      <c r="AZ17" s="2510"/>
      <c r="BA17" s="2510"/>
      <c r="BB17" s="2510"/>
      <c r="BC17" s="2510"/>
      <c r="BD17" s="2510"/>
      <c r="BE17" s="2510"/>
      <c r="BF17" s="2510"/>
      <c r="BG17" s="2510"/>
      <c r="BH17" s="2510"/>
      <c r="BI17" s="2510"/>
      <c r="BJ17" s="2510"/>
      <c r="BK17" s="2510"/>
      <c r="BL17" s="2510"/>
      <c r="BM17" s="2510"/>
      <c r="BN17" s="2510"/>
      <c r="BO17" s="2510"/>
    </row>
    <row r="18" spans="1:67" s="2565" customFormat="1" ht="14.25">
      <c r="A18" s="1441" t="s">
        <v>716</v>
      </c>
      <c r="B18" s="2672"/>
      <c r="C18" s="2575"/>
      <c r="D18" s="2673"/>
      <c r="E18" s="2575"/>
      <c r="F18" s="2575"/>
      <c r="G18" s="2575"/>
      <c r="H18" s="2575"/>
      <c r="I18" s="2575"/>
      <c r="J18" s="2575"/>
      <c r="K18" s="1065"/>
      <c r="L18" s="1065"/>
      <c r="M18" s="2575"/>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c r="AL18" s="2575"/>
      <c r="AM18" s="2575"/>
      <c r="AN18" s="2575"/>
      <c r="AO18" s="2575"/>
      <c r="AP18" s="2575"/>
      <c r="AQ18" s="2575"/>
      <c r="AR18" s="2575"/>
      <c r="AS18" s="2510"/>
      <c r="AT18" s="2510"/>
      <c r="AU18" s="2510"/>
      <c r="AV18" s="2510"/>
      <c r="AW18" s="2510"/>
      <c r="AX18" s="2510"/>
      <c r="AY18" s="2510"/>
      <c r="AZ18" s="2510"/>
      <c r="BA18" s="2510"/>
      <c r="BB18" s="2510"/>
      <c r="BC18" s="2510"/>
      <c r="BD18" s="2510"/>
      <c r="BE18" s="2510"/>
      <c r="BF18" s="2510"/>
      <c r="BG18" s="2510"/>
      <c r="BH18" s="2510"/>
      <c r="BI18" s="2510"/>
      <c r="BJ18" s="2510"/>
      <c r="BK18" s="2510"/>
      <c r="BL18" s="2510"/>
      <c r="BM18" s="2510"/>
      <c r="BN18" s="2510"/>
      <c r="BO18" s="2510"/>
    </row>
    <row r="19" spans="1:67" s="2565" customFormat="1" ht="14.25">
      <c r="A19" s="2674" t="s">
        <v>717</v>
      </c>
      <c r="B19" s="2675">
        <v>0</v>
      </c>
      <c r="C19" s="2676" t="s">
        <v>718</v>
      </c>
      <c r="D19" s="2673"/>
      <c r="E19" s="2575"/>
      <c r="F19" s="2575"/>
      <c r="G19" s="2575"/>
      <c r="H19" s="2575"/>
      <c r="I19" s="2575"/>
      <c r="J19" s="2575"/>
      <c r="K19" s="1065"/>
      <c r="L19" s="1065"/>
      <c r="M19" s="2575"/>
      <c r="N19" s="2575"/>
      <c r="O19" s="2575"/>
      <c r="P19" s="2575"/>
      <c r="Q19" s="2575"/>
      <c r="R19" s="2575"/>
      <c r="S19" s="2575"/>
      <c r="T19" s="2575"/>
      <c r="U19" s="2575"/>
      <c r="V19" s="2575"/>
      <c r="W19" s="2575"/>
      <c r="X19" s="2575"/>
      <c r="Y19" s="2575"/>
      <c r="Z19" s="2575"/>
      <c r="AA19" s="2575"/>
      <c r="AB19" s="2575"/>
      <c r="AC19" s="2575"/>
      <c r="AD19" s="2575"/>
      <c r="AE19" s="2575"/>
      <c r="AF19" s="2575"/>
      <c r="AG19" s="2575"/>
      <c r="AH19" s="2575"/>
      <c r="AI19" s="2575"/>
      <c r="AJ19" s="2575"/>
      <c r="AK19" s="2575"/>
      <c r="AL19" s="2575"/>
      <c r="AM19" s="2575"/>
      <c r="AN19" s="2575"/>
      <c r="AO19" s="2575"/>
      <c r="AP19" s="2575"/>
      <c r="AQ19" s="2575"/>
      <c r="AR19" s="2575"/>
      <c r="AS19" s="2510"/>
      <c r="AT19" s="2510"/>
      <c r="AU19" s="2510"/>
      <c r="AV19" s="2510"/>
      <c r="AW19" s="2510"/>
      <c r="AX19" s="2510"/>
      <c r="AY19" s="2510"/>
      <c r="AZ19" s="2510"/>
      <c r="BA19" s="2510"/>
      <c r="BB19" s="2510"/>
      <c r="BC19" s="2510"/>
      <c r="BD19" s="2510"/>
      <c r="BE19" s="2510"/>
      <c r="BF19" s="2510"/>
      <c r="BG19" s="2510"/>
      <c r="BH19" s="2510"/>
      <c r="BI19" s="2510"/>
      <c r="BJ19" s="2510"/>
      <c r="BK19" s="2510"/>
      <c r="BL19" s="2510"/>
      <c r="BM19" s="2510"/>
      <c r="BN19" s="2510"/>
      <c r="BO19" s="2510"/>
    </row>
    <row r="20" spans="1:67" s="2565" customFormat="1" ht="14.25">
      <c r="A20" s="2677" t="s">
        <v>719</v>
      </c>
      <c r="B20" s="2678">
        <v>2</v>
      </c>
      <c r="C20" s="2679" t="s">
        <v>720</v>
      </c>
      <c r="D20" s="2673"/>
      <c r="E20" s="2575"/>
      <c r="F20" s="2575"/>
      <c r="G20" s="2575"/>
      <c r="H20" s="2575"/>
      <c r="I20" s="2575"/>
      <c r="J20" s="2575"/>
      <c r="K20" s="1065"/>
      <c r="L20" s="106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c r="AP20" s="2575"/>
      <c r="AQ20" s="2575"/>
      <c r="AR20" s="2575"/>
      <c r="AS20" s="2510"/>
      <c r="AT20" s="2510"/>
      <c r="AU20" s="2510"/>
      <c r="AV20" s="2510"/>
      <c r="AW20" s="2510"/>
      <c r="AX20" s="2510"/>
      <c r="AY20" s="2510"/>
      <c r="AZ20" s="2510"/>
      <c r="BA20" s="2510"/>
      <c r="BB20" s="2510"/>
      <c r="BC20" s="2510"/>
      <c r="BD20" s="2510"/>
      <c r="BE20" s="2510"/>
      <c r="BF20" s="2510"/>
      <c r="BG20" s="2510"/>
      <c r="BH20" s="2510"/>
      <c r="BI20" s="2510"/>
      <c r="BJ20" s="2510"/>
      <c r="BK20" s="2510"/>
      <c r="BL20" s="2510"/>
      <c r="BM20" s="2510"/>
      <c r="BN20" s="2510"/>
      <c r="BO20" s="2510"/>
    </row>
    <row r="21" spans="1:67" s="2565" customFormat="1" ht="14.25">
      <c r="A21" s="2680" t="s">
        <v>721</v>
      </c>
      <c r="B21" s="2678">
        <f>B20</f>
        <v>2</v>
      </c>
      <c r="C21" s="2575"/>
      <c r="D21" s="2673"/>
      <c r="E21" s="2575"/>
      <c r="F21" s="2575"/>
      <c r="G21" s="2575"/>
      <c r="H21" s="2575"/>
      <c r="I21" s="2575"/>
      <c r="J21" s="2575"/>
      <c r="K21" s="1065"/>
      <c r="L21" s="1065"/>
      <c r="M21" s="2575"/>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c r="AL21" s="2575"/>
      <c r="AM21" s="2575"/>
      <c r="AN21" s="2575"/>
      <c r="AO21" s="2575"/>
      <c r="AP21" s="2575"/>
      <c r="AQ21" s="2575"/>
      <c r="AR21" s="2575"/>
      <c r="AS21" s="2510"/>
      <c r="AT21" s="2510"/>
      <c r="AU21" s="2510"/>
      <c r="AV21" s="2510"/>
      <c r="AW21" s="2510"/>
      <c r="AX21" s="2510"/>
      <c r="AY21" s="2510"/>
      <c r="AZ21" s="2510"/>
      <c r="BA21" s="2510"/>
      <c r="BB21" s="2510"/>
      <c r="BC21" s="2510"/>
      <c r="BD21" s="2510"/>
      <c r="BE21" s="2510"/>
      <c r="BF21" s="2510"/>
      <c r="BG21" s="2510"/>
      <c r="BH21" s="2510"/>
      <c r="BI21" s="2510"/>
      <c r="BJ21" s="2510"/>
      <c r="BK21" s="2510"/>
      <c r="BL21" s="2510"/>
      <c r="BM21" s="2510"/>
      <c r="BN21" s="2510"/>
      <c r="BO21" s="2510"/>
    </row>
    <row r="22" spans="1:67" s="2565" customFormat="1" ht="14.25">
      <c r="A22" s="2677" t="s">
        <v>722</v>
      </c>
      <c r="B22" s="2681">
        <f>B19+B20</f>
        <v>2</v>
      </c>
      <c r="C22" s="2575"/>
      <c r="D22" s="2673"/>
      <c r="E22" s="2575"/>
      <c r="F22" s="2575"/>
      <c r="G22" s="2575"/>
      <c r="H22" s="2575"/>
      <c r="I22" s="2575"/>
      <c r="J22" s="2575"/>
      <c r="K22" s="1065"/>
      <c r="L22" s="1065"/>
      <c r="M22" s="2575"/>
      <c r="N22" s="2575"/>
      <c r="O22" s="2575"/>
      <c r="P22" s="2575"/>
      <c r="Q22" s="2575"/>
      <c r="R22" s="2575"/>
      <c r="S22" s="2575"/>
      <c r="T22" s="2575"/>
      <c r="U22" s="2575"/>
      <c r="V22" s="2575"/>
      <c r="W22" s="2575"/>
      <c r="X22" s="2575"/>
      <c r="Y22" s="2575"/>
      <c r="Z22" s="2575"/>
      <c r="AA22" s="2575"/>
      <c r="AB22" s="2575"/>
      <c r="AC22" s="2575"/>
      <c r="AD22" s="2575"/>
      <c r="AE22" s="2575"/>
      <c r="AF22" s="2575"/>
      <c r="AG22" s="2575"/>
      <c r="AH22" s="2575"/>
      <c r="AI22" s="2575"/>
      <c r="AJ22" s="2575"/>
      <c r="AK22" s="2575"/>
      <c r="AL22" s="2575"/>
      <c r="AM22" s="2575"/>
      <c r="AN22" s="2575"/>
      <c r="AO22" s="2575"/>
      <c r="AP22" s="2575"/>
      <c r="AQ22" s="2575"/>
      <c r="AR22" s="2575"/>
      <c r="AS22" s="2510"/>
      <c r="AT22" s="2510"/>
      <c r="AU22" s="2510"/>
      <c r="AV22" s="2510"/>
      <c r="AW22" s="2510"/>
      <c r="AX22" s="2510"/>
      <c r="AY22" s="2510"/>
      <c r="AZ22" s="2510"/>
      <c r="BA22" s="2510"/>
      <c r="BB22" s="2510"/>
      <c r="BC22" s="2510"/>
      <c r="BD22" s="2510"/>
      <c r="BE22" s="2510"/>
      <c r="BF22" s="2510"/>
      <c r="BG22" s="2510"/>
      <c r="BH22" s="2510"/>
      <c r="BI22" s="2510"/>
      <c r="BJ22" s="2510"/>
      <c r="BK22" s="2510"/>
      <c r="BL22" s="2510"/>
      <c r="BM22" s="2510"/>
      <c r="BN22" s="2510"/>
      <c r="BO22" s="2510"/>
    </row>
    <row r="23" spans="1:67" s="2565" customFormat="1" ht="14.25">
      <c r="A23" s="2680" t="s">
        <v>723</v>
      </c>
      <c r="B23" s="2681">
        <f>B19+B21</f>
        <v>2</v>
      </c>
      <c r="C23" s="2575"/>
      <c r="D23" s="2673"/>
      <c r="E23" s="2575"/>
      <c r="F23" s="2575"/>
      <c r="G23" s="2575"/>
      <c r="H23" s="2575"/>
      <c r="I23" s="2575"/>
      <c r="J23" s="2575"/>
      <c r="K23" s="1065"/>
      <c r="L23" s="1065"/>
      <c r="M23" s="2575"/>
      <c r="N23" s="2575"/>
      <c r="O23" s="2575"/>
      <c r="P23" s="2575"/>
      <c r="Q23" s="2682">
        <f>K7-Q24</f>
        <v>11556.7</v>
      </c>
      <c r="R23" s="2575"/>
      <c r="S23" s="2575"/>
      <c r="T23" s="2575">
        <v>4.5</v>
      </c>
      <c r="U23" s="2575">
        <f>T23*Q23</f>
        <v>52005.15</v>
      </c>
      <c r="V23" s="2575"/>
      <c r="W23" s="2575"/>
      <c r="X23" s="2575"/>
      <c r="Y23" s="2575"/>
      <c r="Z23" s="2575"/>
      <c r="AA23" s="2575"/>
      <c r="AB23" s="2575"/>
      <c r="AC23" s="2575"/>
      <c r="AD23" s="2575"/>
      <c r="AE23" s="2575"/>
      <c r="AF23" s="2575"/>
      <c r="AG23" s="2575"/>
      <c r="AH23" s="2575"/>
      <c r="AI23" s="2575"/>
      <c r="AJ23" s="2575"/>
      <c r="AK23" s="2575"/>
      <c r="AL23" s="2575"/>
      <c r="AM23" s="2575"/>
      <c r="AN23" s="2575"/>
      <c r="AO23" s="2575"/>
      <c r="AP23" s="2575"/>
      <c r="AQ23" s="2575"/>
      <c r="AR23" s="2575"/>
      <c r="AS23" s="2510"/>
      <c r="AT23" s="2510"/>
      <c r="AU23" s="2510"/>
      <c r="AV23" s="2510"/>
      <c r="AW23" s="2510"/>
      <c r="AX23" s="2510"/>
      <c r="AY23" s="2510"/>
      <c r="AZ23" s="2510"/>
      <c r="BA23" s="2510"/>
      <c r="BB23" s="2510"/>
      <c r="BC23" s="2510"/>
      <c r="BD23" s="2510"/>
      <c r="BE23" s="2510"/>
      <c r="BF23" s="2510"/>
      <c r="BG23" s="2510"/>
      <c r="BH23" s="2510"/>
      <c r="BI23" s="2510"/>
      <c r="BJ23" s="2510"/>
      <c r="BK23" s="2510"/>
      <c r="BL23" s="2510"/>
      <c r="BM23" s="2510"/>
      <c r="BN23" s="2510"/>
      <c r="BO23" s="2510"/>
    </row>
    <row r="24" spans="1:67" s="2565" customFormat="1" ht="14.25">
      <c r="A24" s="2683" t="s">
        <v>724</v>
      </c>
      <c r="B24" s="2684">
        <f>B20-B21</f>
        <v>0</v>
      </c>
      <c r="C24" s="2575"/>
      <c r="D24" s="2673"/>
      <c r="E24" s="2575"/>
      <c r="F24" s="2575"/>
      <c r="G24" s="2575"/>
      <c r="H24" s="2575"/>
      <c r="I24" s="2575"/>
      <c r="J24" s="2575"/>
      <c r="K24" s="1065"/>
      <c r="L24" s="1065"/>
      <c r="M24" s="2575"/>
      <c r="N24" s="2575"/>
      <c r="O24" s="2575"/>
      <c r="P24" s="2575"/>
      <c r="Q24" s="2575">
        <f>面积位置!AI25</f>
        <v>2659.8599999999997</v>
      </c>
      <c r="R24" s="2575">
        <v>26</v>
      </c>
      <c r="S24" s="2575">
        <v>9600</v>
      </c>
      <c r="T24" s="2575">
        <f>S24*R24/Q24/365</f>
        <v>0.25709459010562818</v>
      </c>
      <c r="U24" s="2575">
        <f>T24*Q24</f>
        <v>683.83561643835606</v>
      </c>
      <c r="V24" s="2575"/>
      <c r="W24" s="2575"/>
      <c r="X24" s="2575"/>
      <c r="Y24" s="2575"/>
      <c r="Z24" s="2575"/>
      <c r="AA24" s="2575"/>
      <c r="AB24" s="2575"/>
      <c r="AC24" s="2575"/>
      <c r="AD24" s="2575"/>
      <c r="AE24" s="2575"/>
      <c r="AF24" s="2575"/>
      <c r="AG24" s="2575"/>
      <c r="AH24" s="2575"/>
      <c r="AI24" s="2575"/>
      <c r="AJ24" s="2575"/>
      <c r="AK24" s="2575"/>
      <c r="AL24" s="2575"/>
      <c r="AM24" s="2575"/>
      <c r="AN24" s="2575"/>
      <c r="AO24" s="2575"/>
      <c r="AP24" s="2575"/>
      <c r="AQ24" s="2575"/>
      <c r="AR24" s="2575"/>
      <c r="AS24" s="2510"/>
      <c r="AT24" s="2510"/>
      <c r="AU24" s="2510"/>
      <c r="AV24" s="2510"/>
      <c r="AW24" s="2510"/>
      <c r="AX24" s="2510"/>
      <c r="AY24" s="2510"/>
      <c r="AZ24" s="2510"/>
      <c r="BA24" s="2510"/>
      <c r="BB24" s="2510"/>
      <c r="BC24" s="2510"/>
      <c r="BD24" s="2510"/>
      <c r="BE24" s="2510"/>
      <c r="BF24" s="2510"/>
      <c r="BG24" s="2510"/>
      <c r="BH24" s="2510"/>
      <c r="BI24" s="2510"/>
      <c r="BJ24" s="2510"/>
      <c r="BK24" s="2510"/>
      <c r="BL24" s="2510"/>
      <c r="BM24" s="2510"/>
      <c r="BN24" s="2510"/>
      <c r="BO24" s="2510"/>
    </row>
    <row r="25" spans="1:67" s="2565" customFormat="1" ht="14.25">
      <c r="A25" s="2576"/>
      <c r="B25" s="2247"/>
      <c r="C25" s="2575"/>
      <c r="D25" s="2673"/>
      <c r="E25" s="2575"/>
      <c r="F25" s="2575"/>
      <c r="G25" s="2575"/>
      <c r="H25" s="2575"/>
      <c r="I25" s="2575"/>
      <c r="J25" s="2575"/>
      <c r="K25" s="1065"/>
      <c r="L25" s="1065"/>
      <c r="M25" s="2575"/>
      <c r="N25" s="2575"/>
      <c r="O25" s="2575"/>
      <c r="P25" s="2575"/>
      <c r="Q25" s="2673">
        <f>SUM(Q23:Q24)</f>
        <v>14216.560000000001</v>
      </c>
      <c r="R25" s="2575"/>
      <c r="S25" s="2575"/>
      <c r="T25" s="2575">
        <f>ROUND(U25/Q25,2)</f>
        <v>3.71</v>
      </c>
      <c r="U25" s="2673">
        <f>SUM(U23:U24)</f>
        <v>52688.98561643836</v>
      </c>
      <c r="V25" s="2575"/>
      <c r="W25" s="2575"/>
      <c r="X25" s="2575"/>
      <c r="Y25" s="2575"/>
      <c r="Z25" s="2575"/>
      <c r="AA25" s="2575"/>
      <c r="AB25" s="2575"/>
      <c r="AC25" s="2575"/>
      <c r="AD25" s="2575"/>
      <c r="AE25" s="2575"/>
      <c r="AF25" s="2575"/>
      <c r="AG25" s="2575"/>
      <c r="AH25" s="2575"/>
      <c r="AI25" s="2575"/>
      <c r="AJ25" s="2575"/>
      <c r="AK25" s="2575"/>
      <c r="AL25" s="2575"/>
      <c r="AM25" s="2575"/>
      <c r="AN25" s="2575"/>
      <c r="AO25" s="2575"/>
      <c r="AP25" s="2575"/>
      <c r="AQ25" s="2575"/>
      <c r="AR25" s="2575"/>
      <c r="AS25" s="2510"/>
      <c r="AT25" s="2510"/>
      <c r="AU25" s="2510"/>
      <c r="AV25" s="2510"/>
      <c r="AW25" s="2510"/>
      <c r="AX25" s="2510"/>
      <c r="AY25" s="2510"/>
      <c r="AZ25" s="2510"/>
      <c r="BA25" s="2510"/>
      <c r="BB25" s="2510"/>
      <c r="BC25" s="2510"/>
      <c r="BD25" s="2510"/>
      <c r="BE25" s="2510"/>
      <c r="BF25" s="2510"/>
      <c r="BG25" s="2510"/>
      <c r="BH25" s="2510"/>
      <c r="BI25" s="2510"/>
      <c r="BJ25" s="2510"/>
      <c r="BK25" s="2510"/>
      <c r="BL25" s="2510"/>
      <c r="BM25" s="2510"/>
      <c r="BN25" s="2510"/>
      <c r="BO25" s="2510"/>
    </row>
    <row r="26" spans="1:67" s="2565" customFormat="1" ht="14.25">
      <c r="A26" s="2572" t="s">
        <v>725</v>
      </c>
      <c r="B26" s="2685" t="s">
        <v>726</v>
      </c>
      <c r="C26" s="2686" t="s">
        <v>727</v>
      </c>
      <c r="D26" s="2673"/>
      <c r="E26" s="2575"/>
      <c r="F26" s="2575"/>
      <c r="G26" s="2575"/>
      <c r="H26" s="2575"/>
      <c r="I26" s="2575"/>
      <c r="J26" s="2575"/>
      <c r="K26" s="1065"/>
      <c r="L26" s="1065"/>
      <c r="M26" s="2575"/>
      <c r="N26" s="2575"/>
      <c r="O26" s="2575"/>
      <c r="P26" s="2575"/>
      <c r="Q26" s="2575"/>
      <c r="R26" s="2575"/>
      <c r="S26" s="2575"/>
      <c r="T26" s="2575"/>
      <c r="U26" s="2575"/>
      <c r="V26" s="2575"/>
      <c r="W26" s="2575"/>
      <c r="X26" s="2575"/>
      <c r="Y26" s="2575"/>
      <c r="Z26" s="2575"/>
      <c r="AA26" s="2575"/>
      <c r="AB26" s="2575"/>
      <c r="AC26" s="2575"/>
      <c r="AD26" s="2575"/>
      <c r="AE26" s="2575"/>
      <c r="AF26" s="2575"/>
      <c r="AG26" s="2575"/>
      <c r="AH26" s="2575"/>
      <c r="AI26" s="2575"/>
      <c r="AJ26" s="2575"/>
      <c r="AK26" s="2575"/>
      <c r="AL26" s="2575"/>
      <c r="AM26" s="2575"/>
      <c r="AN26" s="2575"/>
      <c r="AO26" s="2575"/>
      <c r="AP26" s="2575"/>
      <c r="AQ26" s="2575"/>
      <c r="AR26" s="2575"/>
      <c r="AS26" s="2510"/>
      <c r="AT26" s="2510"/>
      <c r="AU26" s="2510"/>
      <c r="AV26" s="2510"/>
      <c r="AW26" s="2510"/>
      <c r="AX26" s="2510"/>
      <c r="AY26" s="2510"/>
      <c r="AZ26" s="2510"/>
      <c r="BA26" s="2510"/>
      <c r="BB26" s="2510"/>
      <c r="BC26" s="2510"/>
      <c r="BD26" s="2510"/>
      <c r="BE26" s="2510"/>
      <c r="BF26" s="2510"/>
      <c r="BG26" s="2510"/>
      <c r="BH26" s="2510"/>
      <c r="BI26" s="2510"/>
      <c r="BJ26" s="2510"/>
      <c r="BK26" s="2510"/>
      <c r="BL26" s="2510"/>
      <c r="BM26" s="2510"/>
      <c r="BN26" s="2510"/>
      <c r="BO26" s="2510"/>
    </row>
    <row r="27" spans="1:67" s="2565" customFormat="1" ht="27.75">
      <c r="A27" s="2687" t="s">
        <v>728</v>
      </c>
      <c r="B27" s="2688"/>
      <c r="C27" s="2689" t="s">
        <v>729</v>
      </c>
      <c r="D27" s="2690"/>
      <c r="E27" s="1065"/>
      <c r="F27" s="1065"/>
      <c r="G27" s="2575"/>
      <c r="H27" s="2575"/>
      <c r="I27" s="2575"/>
      <c r="J27" s="2575"/>
      <c r="K27" s="1065"/>
      <c r="L27" s="1065"/>
      <c r="M27" s="2575"/>
      <c r="N27" s="2575"/>
      <c r="O27" s="2575"/>
      <c r="P27" s="2575"/>
      <c r="Q27" s="2575"/>
      <c r="R27" s="2575"/>
      <c r="S27" s="2575"/>
      <c r="T27" s="2575"/>
      <c r="U27" s="2575"/>
      <c r="V27" s="2575"/>
      <c r="W27" s="2575"/>
      <c r="X27" s="2575"/>
      <c r="Y27" s="2575"/>
      <c r="Z27" s="2575"/>
      <c r="AA27" s="2575"/>
      <c r="AB27" s="2575"/>
      <c r="AC27" s="2575"/>
      <c r="AD27" s="2575"/>
      <c r="AE27" s="2575"/>
      <c r="AF27" s="2575"/>
      <c r="AG27" s="2575"/>
      <c r="AH27" s="2575"/>
      <c r="AI27" s="2575"/>
      <c r="AJ27" s="2575"/>
      <c r="AK27" s="2575"/>
      <c r="AL27" s="2575"/>
      <c r="AM27" s="2575"/>
      <c r="AN27" s="2575"/>
      <c r="AO27" s="2575"/>
      <c r="AP27" s="2575"/>
      <c r="AQ27" s="2575"/>
      <c r="AR27" s="2575"/>
      <c r="AS27" s="2510"/>
      <c r="AT27" s="2510"/>
      <c r="AU27" s="2510"/>
      <c r="AV27" s="2510"/>
      <c r="AW27" s="2510"/>
      <c r="AX27" s="2510"/>
      <c r="AY27" s="2510"/>
      <c r="AZ27" s="2510"/>
      <c r="BA27" s="2510"/>
      <c r="BB27" s="2510"/>
      <c r="BC27" s="2510"/>
      <c r="BD27" s="2510"/>
      <c r="BE27" s="2510"/>
      <c r="BF27" s="2510"/>
      <c r="BG27" s="2510"/>
      <c r="BH27" s="2510"/>
      <c r="BI27" s="2510"/>
      <c r="BJ27" s="2510"/>
      <c r="BK27" s="2510"/>
      <c r="BL27" s="2510"/>
      <c r="BM27" s="2510"/>
      <c r="BN27" s="2510"/>
      <c r="BO27" s="2510"/>
    </row>
    <row r="28" spans="1:67" s="2565" customFormat="1" ht="27.75">
      <c r="A28" s="2691" t="s">
        <v>730</v>
      </c>
      <c r="B28" s="2692">
        <v>200</v>
      </c>
      <c r="C28" s="2693"/>
      <c r="D28" s="2690"/>
      <c r="E28" s="1065"/>
      <c r="F28" s="1065"/>
      <c r="G28" s="2575"/>
      <c r="H28" s="2575"/>
      <c r="I28" s="2575"/>
      <c r="J28" s="2575"/>
      <c r="K28" s="1065"/>
      <c r="L28" s="106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c r="AL28" s="2575"/>
      <c r="AM28" s="2575"/>
      <c r="AN28" s="2575"/>
      <c r="AO28" s="2575"/>
      <c r="AP28" s="2575"/>
      <c r="AQ28" s="2575"/>
      <c r="AR28" s="2575"/>
      <c r="AS28" s="2510"/>
      <c r="AT28" s="2510"/>
      <c r="AU28" s="2510"/>
      <c r="AV28" s="2510"/>
      <c r="AW28" s="2510"/>
      <c r="AX28" s="2510"/>
      <c r="AY28" s="2510"/>
      <c r="AZ28" s="2510"/>
      <c r="BA28" s="2510"/>
      <c r="BB28" s="2510"/>
      <c r="BC28" s="2510"/>
      <c r="BD28" s="2510"/>
      <c r="BE28" s="2510"/>
      <c r="BF28" s="2510"/>
      <c r="BG28" s="2510"/>
      <c r="BH28" s="2510"/>
      <c r="BI28" s="2510"/>
      <c r="BJ28" s="2510"/>
      <c r="BK28" s="2510"/>
      <c r="BL28" s="2510"/>
      <c r="BM28" s="2510"/>
      <c r="BN28" s="2510"/>
      <c r="BO28" s="2510"/>
    </row>
    <row r="29" spans="1:67" s="2565" customFormat="1" ht="27.75">
      <c r="A29" s="2694" t="s">
        <v>731</v>
      </c>
      <c r="B29" s="2695">
        <f ca="1">成本法!C10</f>
        <v>1012</v>
      </c>
      <c r="C29" s="2696" t="s">
        <v>732</v>
      </c>
      <c r="D29" s="2690"/>
      <c r="E29" s="1065"/>
      <c r="F29" s="1065"/>
      <c r="G29" s="2575"/>
      <c r="H29" s="2575"/>
      <c r="I29" s="2575"/>
      <c r="J29" s="2575"/>
      <c r="K29" s="1065"/>
      <c r="L29" s="1065"/>
      <c r="M29" s="2575"/>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c r="AL29" s="2575"/>
      <c r="AM29" s="2575"/>
      <c r="AN29" s="2575"/>
      <c r="AO29" s="2575"/>
      <c r="AP29" s="2575"/>
      <c r="AQ29" s="2575"/>
      <c r="AR29" s="2575"/>
      <c r="AS29" s="2510"/>
      <c r="AT29" s="2510"/>
      <c r="AU29" s="2510"/>
      <c r="AV29" s="2510"/>
      <c r="AW29" s="2510"/>
      <c r="AX29" s="2510"/>
      <c r="AY29" s="2510"/>
      <c r="AZ29" s="2510"/>
      <c r="BA29" s="2510"/>
      <c r="BB29" s="2510"/>
      <c r="BC29" s="2510"/>
      <c r="BD29" s="2510"/>
      <c r="BE29" s="2510"/>
      <c r="BF29" s="2510"/>
      <c r="BG29" s="2510"/>
      <c r="BH29" s="2510"/>
      <c r="BI29" s="2510"/>
      <c r="BJ29" s="2510"/>
      <c r="BK29" s="2510"/>
      <c r="BL29" s="2510"/>
      <c r="BM29" s="2510"/>
      <c r="BN29" s="2510"/>
      <c r="BO29" s="2510"/>
    </row>
    <row r="30" spans="1:67" s="2565" customFormat="1" ht="27">
      <c r="A30" s="2697" t="s">
        <v>733</v>
      </c>
      <c r="B30" s="2698">
        <v>200</v>
      </c>
      <c r="C30" s="2693"/>
      <c r="D30" s="2690"/>
      <c r="E30" s="1065"/>
      <c r="F30" s="1065"/>
      <c r="G30" s="2575"/>
      <c r="H30" s="2575"/>
      <c r="I30" s="2575"/>
      <c r="J30" s="2575"/>
      <c r="K30" s="1065"/>
      <c r="L30" s="106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c r="AN30" s="2575"/>
      <c r="AO30" s="2575"/>
      <c r="AP30" s="2575"/>
      <c r="AQ30" s="2575"/>
      <c r="AR30" s="2575"/>
      <c r="AS30" s="2510"/>
      <c r="AT30" s="2510"/>
      <c r="AU30" s="2510"/>
      <c r="AV30" s="2510"/>
      <c r="AW30" s="2510"/>
      <c r="AX30" s="2510"/>
      <c r="AY30" s="2510"/>
      <c r="AZ30" s="2510"/>
      <c r="BA30" s="2510"/>
      <c r="BB30" s="2510"/>
      <c r="BC30" s="2510"/>
      <c r="BD30" s="2510"/>
      <c r="BE30" s="2510"/>
      <c r="BF30" s="2510"/>
      <c r="BG30" s="2510"/>
      <c r="BH30" s="2510"/>
      <c r="BI30" s="2510"/>
      <c r="BJ30" s="2510"/>
      <c r="BK30" s="2510"/>
      <c r="BL30" s="2510"/>
      <c r="BM30" s="2510"/>
      <c r="BN30" s="2510"/>
      <c r="BO30" s="2510"/>
    </row>
    <row r="31" spans="1:67" s="2565" customFormat="1" ht="27">
      <c r="A31" s="2691" t="s">
        <v>734</v>
      </c>
      <c r="B31" s="2699">
        <f>B30-B32</f>
        <v>200</v>
      </c>
      <c r="C31" s="2700"/>
      <c r="D31" s="2690"/>
      <c r="E31" s="1065"/>
      <c r="F31" s="1065"/>
      <c r="G31" s="2575"/>
      <c r="H31" s="2575"/>
      <c r="I31" s="2575"/>
      <c r="J31" s="2575"/>
      <c r="K31" s="1065"/>
      <c r="L31" s="1065"/>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2575"/>
      <c r="AO31" s="2575"/>
      <c r="AP31" s="2575"/>
      <c r="AQ31" s="2575"/>
      <c r="AR31" s="2575"/>
      <c r="AS31" s="2510"/>
      <c r="AT31" s="2510"/>
      <c r="AU31" s="2510"/>
      <c r="AV31" s="2510"/>
      <c r="AW31" s="2510"/>
      <c r="AX31" s="2510"/>
      <c r="AY31" s="2510"/>
      <c r="AZ31" s="2510"/>
      <c r="BA31" s="2510"/>
      <c r="BB31" s="2510"/>
      <c r="BC31" s="2510"/>
      <c r="BD31" s="2510"/>
      <c r="BE31" s="2510"/>
      <c r="BF31" s="2510"/>
      <c r="BG31" s="2510"/>
      <c r="BH31" s="2510"/>
      <c r="BI31" s="2510"/>
      <c r="BJ31" s="2510"/>
      <c r="BK31" s="2510"/>
      <c r="BL31" s="2510"/>
      <c r="BM31" s="2510"/>
      <c r="BN31" s="2510"/>
      <c r="BO31" s="2510"/>
    </row>
    <row r="32" spans="1:67" s="2565" customFormat="1" ht="27">
      <c r="A32" s="2701" t="s">
        <v>735</v>
      </c>
      <c r="B32" s="2702">
        <v>0</v>
      </c>
      <c r="C32" s="2693"/>
      <c r="D32" s="2673"/>
      <c r="E32" s="2575"/>
      <c r="F32" s="2575"/>
      <c r="G32" s="2575"/>
      <c r="H32" s="2575"/>
      <c r="I32" s="2575"/>
      <c r="J32" s="2575"/>
      <c r="K32" s="1065"/>
      <c r="L32" s="1065"/>
      <c r="M32" s="2575"/>
      <c r="N32" s="2575"/>
      <c r="O32" s="2575"/>
      <c r="P32" s="2575"/>
      <c r="Q32" s="2575"/>
      <c r="R32" s="2575"/>
      <c r="S32" s="2575"/>
      <c r="T32" s="2575"/>
      <c r="U32" s="2575"/>
      <c r="V32" s="2575"/>
      <c r="W32" s="2575"/>
      <c r="X32" s="2575"/>
      <c r="Y32" s="2575"/>
      <c r="Z32" s="2575"/>
      <c r="AA32" s="2575"/>
      <c r="AB32" s="2575"/>
      <c r="AC32" s="2575"/>
      <c r="AD32" s="2575"/>
      <c r="AE32" s="2575"/>
      <c r="AF32" s="2575"/>
      <c r="AG32" s="2575"/>
      <c r="AH32" s="2575"/>
      <c r="AI32" s="2575"/>
      <c r="AJ32" s="2575"/>
      <c r="AK32" s="2575"/>
      <c r="AL32" s="2575"/>
      <c r="AM32" s="2575"/>
      <c r="AN32" s="2575"/>
      <c r="AO32" s="2575"/>
      <c r="AP32" s="2575"/>
      <c r="AQ32" s="2575"/>
      <c r="AR32" s="2575"/>
      <c r="AS32" s="2510"/>
      <c r="AT32" s="2510"/>
      <c r="AU32" s="2510"/>
      <c r="AV32" s="2510"/>
      <c r="AW32" s="2510"/>
      <c r="AX32" s="2510"/>
      <c r="AY32" s="2510"/>
      <c r="AZ32" s="2510"/>
      <c r="BA32" s="2510"/>
      <c r="BB32" s="2510"/>
      <c r="BC32" s="2510"/>
      <c r="BD32" s="2510"/>
      <c r="BE32" s="2510"/>
      <c r="BF32" s="2510"/>
      <c r="BG32" s="2510"/>
      <c r="BH32" s="2510"/>
      <c r="BI32" s="2510"/>
      <c r="BJ32" s="2510"/>
      <c r="BK32" s="2510"/>
      <c r="BL32" s="2510"/>
      <c r="BM32" s="2510"/>
      <c r="BN32" s="2510"/>
      <c r="BO32" s="2510"/>
    </row>
    <row r="33" spans="1:67" s="2565" customFormat="1" ht="14.25">
      <c r="A33" s="2687" t="s">
        <v>736</v>
      </c>
      <c r="B33" s="2703">
        <v>0.05</v>
      </c>
      <c r="C33" s="2679" t="s">
        <v>737</v>
      </c>
      <c r="D33" s="2673"/>
      <c r="E33" s="2575"/>
      <c r="F33" s="2575"/>
      <c r="G33" s="2575"/>
      <c r="H33" s="2575"/>
      <c r="I33" s="2575"/>
      <c r="J33" s="2575"/>
      <c r="K33" s="1065"/>
      <c r="L33" s="106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10"/>
      <c r="AT33" s="2510"/>
      <c r="AU33" s="2510"/>
      <c r="AV33" s="2510"/>
      <c r="AW33" s="2510"/>
      <c r="AX33" s="2510"/>
      <c r="AY33" s="2510"/>
      <c r="AZ33" s="2510"/>
      <c r="BA33" s="2510"/>
      <c r="BB33" s="2510"/>
      <c r="BC33" s="2510"/>
      <c r="BD33" s="2510"/>
      <c r="BE33" s="2510"/>
      <c r="BF33" s="2510"/>
      <c r="BG33" s="2510"/>
      <c r="BH33" s="2510"/>
      <c r="BI33" s="2510"/>
      <c r="BJ33" s="2510"/>
      <c r="BK33" s="2510"/>
      <c r="BL33" s="2510"/>
      <c r="BM33" s="2510"/>
      <c r="BN33" s="2510"/>
      <c r="BO33" s="2510"/>
    </row>
    <row r="34" spans="1:67" s="2565" customFormat="1" ht="14.25">
      <c r="A34" s="2691" t="s">
        <v>738</v>
      </c>
      <c r="B34" s="2637">
        <v>0</v>
      </c>
      <c r="C34" s="2679" t="s">
        <v>739</v>
      </c>
      <c r="D34" s="2704" t="s">
        <v>740</v>
      </c>
      <c r="E34" s="2672"/>
      <c r="F34" s="2575"/>
      <c r="G34" s="2575"/>
      <c r="H34" s="2575"/>
      <c r="I34" s="2575"/>
      <c r="J34" s="2575"/>
      <c r="K34" s="1065"/>
      <c r="L34" s="1065"/>
      <c r="M34" s="2575"/>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575"/>
      <c r="AL34" s="2575"/>
      <c r="AM34" s="2575"/>
      <c r="AN34" s="2575"/>
      <c r="AO34" s="2575"/>
      <c r="AP34" s="2575"/>
      <c r="AQ34" s="2575"/>
      <c r="AR34" s="2575"/>
      <c r="AS34" s="2510"/>
      <c r="AT34" s="2510"/>
      <c r="AU34" s="2510"/>
      <c r="AV34" s="2510"/>
      <c r="AW34" s="2510"/>
      <c r="AX34" s="2510"/>
      <c r="AY34" s="2510"/>
      <c r="AZ34" s="2510"/>
      <c r="BA34" s="2510"/>
      <c r="BB34" s="2510"/>
      <c r="BC34" s="2510"/>
      <c r="BD34" s="2510"/>
      <c r="BE34" s="2510"/>
      <c r="BF34" s="2510"/>
      <c r="BG34" s="2510"/>
      <c r="BH34" s="2510"/>
      <c r="BI34" s="2510"/>
      <c r="BJ34" s="2510"/>
      <c r="BK34" s="2510"/>
      <c r="BL34" s="2510"/>
      <c r="BM34" s="2510"/>
      <c r="BN34" s="2510"/>
      <c r="BO34" s="2510"/>
    </row>
    <row r="35" spans="1:67" s="2565" customFormat="1" ht="14.25">
      <c r="A35" s="2691" t="s">
        <v>741</v>
      </c>
      <c r="B35" s="2692">
        <v>200</v>
      </c>
      <c r="C35" s="2679" t="s">
        <v>742</v>
      </c>
      <c r="D35" s="2690"/>
      <c r="E35" s="1065"/>
      <c r="F35" s="1065"/>
      <c r="G35" s="2575"/>
      <c r="H35" s="2575"/>
      <c r="I35" s="2575"/>
      <c r="J35" s="2575"/>
      <c r="K35" s="1065"/>
      <c r="L35" s="1065"/>
      <c r="M35" s="2575"/>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R35" s="2575"/>
      <c r="AS35" s="2510"/>
      <c r="AT35" s="2510"/>
      <c r="AU35" s="2510"/>
      <c r="AV35" s="2510"/>
      <c r="AW35" s="2510"/>
      <c r="AX35" s="2510"/>
      <c r="AY35" s="2510"/>
      <c r="AZ35" s="2510"/>
      <c r="BA35" s="2510"/>
      <c r="BB35" s="2510"/>
      <c r="BC35" s="2510"/>
      <c r="BD35" s="2510"/>
      <c r="BE35" s="2510"/>
      <c r="BF35" s="2510"/>
      <c r="BG35" s="2510"/>
      <c r="BH35" s="2510"/>
      <c r="BI35" s="2510"/>
      <c r="BJ35" s="2510"/>
      <c r="BK35" s="2510"/>
      <c r="BL35" s="2510"/>
      <c r="BM35" s="2510"/>
      <c r="BN35" s="2510"/>
      <c r="BO35" s="2510"/>
    </row>
    <row r="36" spans="1:67" s="2565" customFormat="1" ht="14.25">
      <c r="A36" s="2694" t="s">
        <v>743</v>
      </c>
      <c r="B36" s="2705">
        <v>0.02</v>
      </c>
      <c r="C36" s="2679" t="s">
        <v>744</v>
      </c>
      <c r="D36" s="2673"/>
      <c r="E36" s="2575"/>
      <c r="F36" s="2575"/>
      <c r="G36" s="2575"/>
      <c r="H36" s="2575"/>
      <c r="I36" s="2575"/>
      <c r="J36" s="2575"/>
      <c r="K36" s="1065"/>
      <c r="L36" s="1065"/>
      <c r="M36" s="2575"/>
      <c r="N36" s="2575"/>
      <c r="O36" s="2575"/>
      <c r="P36" s="2575"/>
      <c r="Q36" s="2575"/>
      <c r="R36" s="2575"/>
      <c r="S36" s="2575"/>
      <c r="T36" s="2575"/>
      <c r="U36" s="2575"/>
      <c r="V36" s="2575"/>
      <c r="W36" s="2575"/>
      <c r="X36" s="2575"/>
      <c r="Y36" s="2575"/>
      <c r="Z36" s="2575"/>
      <c r="AA36" s="2575"/>
      <c r="AB36" s="2575"/>
      <c r="AC36" s="2575"/>
      <c r="AD36" s="2575"/>
      <c r="AE36" s="2575"/>
      <c r="AF36" s="2575"/>
      <c r="AG36" s="2575"/>
      <c r="AH36" s="2575"/>
      <c r="AI36" s="2575"/>
      <c r="AJ36" s="2575"/>
      <c r="AK36" s="2575"/>
      <c r="AL36" s="2575"/>
      <c r="AM36" s="2575"/>
      <c r="AN36" s="2575"/>
      <c r="AO36" s="2575"/>
      <c r="AP36" s="2575"/>
      <c r="AQ36" s="2575"/>
      <c r="AR36" s="2575"/>
      <c r="AS36" s="2510"/>
      <c r="AT36" s="2510"/>
      <c r="AU36" s="2510"/>
      <c r="AV36" s="2510"/>
      <c r="AW36" s="2510"/>
      <c r="AX36" s="2510"/>
      <c r="AY36" s="2510"/>
      <c r="AZ36" s="2510"/>
      <c r="BA36" s="2510"/>
      <c r="BB36" s="2510"/>
      <c r="BC36" s="2510"/>
      <c r="BD36" s="2510"/>
      <c r="BE36" s="2510"/>
      <c r="BF36" s="2510"/>
      <c r="BG36" s="2510"/>
      <c r="BH36" s="2510"/>
      <c r="BI36" s="2510"/>
      <c r="BJ36" s="2510"/>
      <c r="BK36" s="2510"/>
      <c r="BL36" s="2510"/>
      <c r="BM36" s="2510"/>
      <c r="BN36" s="2510"/>
      <c r="BO36" s="2510"/>
    </row>
    <row r="37" spans="1:67" s="2565" customFormat="1" ht="14.25">
      <c r="A37" s="2697" t="s">
        <v>745</v>
      </c>
      <c r="B37" s="2706">
        <v>0.02</v>
      </c>
      <c r="C37" s="2679" t="s">
        <v>746</v>
      </c>
      <c r="D37" s="2673"/>
      <c r="E37" s="2575"/>
      <c r="F37" s="2575"/>
      <c r="G37" s="2575"/>
      <c r="H37" s="2575"/>
      <c r="I37" s="2575"/>
      <c r="J37" s="2575"/>
      <c r="K37" s="1065"/>
      <c r="L37" s="1065"/>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5"/>
      <c r="AP37" s="2575"/>
      <c r="AQ37" s="2575"/>
      <c r="AR37" s="2575"/>
      <c r="AS37" s="2510"/>
      <c r="AT37" s="2510"/>
      <c r="AU37" s="2510"/>
      <c r="AV37" s="2510"/>
      <c r="AW37" s="2510"/>
      <c r="AX37" s="2510"/>
      <c r="AY37" s="2510"/>
      <c r="AZ37" s="2510"/>
      <c r="BA37" s="2510"/>
      <c r="BB37" s="2510"/>
      <c r="BC37" s="2510"/>
      <c r="BD37" s="2510"/>
      <c r="BE37" s="2510"/>
      <c r="BF37" s="2510"/>
      <c r="BG37" s="2510"/>
      <c r="BH37" s="2510"/>
      <c r="BI37" s="2510"/>
      <c r="BJ37" s="2510"/>
      <c r="BK37" s="2510"/>
      <c r="BL37" s="2510"/>
      <c r="BM37" s="2510"/>
      <c r="BN37" s="2510"/>
      <c r="BO37" s="2510"/>
    </row>
    <row r="38" spans="1:67" s="2565" customFormat="1" ht="14.25">
      <c r="A38" s="2691" t="s">
        <v>747</v>
      </c>
      <c r="B38" s="2637">
        <v>0.02</v>
      </c>
      <c r="C38" s="2679" t="s">
        <v>748</v>
      </c>
      <c r="D38" s="2673"/>
      <c r="E38" s="2575"/>
      <c r="F38" s="2575"/>
      <c r="G38" s="2575"/>
      <c r="H38" s="2575"/>
      <c r="I38" s="2575"/>
      <c r="J38" s="2575"/>
      <c r="K38" s="1065"/>
      <c r="L38" s="106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10"/>
      <c r="AT38" s="2510"/>
      <c r="AU38" s="2510"/>
      <c r="AV38" s="2510"/>
      <c r="AW38" s="2510"/>
      <c r="AX38" s="2510"/>
      <c r="AY38" s="2510"/>
      <c r="AZ38" s="2510"/>
      <c r="BA38" s="2510"/>
      <c r="BB38" s="2510"/>
      <c r="BC38" s="2510"/>
      <c r="BD38" s="2510"/>
      <c r="BE38" s="2510"/>
      <c r="BF38" s="2510"/>
      <c r="BG38" s="2510"/>
      <c r="BH38" s="2510"/>
      <c r="BI38" s="2510"/>
      <c r="BJ38" s="2510"/>
      <c r="BK38" s="2510"/>
      <c r="BL38" s="2510"/>
      <c r="BM38" s="2510"/>
      <c r="BN38" s="2510"/>
      <c r="BO38" s="2510"/>
    </row>
    <row r="39" spans="1:67" s="2565" customFormat="1" ht="14.25">
      <c r="A39" s="2701" t="s">
        <v>749</v>
      </c>
      <c r="B39" s="2707">
        <f ca="1">存贷款利率!I1</f>
        <v>1.4999999999999999E-2</v>
      </c>
      <c r="C39" s="2708"/>
      <c r="D39" s="2673"/>
      <c r="E39" s="2575"/>
      <c r="F39" s="2575"/>
      <c r="G39" s="2575"/>
      <c r="H39" s="2575"/>
      <c r="I39" s="2575"/>
      <c r="J39" s="2575"/>
      <c r="K39" s="1065"/>
      <c r="L39" s="1065"/>
      <c r="M39" s="2575"/>
      <c r="N39" s="2575"/>
      <c r="O39" s="2575"/>
      <c r="P39" s="2575"/>
      <c r="Q39" s="2575"/>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2510"/>
    </row>
    <row r="40" spans="1:67" s="2565" customFormat="1" ht="14.25">
      <c r="A40" s="2709" t="s">
        <v>750</v>
      </c>
      <c r="B40" s="2710">
        <f ca="1">IF(A40="利息：取LPR",存贷款利率!G1,存贷款利率!G1+C40)</f>
        <v>3.1300000000000001E-2</v>
      </c>
      <c r="C40" s="2711"/>
      <c r="D40" s="2575"/>
      <c r="E40" s="2673"/>
      <c r="F40" s="2575"/>
      <c r="G40" s="2575"/>
      <c r="H40" s="2575"/>
      <c r="I40" s="2575"/>
      <c r="J40" s="2575"/>
      <c r="K40" s="1065"/>
      <c r="L40" s="1065"/>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5"/>
      <c r="AP40" s="2575"/>
      <c r="AQ40" s="2575"/>
      <c r="AR40" s="2575"/>
      <c r="AS40" s="2510"/>
      <c r="AT40" s="2510"/>
      <c r="AU40" s="2510"/>
      <c r="AV40" s="2510"/>
      <c r="AW40" s="2510"/>
      <c r="AX40" s="2510"/>
      <c r="AY40" s="2510"/>
      <c r="AZ40" s="2510"/>
      <c r="BA40" s="2510"/>
      <c r="BB40" s="2510"/>
      <c r="BC40" s="2510"/>
      <c r="BD40" s="2510"/>
      <c r="BE40" s="2510"/>
      <c r="BF40" s="2510"/>
      <c r="BG40" s="2510"/>
      <c r="BH40" s="2510"/>
      <c r="BI40" s="2510"/>
      <c r="BJ40" s="2510"/>
      <c r="BK40" s="2510"/>
      <c r="BL40" s="2510"/>
      <c r="BM40" s="2510"/>
      <c r="BN40" s="2510"/>
      <c r="BO40" s="2510"/>
    </row>
    <row r="41" spans="1:67" s="2565" customFormat="1" ht="14.25">
      <c r="A41" s="2687" t="s">
        <v>751</v>
      </c>
      <c r="B41" s="2712">
        <f>B42+B43</f>
        <v>5.6000000000000001E-2</v>
      </c>
      <c r="C41" s="2700"/>
      <c r="D41" s="2575"/>
      <c r="E41" s="2673"/>
      <c r="F41" s="2575"/>
      <c r="G41" s="2575"/>
      <c r="H41" s="2575"/>
      <c r="I41" s="2575"/>
      <c r="J41" s="2575"/>
      <c r="K41" s="1065"/>
      <c r="L41" s="1065"/>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c r="AS41" s="2510"/>
      <c r="AT41" s="2510"/>
      <c r="AU41" s="2510"/>
      <c r="AV41" s="2510"/>
      <c r="AW41" s="2510"/>
      <c r="AX41" s="2510"/>
      <c r="AY41" s="2510"/>
      <c r="AZ41" s="2510"/>
      <c r="BA41" s="2510"/>
      <c r="BB41" s="2510"/>
      <c r="BC41" s="2510"/>
      <c r="BD41" s="2510"/>
      <c r="BE41" s="2510"/>
      <c r="BF41" s="2510"/>
      <c r="BG41" s="2510"/>
      <c r="BH41" s="2510"/>
      <c r="BI41" s="2510"/>
      <c r="BJ41" s="2510"/>
      <c r="BK41" s="2510"/>
      <c r="BL41" s="2510"/>
      <c r="BM41" s="2510"/>
      <c r="BN41" s="2510"/>
      <c r="BO41" s="2510"/>
    </row>
    <row r="42" spans="1:67" s="2565" customFormat="1" ht="14.25">
      <c r="A42" s="2713" t="s">
        <v>752</v>
      </c>
      <c r="B42" s="2714">
        <v>0.05</v>
      </c>
      <c r="C42" s="2715">
        <f>IF(B2&lt;DATE(2016,5,1),0,B42)</f>
        <v>0.05</v>
      </c>
      <c r="D42" s="2673"/>
      <c r="E42" s="2575"/>
      <c r="F42" s="2575"/>
      <c r="G42" s="2575"/>
      <c r="H42" s="2575"/>
      <c r="I42" s="2575"/>
      <c r="J42" s="2575"/>
      <c r="K42" s="1065"/>
      <c r="L42" s="1065"/>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c r="AS42" s="2510"/>
      <c r="AT42" s="2510"/>
      <c r="AU42" s="2510"/>
      <c r="AV42" s="2510"/>
      <c r="AW42" s="2510"/>
      <c r="AX42" s="2510"/>
      <c r="AY42" s="2510"/>
      <c r="AZ42" s="2510"/>
      <c r="BA42" s="2510"/>
      <c r="BB42" s="2510"/>
      <c r="BC42" s="2510"/>
      <c r="BD42" s="2510"/>
      <c r="BE42" s="2510"/>
      <c r="BF42" s="2510"/>
      <c r="BG42" s="2510"/>
      <c r="BH42" s="2510"/>
      <c r="BI42" s="2510"/>
      <c r="BJ42" s="2510"/>
      <c r="BK42" s="2510"/>
      <c r="BL42" s="2510"/>
      <c r="BM42" s="2510"/>
      <c r="BN42" s="2510"/>
      <c r="BO42" s="2510"/>
    </row>
    <row r="43" spans="1:67" s="2565" customFormat="1" ht="14.25">
      <c r="A43" s="2713" t="s">
        <v>753</v>
      </c>
      <c r="B43" s="2716">
        <f>B42*(B44+B45+B46)+B47</f>
        <v>6.0000000000000001E-3</v>
      </c>
      <c r="C43" s="2700"/>
      <c r="D43" s="2673"/>
      <c r="E43" s="2575"/>
      <c r="F43" s="2575"/>
      <c r="G43" s="2575"/>
      <c r="H43" s="2575"/>
      <c r="I43" s="2575"/>
      <c r="J43" s="2575"/>
      <c r="K43" s="1065"/>
      <c r="L43" s="1065"/>
      <c r="M43" s="2575"/>
      <c r="N43" s="2575"/>
      <c r="O43" s="2575"/>
      <c r="P43" s="2575"/>
      <c r="Q43" s="2575"/>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5"/>
      <c r="AP43" s="2575"/>
      <c r="AQ43" s="2575"/>
      <c r="AR43" s="2575"/>
      <c r="AS43" s="2510"/>
      <c r="AT43" s="2510"/>
      <c r="AU43" s="2510"/>
      <c r="AV43" s="2510"/>
      <c r="AW43" s="2510"/>
      <c r="AX43" s="2510"/>
      <c r="AY43" s="2510"/>
      <c r="AZ43" s="2510"/>
      <c r="BA43" s="2510"/>
      <c r="BB43" s="2510"/>
      <c r="BC43" s="2510"/>
      <c r="BD43" s="2510"/>
      <c r="BE43" s="2510"/>
      <c r="BF43" s="2510"/>
      <c r="BG43" s="2510"/>
      <c r="BH43" s="2510"/>
      <c r="BI43" s="2510"/>
      <c r="BJ43" s="2510"/>
      <c r="BK43" s="2510"/>
      <c r="BL43" s="2510"/>
      <c r="BM43" s="2510"/>
      <c r="BN43" s="2510"/>
      <c r="BO43" s="2510"/>
    </row>
    <row r="44" spans="1:67" s="2565" customFormat="1" ht="14.25">
      <c r="A44" s="2717" t="s">
        <v>754</v>
      </c>
      <c r="B44" s="2718">
        <v>7.0000000000000007E-2</v>
      </c>
      <c r="C44" s="2679" t="s">
        <v>755</v>
      </c>
      <c r="D44" s="2673"/>
      <c r="E44" s="2575"/>
      <c r="F44" s="2575"/>
      <c r="G44" s="2575"/>
      <c r="H44" s="2575"/>
      <c r="I44" s="2575"/>
      <c r="J44" s="2575"/>
      <c r="K44" s="1065"/>
      <c r="L44" s="106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2510"/>
    </row>
    <row r="45" spans="1:67" s="2565" customFormat="1" ht="14.25">
      <c r="A45" s="2717" t="s">
        <v>756</v>
      </c>
      <c r="B45" s="2714">
        <v>0.03</v>
      </c>
      <c r="C45" s="2696" t="s">
        <v>757</v>
      </c>
      <c r="D45" s="2673"/>
      <c r="E45" s="2575"/>
      <c r="F45" s="2575"/>
      <c r="G45" s="2575"/>
      <c r="H45" s="2575"/>
      <c r="I45" s="2575"/>
      <c r="J45" s="2575"/>
      <c r="K45" s="1065"/>
      <c r="L45" s="1065"/>
      <c r="M45" s="2575"/>
      <c r="N45" s="2575"/>
      <c r="O45" s="2575"/>
      <c r="P45" s="2575"/>
      <c r="Q45" s="2575"/>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5"/>
      <c r="AP45" s="2575"/>
      <c r="AQ45" s="2575"/>
      <c r="AR45" s="2575"/>
      <c r="AS45" s="2510"/>
      <c r="AT45" s="2510"/>
      <c r="AU45" s="2510"/>
      <c r="AV45" s="2510"/>
      <c r="AW45" s="2510"/>
      <c r="AX45" s="2510"/>
      <c r="AY45" s="2510"/>
      <c r="AZ45" s="2510"/>
      <c r="BA45" s="2510"/>
      <c r="BB45" s="2510"/>
      <c r="BC45" s="2510"/>
      <c r="BD45" s="2510"/>
      <c r="BE45" s="2510"/>
      <c r="BF45" s="2510"/>
      <c r="BG45" s="2510"/>
      <c r="BH45" s="2510"/>
      <c r="BI45" s="2510"/>
      <c r="BJ45" s="2510"/>
      <c r="BK45" s="2510"/>
      <c r="BL45" s="2510"/>
      <c r="BM45" s="2510"/>
      <c r="BN45" s="2510"/>
      <c r="BO45" s="2510"/>
    </row>
    <row r="46" spans="1:67" s="2565" customFormat="1" ht="14.25">
      <c r="A46" s="2717" t="s">
        <v>758</v>
      </c>
      <c r="B46" s="2714">
        <v>0.02</v>
      </c>
      <c r="C46" s="2696" t="s">
        <v>759</v>
      </c>
      <c r="D46" s="2673"/>
      <c r="E46" s="2575"/>
      <c r="F46" s="2575"/>
      <c r="G46" s="2575"/>
      <c r="H46" s="2575"/>
      <c r="I46" s="2575"/>
      <c r="J46" s="2575"/>
      <c r="K46" s="1065"/>
      <c r="L46" s="1065"/>
      <c r="M46" s="2575"/>
      <c r="N46" s="2575"/>
      <c r="O46" s="2575"/>
      <c r="P46" s="2575"/>
      <c r="Q46" s="2575"/>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5"/>
      <c r="AP46" s="2575"/>
      <c r="AQ46" s="2575"/>
      <c r="AR46" s="2575"/>
      <c r="AS46" s="2510"/>
      <c r="AT46" s="2510"/>
      <c r="AU46" s="2510"/>
      <c r="AV46" s="2510"/>
      <c r="AW46" s="2510"/>
      <c r="AX46" s="2510"/>
      <c r="AY46" s="2510"/>
      <c r="AZ46" s="2510"/>
      <c r="BA46" s="2510"/>
      <c r="BB46" s="2510"/>
      <c r="BC46" s="2510"/>
      <c r="BD46" s="2510"/>
      <c r="BE46" s="2510"/>
      <c r="BF46" s="2510"/>
      <c r="BG46" s="2510"/>
      <c r="BH46" s="2510"/>
      <c r="BI46" s="2510"/>
      <c r="BJ46" s="2510"/>
      <c r="BK46" s="2510"/>
      <c r="BL46" s="2510"/>
      <c r="BM46" s="2510"/>
      <c r="BN46" s="2510"/>
      <c r="BO46" s="2510"/>
    </row>
    <row r="47" spans="1:67" s="2565" customFormat="1" ht="14.25">
      <c r="A47" s="2719" t="s">
        <v>760</v>
      </c>
      <c r="B47" s="2720">
        <v>0</v>
      </c>
      <c r="C47" s="2721" t="s">
        <v>761</v>
      </c>
      <c r="D47" s="2673"/>
      <c r="E47" s="2575"/>
      <c r="F47" s="2575"/>
      <c r="G47" s="2575"/>
      <c r="H47" s="2575"/>
      <c r="I47" s="2575"/>
      <c r="J47" s="2575"/>
      <c r="K47" s="1065"/>
      <c r="L47" s="1065"/>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2575"/>
      <c r="AS47" s="2510"/>
      <c r="AT47" s="2510"/>
      <c r="AU47" s="2510"/>
      <c r="AV47" s="2510"/>
      <c r="AW47" s="2510"/>
      <c r="AX47" s="2510"/>
      <c r="AY47" s="2510"/>
      <c r="AZ47" s="2510"/>
      <c r="BA47" s="2510"/>
      <c r="BB47" s="2510"/>
      <c r="BC47" s="2510"/>
      <c r="BD47" s="2510"/>
      <c r="BE47" s="2510"/>
      <c r="BF47" s="2510"/>
      <c r="BG47" s="2510"/>
      <c r="BH47" s="2510"/>
      <c r="BI47" s="2510"/>
      <c r="BJ47" s="2510"/>
      <c r="BK47" s="2510"/>
      <c r="BL47" s="2510"/>
      <c r="BM47" s="2510"/>
      <c r="BN47" s="2510"/>
      <c r="BO47" s="2510"/>
    </row>
    <row r="48" spans="1:67" s="2565" customFormat="1" ht="14.25">
      <c r="A48" s="2722" t="s">
        <v>762</v>
      </c>
      <c r="B48" s="2723">
        <v>0.03</v>
      </c>
      <c r="C48" s="2696" t="s">
        <v>757</v>
      </c>
      <c r="D48" s="2673"/>
      <c r="E48" s="2575"/>
      <c r="F48" s="2575"/>
      <c r="G48" s="2575"/>
      <c r="H48" s="2575"/>
      <c r="I48" s="2575"/>
      <c r="J48" s="2575"/>
      <c r="K48" s="1065"/>
      <c r="L48" s="1065"/>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575"/>
      <c r="AL48" s="2575"/>
      <c r="AM48" s="2575"/>
      <c r="AN48" s="2575"/>
      <c r="AO48" s="2575"/>
      <c r="AP48" s="2575"/>
      <c r="AQ48" s="2575"/>
      <c r="AR48" s="2575"/>
      <c r="AS48" s="2510"/>
      <c r="AT48" s="2510"/>
      <c r="AU48" s="2510"/>
      <c r="AV48" s="2510"/>
      <c r="AW48" s="2510"/>
      <c r="AX48" s="2510"/>
      <c r="AY48" s="2510"/>
      <c r="AZ48" s="2510"/>
      <c r="BA48" s="2510"/>
      <c r="BB48" s="2510"/>
      <c r="BC48" s="2510"/>
      <c r="BD48" s="2510"/>
      <c r="BE48" s="2510"/>
      <c r="BF48" s="2510"/>
      <c r="BG48" s="2510"/>
      <c r="BH48" s="2510"/>
      <c r="BI48" s="2510"/>
      <c r="BJ48" s="2510"/>
      <c r="BK48" s="2510"/>
      <c r="BL48" s="2510"/>
      <c r="BM48" s="2510"/>
      <c r="BN48" s="2510"/>
      <c r="BO48" s="2510"/>
    </row>
    <row r="49" spans="1:67" s="2565" customFormat="1" ht="14.25">
      <c r="A49" s="2701" t="s">
        <v>763</v>
      </c>
      <c r="B49" s="2714">
        <v>5.0000000000000001E-4</v>
      </c>
      <c r="C49" s="2696" t="s">
        <v>764</v>
      </c>
      <c r="D49" s="2673"/>
      <c r="E49" s="2575"/>
      <c r="F49" s="2575"/>
      <c r="G49" s="2575"/>
      <c r="H49" s="2575"/>
      <c r="I49" s="2575"/>
      <c r="J49" s="2575"/>
      <c r="K49" s="1065"/>
      <c r="L49" s="1065"/>
      <c r="M49" s="2575"/>
      <c r="N49" s="2575"/>
      <c r="O49" s="2575"/>
      <c r="P49" s="2575"/>
      <c r="Q49" s="2575"/>
      <c r="R49" s="2575"/>
      <c r="S49" s="2575"/>
      <c r="T49" s="2575"/>
      <c r="U49" s="2575"/>
      <c r="V49" s="2575"/>
      <c r="W49" s="2575"/>
      <c r="X49" s="2575"/>
      <c r="Y49" s="2575"/>
      <c r="Z49" s="2575"/>
      <c r="AA49" s="2575"/>
      <c r="AB49" s="2575"/>
      <c r="AC49" s="2575"/>
      <c r="AD49" s="2575"/>
      <c r="AE49" s="2575"/>
      <c r="AF49" s="2575"/>
      <c r="AG49" s="2575"/>
      <c r="AH49" s="2575"/>
      <c r="AI49" s="2575"/>
      <c r="AJ49" s="2575"/>
      <c r="AK49" s="2575"/>
      <c r="AL49" s="2575"/>
      <c r="AM49" s="2575"/>
      <c r="AN49" s="2575"/>
      <c r="AO49" s="2575"/>
      <c r="AP49" s="2575"/>
      <c r="AQ49" s="2575"/>
      <c r="AR49" s="2575"/>
      <c r="AS49" s="2510"/>
      <c r="AT49" s="2510"/>
      <c r="AU49" s="2510"/>
      <c r="AV49" s="2510"/>
      <c r="AW49" s="2510"/>
      <c r="AX49" s="2510"/>
      <c r="AY49" s="2510"/>
      <c r="AZ49" s="2510"/>
      <c r="BA49" s="2510"/>
      <c r="BB49" s="2510"/>
      <c r="BC49" s="2510"/>
      <c r="BD49" s="2510"/>
      <c r="BE49" s="2510"/>
      <c r="BF49" s="2510"/>
      <c r="BG49" s="2510"/>
      <c r="BH49" s="2510"/>
      <c r="BI49" s="2510"/>
      <c r="BJ49" s="2510"/>
      <c r="BK49" s="2510"/>
      <c r="BL49" s="2510"/>
      <c r="BM49" s="2510"/>
      <c r="BN49" s="2510"/>
      <c r="BO49" s="2510"/>
    </row>
    <row r="50" spans="1:67" s="2565" customFormat="1" ht="14.25">
      <c r="A50" s="2724" t="s">
        <v>765</v>
      </c>
      <c r="B50" s="2725">
        <v>1.2E-2</v>
      </c>
      <c r="C50" s="1065"/>
      <c r="D50" s="2673"/>
      <c r="E50" s="2575"/>
      <c r="F50" s="2575"/>
      <c r="G50" s="2575"/>
      <c r="H50" s="2575"/>
      <c r="I50" s="2575"/>
      <c r="J50" s="2575"/>
      <c r="K50" s="1065"/>
      <c r="L50" s="1065"/>
      <c r="M50" s="2575"/>
      <c r="N50" s="2575"/>
      <c r="O50" s="2575"/>
      <c r="P50" s="2575"/>
      <c r="Q50" s="2575"/>
      <c r="R50" s="2575"/>
      <c r="S50" s="2575"/>
      <c r="T50" s="2575"/>
      <c r="U50" s="2575"/>
      <c r="V50" s="2575"/>
      <c r="W50" s="2575"/>
      <c r="X50" s="2575"/>
      <c r="Y50" s="2575"/>
      <c r="Z50" s="2575"/>
      <c r="AA50" s="2575"/>
      <c r="AB50" s="2575"/>
      <c r="AC50" s="2575"/>
      <c r="AD50" s="2575"/>
      <c r="AE50" s="2575"/>
      <c r="AF50" s="2575"/>
      <c r="AG50" s="2575"/>
      <c r="AH50" s="2575"/>
      <c r="AI50" s="2575"/>
      <c r="AJ50" s="2575"/>
      <c r="AK50" s="2575"/>
      <c r="AL50" s="2575"/>
      <c r="AM50" s="2575"/>
      <c r="AN50" s="2575"/>
      <c r="AO50" s="2575"/>
      <c r="AP50" s="2575"/>
      <c r="AQ50" s="2575"/>
      <c r="AR50" s="2575"/>
      <c r="AS50" s="2510"/>
      <c r="AT50" s="2510"/>
      <c r="AU50" s="2510"/>
      <c r="AV50" s="2510"/>
      <c r="AW50" s="2510"/>
      <c r="AX50" s="2510"/>
      <c r="AY50" s="2510"/>
      <c r="AZ50" s="2510"/>
      <c r="BA50" s="2510"/>
      <c r="BB50" s="2510"/>
      <c r="BC50" s="2510"/>
      <c r="BD50" s="2510"/>
      <c r="BE50" s="2510"/>
      <c r="BF50" s="2510"/>
      <c r="BG50" s="2510"/>
      <c r="BH50" s="2510"/>
      <c r="BI50" s="2510"/>
      <c r="BJ50" s="2510"/>
      <c r="BK50" s="2510"/>
      <c r="BL50" s="2510"/>
      <c r="BM50" s="2510"/>
      <c r="BN50" s="2510"/>
      <c r="BO50" s="2510"/>
    </row>
    <row r="51" spans="1:67" s="2565" customFormat="1" ht="14.25">
      <c r="A51" s="2694" t="s">
        <v>766</v>
      </c>
      <c r="B51" s="2726">
        <v>0.12</v>
      </c>
      <c r="C51" s="1065"/>
      <c r="D51" s="2673"/>
      <c r="E51" s="2575"/>
      <c r="F51" s="2575"/>
      <c r="G51" s="2575"/>
      <c r="H51" s="2575"/>
      <c r="I51" s="2575"/>
      <c r="J51" s="2575"/>
      <c r="K51" s="1065"/>
      <c r="L51" s="1065"/>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5"/>
      <c r="AJ51" s="2575"/>
      <c r="AK51" s="2575"/>
      <c r="AL51" s="2575"/>
      <c r="AM51" s="2575"/>
      <c r="AN51" s="2575"/>
      <c r="AO51" s="2575"/>
      <c r="AP51" s="2575"/>
      <c r="AQ51" s="2575"/>
      <c r="AR51" s="2575"/>
      <c r="AS51" s="2510"/>
      <c r="AT51" s="2510"/>
      <c r="AU51" s="2510"/>
      <c r="AV51" s="2510"/>
      <c r="AW51" s="2510"/>
      <c r="AX51" s="2510"/>
      <c r="AY51" s="2510"/>
      <c r="AZ51" s="2510"/>
      <c r="BA51" s="2510"/>
      <c r="BB51" s="2510"/>
      <c r="BC51" s="2510"/>
      <c r="BD51" s="2510"/>
      <c r="BE51" s="2510"/>
      <c r="BF51" s="2510"/>
      <c r="BG51" s="2510"/>
      <c r="BH51" s="2510"/>
      <c r="BI51" s="2510"/>
      <c r="BJ51" s="2510"/>
      <c r="BK51" s="2510"/>
      <c r="BL51" s="2510"/>
      <c r="BM51" s="2510"/>
      <c r="BN51" s="2510"/>
      <c r="BO51" s="2510"/>
    </row>
    <row r="52" spans="1:67" s="2565" customFormat="1" ht="14.25">
      <c r="A52" s="2724" t="s">
        <v>767</v>
      </c>
      <c r="B52" s="2727">
        <f>SUMIF(A54:A63,B53,B54:B63)</f>
        <v>0</v>
      </c>
      <c r="C52" s="1065"/>
      <c r="D52" s="2673"/>
      <c r="E52" s="2575"/>
      <c r="F52" s="2575"/>
      <c r="G52" s="2575"/>
      <c r="H52" s="2575"/>
      <c r="I52" s="2575"/>
      <c r="J52" s="2575"/>
      <c r="K52" s="1065"/>
      <c r="L52" s="1065"/>
      <c r="M52" s="2575"/>
      <c r="N52" s="2575"/>
      <c r="O52" s="2575"/>
      <c r="P52" s="2575"/>
      <c r="Q52" s="2575"/>
      <c r="R52" s="2575"/>
      <c r="S52" s="2575"/>
      <c r="T52" s="2575"/>
      <c r="U52" s="2575"/>
      <c r="V52" s="2575"/>
      <c r="W52" s="2575"/>
      <c r="X52" s="2575"/>
      <c r="Y52" s="2575"/>
      <c r="Z52" s="2575"/>
      <c r="AA52" s="2575"/>
      <c r="AB52" s="2575"/>
      <c r="AC52" s="2575"/>
      <c r="AD52" s="2575"/>
      <c r="AE52" s="2575"/>
      <c r="AF52" s="2575"/>
      <c r="AG52" s="2575"/>
      <c r="AH52" s="2575"/>
      <c r="AI52" s="2575"/>
      <c r="AJ52" s="2575"/>
      <c r="AK52" s="2575"/>
      <c r="AL52" s="2575"/>
      <c r="AM52" s="2575"/>
      <c r="AN52" s="2575"/>
      <c r="AO52" s="2575"/>
      <c r="AP52" s="2575"/>
      <c r="AQ52" s="2575"/>
      <c r="AR52" s="2575"/>
      <c r="AS52" s="2510"/>
      <c r="AT52" s="2510"/>
      <c r="AU52" s="2510"/>
      <c r="AV52" s="2510"/>
      <c r="AW52" s="2510"/>
      <c r="AX52" s="2510"/>
      <c r="AY52" s="2510"/>
      <c r="AZ52" s="2510"/>
      <c r="BA52" s="2510"/>
      <c r="BB52" s="2510"/>
      <c r="BC52" s="2510"/>
      <c r="BD52" s="2510"/>
      <c r="BE52" s="2510"/>
      <c r="BF52" s="2510"/>
      <c r="BG52" s="2510"/>
      <c r="BH52" s="2510"/>
      <c r="BI52" s="2510"/>
      <c r="BJ52" s="2510"/>
      <c r="BK52" s="2510"/>
      <c r="BL52" s="2510"/>
      <c r="BM52" s="2510"/>
      <c r="BN52" s="2510"/>
      <c r="BO52" s="2510"/>
    </row>
    <row r="53" spans="1:67" s="2565" customFormat="1" ht="27">
      <c r="A53" s="2691" t="s">
        <v>768</v>
      </c>
      <c r="B53" s="2728"/>
      <c r="C53" s="1065" t="s">
        <v>769</v>
      </c>
      <c r="D53" s="2729" t="s">
        <v>770</v>
      </c>
      <c r="E53" s="2575"/>
      <c r="F53" s="2575"/>
      <c r="G53" s="2575"/>
      <c r="H53" s="2575"/>
      <c r="I53" s="2575"/>
      <c r="J53" s="2575"/>
      <c r="K53" s="1065"/>
      <c r="L53" s="1065"/>
      <c r="M53" s="2575"/>
      <c r="N53" s="2575"/>
      <c r="O53" s="2575"/>
      <c r="P53" s="2575"/>
      <c r="Q53" s="2575"/>
      <c r="R53" s="2575"/>
      <c r="S53" s="2575"/>
      <c r="T53" s="2575"/>
      <c r="U53" s="2575"/>
      <c r="V53" s="2575"/>
      <c r="W53" s="2575"/>
      <c r="X53" s="2575"/>
      <c r="Y53" s="2575"/>
      <c r="Z53" s="2575"/>
      <c r="AA53" s="2575"/>
      <c r="AB53" s="2575"/>
      <c r="AC53" s="2575"/>
      <c r="AD53" s="2575"/>
      <c r="AE53" s="2575"/>
      <c r="AF53" s="2575"/>
      <c r="AG53" s="2575"/>
      <c r="AH53" s="2575"/>
      <c r="AI53" s="2575"/>
      <c r="AJ53" s="2575"/>
      <c r="AK53" s="2575"/>
      <c r="AL53" s="2575"/>
      <c r="AM53" s="2575"/>
      <c r="AN53" s="2575"/>
      <c r="AO53" s="2575"/>
      <c r="AP53" s="2575"/>
      <c r="AQ53" s="2575"/>
      <c r="AR53" s="2575"/>
      <c r="AS53" s="2510"/>
      <c r="AT53" s="2510"/>
      <c r="AU53" s="2510"/>
      <c r="AV53" s="2510"/>
      <c r="AW53" s="2510"/>
      <c r="AX53" s="2510"/>
      <c r="AY53" s="2510"/>
      <c r="AZ53" s="2510"/>
      <c r="BA53" s="2510"/>
      <c r="BB53" s="2510"/>
      <c r="BC53" s="2510"/>
      <c r="BD53" s="2510"/>
      <c r="BE53" s="2510"/>
      <c r="BF53" s="2510"/>
      <c r="BG53" s="2510"/>
      <c r="BH53" s="2510"/>
      <c r="BI53" s="2510"/>
      <c r="BJ53" s="2510"/>
      <c r="BK53" s="2510"/>
      <c r="BL53" s="2510"/>
      <c r="BM53" s="2510"/>
      <c r="BN53" s="2510"/>
      <c r="BO53" s="2510"/>
    </row>
    <row r="54" spans="1:67" s="2565" customFormat="1" ht="14.25">
      <c r="A54" s="2730" t="s">
        <v>771</v>
      </c>
      <c r="B54" s="2731"/>
      <c r="C54" s="1065">
        <v>30</v>
      </c>
      <c r="D54" s="2673"/>
      <c r="E54" s="2575"/>
      <c r="F54" s="2575"/>
      <c r="G54" s="2575"/>
      <c r="H54" s="2575"/>
      <c r="I54" s="2575"/>
      <c r="J54" s="2575"/>
      <c r="K54" s="1065"/>
      <c r="L54" s="1065"/>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5"/>
      <c r="AK54" s="2575"/>
      <c r="AL54" s="2575"/>
      <c r="AM54" s="2575"/>
      <c r="AN54" s="2575"/>
      <c r="AO54" s="2575"/>
      <c r="AP54" s="2575"/>
      <c r="AQ54" s="2575"/>
      <c r="AR54" s="2575"/>
      <c r="AS54" s="2510"/>
      <c r="AT54" s="2510"/>
      <c r="AU54" s="2510"/>
      <c r="AV54" s="2510"/>
      <c r="AW54" s="2510"/>
      <c r="AX54" s="2510"/>
      <c r="AY54" s="2510"/>
      <c r="AZ54" s="2510"/>
      <c r="BA54" s="2510"/>
      <c r="BB54" s="2510"/>
      <c r="BC54" s="2510"/>
      <c r="BD54" s="2510"/>
      <c r="BE54" s="2510"/>
      <c r="BF54" s="2510"/>
      <c r="BG54" s="2510"/>
      <c r="BH54" s="2510"/>
      <c r="BI54" s="2510"/>
      <c r="BJ54" s="2510"/>
      <c r="BK54" s="2510"/>
      <c r="BL54" s="2510"/>
      <c r="BM54" s="2510"/>
      <c r="BN54" s="2510"/>
      <c r="BO54" s="2510"/>
    </row>
    <row r="55" spans="1:67" s="2565" customFormat="1" ht="14.25">
      <c r="A55" s="2730" t="s">
        <v>772</v>
      </c>
      <c r="B55" s="2731"/>
      <c r="C55" s="1065">
        <v>24</v>
      </c>
      <c r="D55" s="2673"/>
      <c r="E55" s="2575"/>
      <c r="F55" s="2575"/>
      <c r="G55" s="2575"/>
      <c r="H55" s="2575"/>
      <c r="I55" s="2575"/>
      <c r="J55" s="2575"/>
      <c r="K55" s="1065"/>
      <c r="L55" s="1065"/>
      <c r="M55" s="2575"/>
      <c r="N55" s="2575"/>
      <c r="O55" s="2575"/>
      <c r="P55" s="2575"/>
      <c r="Q55" s="2575"/>
      <c r="R55" s="2575"/>
      <c r="S55" s="2575"/>
      <c r="T55" s="2575"/>
      <c r="U55" s="2575"/>
      <c r="V55" s="2575"/>
      <c r="W55" s="2575"/>
      <c r="X55" s="2575"/>
      <c r="Y55" s="2575"/>
      <c r="Z55" s="2575"/>
      <c r="AA55" s="2575"/>
      <c r="AB55" s="2575"/>
      <c r="AC55" s="2575"/>
      <c r="AD55" s="2575"/>
      <c r="AE55" s="2575"/>
      <c r="AF55" s="2575"/>
      <c r="AG55" s="2575"/>
      <c r="AH55" s="2575"/>
      <c r="AI55" s="2575"/>
      <c r="AJ55" s="2575"/>
      <c r="AK55" s="2575"/>
      <c r="AL55" s="2575"/>
      <c r="AM55" s="2575"/>
      <c r="AN55" s="2575"/>
      <c r="AO55" s="2575"/>
      <c r="AP55" s="2575"/>
      <c r="AQ55" s="2575"/>
      <c r="AR55" s="2575"/>
      <c r="AS55" s="2510"/>
      <c r="AT55" s="2510"/>
      <c r="AU55" s="2510"/>
      <c r="AV55" s="2510"/>
      <c r="AW55" s="2510"/>
      <c r="AX55" s="2510"/>
      <c r="AY55" s="2510"/>
      <c r="AZ55" s="2510"/>
      <c r="BA55" s="2510"/>
      <c r="BB55" s="2510"/>
      <c r="BC55" s="2510"/>
      <c r="BD55" s="2510"/>
      <c r="BE55" s="2510"/>
      <c r="BF55" s="2510"/>
      <c r="BG55" s="2510"/>
      <c r="BH55" s="2510"/>
      <c r="BI55" s="2510"/>
      <c r="BJ55" s="2510"/>
      <c r="BK55" s="2510"/>
      <c r="BL55" s="2510"/>
      <c r="BM55" s="2510"/>
      <c r="BN55" s="2510"/>
      <c r="BO55" s="2510"/>
    </row>
    <row r="56" spans="1:67" s="2565" customFormat="1" ht="14.25">
      <c r="A56" s="2730" t="s">
        <v>773</v>
      </c>
      <c r="B56" s="2731"/>
      <c r="C56" s="1065">
        <v>18</v>
      </c>
      <c r="D56" s="2673"/>
      <c r="E56" s="2575"/>
      <c r="F56" s="2575"/>
      <c r="G56" s="2575"/>
      <c r="H56" s="2575"/>
      <c r="I56" s="2575"/>
      <c r="J56" s="2575"/>
      <c r="K56" s="1065"/>
      <c r="L56" s="1065"/>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5"/>
      <c r="AK56" s="2575"/>
      <c r="AL56" s="2575"/>
      <c r="AM56" s="2575"/>
      <c r="AN56" s="2575"/>
      <c r="AO56" s="2575"/>
      <c r="AP56" s="2575"/>
      <c r="AQ56" s="2575"/>
      <c r="AR56" s="2575"/>
      <c r="AS56" s="2510"/>
      <c r="AT56" s="2510"/>
      <c r="AU56" s="2510"/>
      <c r="AV56" s="2510"/>
      <c r="AW56" s="2510"/>
      <c r="AX56" s="2510"/>
      <c r="AY56" s="2510"/>
      <c r="AZ56" s="2510"/>
      <c r="BA56" s="2510"/>
      <c r="BB56" s="2510"/>
      <c r="BC56" s="2510"/>
      <c r="BD56" s="2510"/>
      <c r="BE56" s="2510"/>
      <c r="BF56" s="2510"/>
      <c r="BG56" s="2510"/>
      <c r="BH56" s="2510"/>
      <c r="BI56" s="2510"/>
      <c r="BJ56" s="2510"/>
      <c r="BK56" s="2510"/>
      <c r="BL56" s="2510"/>
      <c r="BM56" s="2510"/>
      <c r="BN56" s="2510"/>
      <c r="BO56" s="2510"/>
    </row>
    <row r="57" spans="1:67" s="2565" customFormat="1" ht="14.25">
      <c r="A57" s="2730" t="s">
        <v>774</v>
      </c>
      <c r="B57" s="2731"/>
      <c r="C57" s="1065">
        <v>12</v>
      </c>
      <c r="D57" s="2673"/>
      <c r="E57" s="2575"/>
      <c r="F57" s="2575"/>
      <c r="G57" s="2575"/>
      <c r="H57" s="2575"/>
      <c r="I57" s="2575"/>
      <c r="J57" s="2575"/>
      <c r="K57" s="1065"/>
      <c r="L57" s="1065"/>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5"/>
      <c r="AL57" s="2575"/>
      <c r="AM57" s="2575"/>
      <c r="AN57" s="2575"/>
      <c r="AO57" s="2575"/>
      <c r="AP57" s="2575"/>
      <c r="AQ57" s="2575"/>
      <c r="AR57" s="2575"/>
      <c r="AS57" s="2510"/>
      <c r="AT57" s="2510"/>
      <c r="AU57" s="2510"/>
      <c r="AV57" s="2510"/>
      <c r="AW57" s="2510"/>
      <c r="AX57" s="2510"/>
      <c r="AY57" s="2510"/>
      <c r="AZ57" s="2510"/>
      <c r="BA57" s="2510"/>
      <c r="BB57" s="2510"/>
      <c r="BC57" s="2510"/>
      <c r="BD57" s="2510"/>
      <c r="BE57" s="2510"/>
      <c r="BF57" s="2510"/>
      <c r="BG57" s="2510"/>
      <c r="BH57" s="2510"/>
      <c r="BI57" s="2510"/>
      <c r="BJ57" s="2510"/>
      <c r="BK57" s="2510"/>
      <c r="BL57" s="2510"/>
      <c r="BM57" s="2510"/>
      <c r="BN57" s="2510"/>
      <c r="BO57" s="2510"/>
    </row>
    <row r="58" spans="1:67" s="2565" customFormat="1" ht="14.25">
      <c r="A58" s="2730" t="s">
        <v>775</v>
      </c>
      <c r="B58" s="2731"/>
      <c r="C58" s="1065">
        <v>3</v>
      </c>
      <c r="D58" s="2673"/>
      <c r="E58" s="2575"/>
      <c r="F58" s="2575"/>
      <c r="G58" s="2575"/>
      <c r="H58" s="2575"/>
      <c r="I58" s="2575"/>
      <c r="J58" s="2575"/>
      <c r="K58" s="1065"/>
      <c r="L58" s="1065"/>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M58" s="2575"/>
      <c r="AN58" s="2575"/>
      <c r="AO58" s="2575"/>
      <c r="AP58" s="2575"/>
      <c r="AQ58" s="2575"/>
      <c r="AR58" s="2575"/>
      <c r="AS58" s="2510"/>
      <c r="AT58" s="2510"/>
      <c r="AU58" s="2510"/>
      <c r="AV58" s="2510"/>
      <c r="AW58" s="2510"/>
      <c r="AX58" s="2510"/>
      <c r="AY58" s="2510"/>
      <c r="AZ58" s="2510"/>
      <c r="BA58" s="2510"/>
      <c r="BB58" s="2510"/>
      <c r="BC58" s="2510"/>
      <c r="BD58" s="2510"/>
      <c r="BE58" s="2510"/>
      <c r="BF58" s="2510"/>
      <c r="BG58" s="2510"/>
      <c r="BH58" s="2510"/>
      <c r="BI58" s="2510"/>
      <c r="BJ58" s="2510"/>
      <c r="BK58" s="2510"/>
      <c r="BL58" s="2510"/>
      <c r="BM58" s="2510"/>
      <c r="BN58" s="2510"/>
      <c r="BO58" s="2510"/>
    </row>
    <row r="59" spans="1:67" s="2565" customFormat="1" ht="14.25">
      <c r="A59" s="2730" t="s">
        <v>776</v>
      </c>
      <c r="B59" s="2731"/>
      <c r="C59" s="1065">
        <v>1.5</v>
      </c>
      <c r="D59" s="2673"/>
      <c r="E59" s="2575"/>
      <c r="F59" s="2575"/>
      <c r="G59" s="2575"/>
      <c r="H59" s="2575"/>
      <c r="I59" s="2575"/>
      <c r="J59" s="2575"/>
      <c r="K59" s="1065"/>
      <c r="L59" s="1065"/>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5"/>
      <c r="AK59" s="2575"/>
      <c r="AL59" s="2575"/>
      <c r="AM59" s="2575"/>
      <c r="AN59" s="2575"/>
      <c r="AO59" s="2575"/>
      <c r="AP59" s="2575"/>
      <c r="AQ59" s="2575"/>
      <c r="AR59" s="2575"/>
      <c r="AS59" s="2510"/>
      <c r="AT59" s="2510"/>
      <c r="AU59" s="2510"/>
      <c r="AV59" s="2510"/>
      <c r="AW59" s="2510"/>
      <c r="AX59" s="2510"/>
      <c r="AY59" s="2510"/>
      <c r="AZ59" s="2510"/>
      <c r="BA59" s="2510"/>
      <c r="BB59" s="2510"/>
      <c r="BC59" s="2510"/>
      <c r="BD59" s="2510"/>
      <c r="BE59" s="2510"/>
      <c r="BF59" s="2510"/>
      <c r="BG59" s="2510"/>
      <c r="BH59" s="2510"/>
      <c r="BI59" s="2510"/>
      <c r="BJ59" s="2510"/>
      <c r="BK59" s="2510"/>
      <c r="BL59" s="2510"/>
      <c r="BM59" s="2510"/>
      <c r="BN59" s="2510"/>
      <c r="BO59" s="2510"/>
    </row>
    <row r="60" spans="1:67" s="2565" customFormat="1" ht="14.25">
      <c r="A60" s="2730" t="s">
        <v>777</v>
      </c>
      <c r="B60" s="2731"/>
      <c r="C60" s="2575"/>
      <c r="D60" s="2673"/>
      <c r="E60" s="2575"/>
      <c r="F60" s="2575"/>
      <c r="G60" s="2575"/>
      <c r="H60" s="2575"/>
      <c r="I60" s="2575"/>
      <c r="J60" s="2575"/>
      <c r="K60" s="1065"/>
      <c r="L60" s="1065"/>
      <c r="M60" s="2575"/>
      <c r="N60" s="2575"/>
      <c r="O60" s="2575"/>
      <c r="P60" s="2575"/>
      <c r="Q60" s="2575"/>
      <c r="R60" s="2575"/>
      <c r="S60" s="2575"/>
      <c r="T60" s="2575"/>
      <c r="U60" s="2575"/>
      <c r="V60" s="2575"/>
      <c r="W60" s="2575"/>
      <c r="X60" s="2575"/>
      <c r="Y60" s="2575"/>
      <c r="Z60" s="2575"/>
      <c r="AA60" s="2575"/>
      <c r="AB60" s="2575"/>
      <c r="AC60" s="2575"/>
      <c r="AD60" s="2575"/>
      <c r="AE60" s="2575"/>
      <c r="AF60" s="2575"/>
      <c r="AG60" s="2575"/>
      <c r="AH60" s="2575"/>
      <c r="AI60" s="2575"/>
      <c r="AJ60" s="2575"/>
      <c r="AK60" s="2575"/>
      <c r="AL60" s="2575"/>
      <c r="AM60" s="2575"/>
      <c r="AN60" s="2575"/>
      <c r="AO60" s="2575"/>
      <c r="AP60" s="2575"/>
      <c r="AQ60" s="2575"/>
      <c r="AR60" s="2575"/>
      <c r="AS60" s="2510"/>
      <c r="AT60" s="2510"/>
      <c r="AU60" s="2510"/>
      <c r="AV60" s="2510"/>
      <c r="AW60" s="2510"/>
      <c r="AX60" s="2510"/>
      <c r="AY60" s="2510"/>
      <c r="AZ60" s="2510"/>
      <c r="BA60" s="2510"/>
      <c r="BB60" s="2510"/>
      <c r="BC60" s="2510"/>
      <c r="BD60" s="2510"/>
      <c r="BE60" s="2510"/>
      <c r="BF60" s="2510"/>
      <c r="BG60" s="2510"/>
      <c r="BH60" s="2510"/>
      <c r="BI60" s="2510"/>
      <c r="BJ60" s="2510"/>
      <c r="BK60" s="2510"/>
      <c r="BL60" s="2510"/>
      <c r="BM60" s="2510"/>
      <c r="BN60" s="2510"/>
      <c r="BO60" s="2510"/>
    </row>
    <row r="61" spans="1:67" s="2565" customFormat="1" ht="14.25">
      <c r="A61" s="2730" t="s">
        <v>778</v>
      </c>
      <c r="B61" s="2731"/>
      <c r="C61" s="2575"/>
      <c r="D61" s="2673"/>
      <c r="E61" s="2575"/>
      <c r="F61" s="2575"/>
      <c r="G61" s="2575"/>
      <c r="H61" s="2575"/>
      <c r="I61" s="2575"/>
      <c r="J61" s="2575"/>
      <c r="K61" s="1065"/>
      <c r="L61" s="1065"/>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row>
    <row r="62" spans="1:67" s="2565" customFormat="1" ht="14.25">
      <c r="A62" s="2730" t="s">
        <v>779</v>
      </c>
      <c r="B62" s="2731"/>
      <c r="C62" s="2575"/>
      <c r="D62" s="2673"/>
      <c r="E62" s="2575"/>
      <c r="F62" s="2575"/>
      <c r="G62" s="2575"/>
      <c r="H62" s="2575"/>
      <c r="I62" s="2575"/>
      <c r="J62" s="2575"/>
      <c r="K62" s="1065"/>
      <c r="L62" s="1065"/>
      <c r="M62" s="2575"/>
      <c r="N62" s="2575"/>
      <c r="O62" s="2575"/>
      <c r="P62" s="2575"/>
      <c r="Q62" s="2575"/>
      <c r="R62" s="2575"/>
      <c r="S62" s="2575"/>
      <c r="T62" s="2575"/>
      <c r="U62" s="2575"/>
      <c r="V62" s="2575"/>
      <c r="W62" s="2575"/>
      <c r="X62" s="2575"/>
      <c r="Y62" s="2575"/>
      <c r="Z62" s="2575"/>
      <c r="AA62" s="2575"/>
      <c r="AB62" s="2575"/>
      <c r="AC62" s="2575"/>
      <c r="AD62" s="2575"/>
      <c r="AE62" s="2575"/>
      <c r="AF62" s="2575"/>
      <c r="AG62" s="2575"/>
      <c r="AH62" s="2575"/>
      <c r="AI62" s="2575"/>
      <c r="AJ62" s="2575"/>
      <c r="AK62" s="2575"/>
      <c r="AL62" s="2575"/>
      <c r="AM62" s="2575"/>
      <c r="AN62" s="2575"/>
      <c r="AO62" s="2575"/>
      <c r="AP62" s="2575"/>
      <c r="AQ62" s="2575"/>
      <c r="AR62" s="2575"/>
      <c r="AS62" s="2510"/>
      <c r="AT62" s="2510"/>
      <c r="AU62" s="2510"/>
      <c r="AV62" s="2510"/>
      <c r="AW62" s="2510"/>
      <c r="AX62" s="2510"/>
      <c r="AY62" s="2510"/>
      <c r="AZ62" s="2510"/>
      <c r="BA62" s="2510"/>
      <c r="BB62" s="2510"/>
      <c r="BC62" s="2510"/>
      <c r="BD62" s="2510"/>
      <c r="BE62" s="2510"/>
      <c r="BF62" s="2510"/>
      <c r="BG62" s="2510"/>
      <c r="BH62" s="2510"/>
      <c r="BI62" s="2510"/>
      <c r="BJ62" s="2510"/>
      <c r="BK62" s="2510"/>
      <c r="BL62" s="2510"/>
      <c r="BM62" s="2510"/>
      <c r="BN62" s="2510"/>
      <c r="BO62" s="2510"/>
    </row>
    <row r="63" spans="1:67" s="2565" customFormat="1" ht="14.25">
      <c r="A63" s="2732" t="s">
        <v>780</v>
      </c>
      <c r="B63" s="2733"/>
      <c r="C63" s="2575"/>
      <c r="D63" s="2673"/>
      <c r="E63" s="2575"/>
      <c r="F63" s="2575"/>
      <c r="G63" s="2575"/>
      <c r="H63" s="2575"/>
      <c r="I63" s="2575"/>
      <c r="J63" s="2575"/>
      <c r="K63" s="1065"/>
      <c r="L63" s="1065"/>
      <c r="M63" s="2575"/>
      <c r="N63" s="2575"/>
      <c r="O63" s="2575"/>
      <c r="P63" s="2575"/>
      <c r="Q63" s="2575"/>
      <c r="R63" s="2575"/>
      <c r="S63" s="2575"/>
      <c r="T63" s="2575"/>
      <c r="U63" s="2575"/>
      <c r="V63" s="2575"/>
      <c r="W63" s="2575"/>
      <c r="X63" s="2575"/>
      <c r="Y63" s="2575"/>
      <c r="Z63" s="2575"/>
      <c r="AA63" s="2575"/>
      <c r="AB63" s="2575"/>
      <c r="AC63" s="2575"/>
      <c r="AD63" s="2575"/>
      <c r="AE63" s="2575"/>
      <c r="AF63" s="2575"/>
      <c r="AG63" s="2575"/>
      <c r="AH63" s="2575"/>
      <c r="AI63" s="2575"/>
      <c r="AJ63" s="2575"/>
      <c r="AK63" s="2575"/>
      <c r="AL63" s="2575"/>
      <c r="AM63" s="2575"/>
      <c r="AN63" s="2575"/>
      <c r="AO63" s="2575"/>
      <c r="AP63" s="2575"/>
      <c r="AQ63" s="2575"/>
      <c r="AR63" s="2575"/>
      <c r="AS63" s="2510"/>
      <c r="AT63" s="2510"/>
      <c r="AU63" s="2510"/>
      <c r="AV63" s="2510"/>
      <c r="AW63" s="2510"/>
      <c r="AX63" s="2510"/>
      <c r="AY63" s="2510"/>
      <c r="AZ63" s="2510"/>
      <c r="BA63" s="2510"/>
      <c r="BB63" s="2510"/>
      <c r="BC63" s="2510"/>
      <c r="BD63" s="2510"/>
      <c r="BE63" s="2510"/>
      <c r="BF63" s="2510"/>
      <c r="BG63" s="2510"/>
      <c r="BH63" s="2510"/>
      <c r="BI63" s="2510"/>
      <c r="BJ63" s="2510"/>
      <c r="BK63" s="2510"/>
      <c r="BL63" s="2510"/>
      <c r="BM63" s="2510"/>
      <c r="BN63" s="2510"/>
      <c r="BO63" s="2510"/>
    </row>
    <row r="64" spans="1:67" s="901" customFormat="1">
      <c r="A64" s="2734"/>
      <c r="B64" s="2136"/>
      <c r="C64" s="2136"/>
      <c r="D64" s="2735"/>
      <c r="E64" s="2136"/>
      <c r="F64" s="2136"/>
      <c r="G64" s="2136"/>
      <c r="H64" s="2136"/>
      <c r="I64" s="2136"/>
      <c r="J64" s="2136"/>
      <c r="K64" s="2736"/>
      <c r="L64" s="2736"/>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901" customFormat="1">
      <c r="A65" s="2734"/>
      <c r="B65" s="2136"/>
      <c r="C65" s="2136"/>
      <c r="D65" s="2735"/>
      <c r="E65" s="2136"/>
      <c r="F65" s="2136"/>
      <c r="G65" s="2136"/>
      <c r="H65" s="2136"/>
      <c r="I65" s="2136"/>
      <c r="J65" s="2136"/>
      <c r="K65" s="2736"/>
      <c r="L65" s="2736"/>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901" customFormat="1">
      <c r="A66" s="2734"/>
      <c r="B66" s="2136"/>
      <c r="C66" s="2136"/>
      <c r="D66" s="2735"/>
      <c r="E66" s="2136"/>
      <c r="F66" s="2136"/>
      <c r="G66" s="2136"/>
      <c r="H66" s="2136"/>
      <c r="I66" s="2136"/>
      <c r="J66" s="2136"/>
      <c r="K66" s="2736"/>
      <c r="L66" s="27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901" customFormat="1">
      <c r="A67" s="2734"/>
      <c r="B67" s="2136"/>
      <c r="C67" s="2136"/>
      <c r="D67" s="2735"/>
      <c r="E67" s="2136"/>
      <c r="F67" s="2136"/>
      <c r="G67" s="2136"/>
      <c r="H67" s="2136"/>
      <c r="I67" s="2136"/>
      <c r="J67" s="2136"/>
      <c r="K67" s="2736"/>
      <c r="L67" s="2736"/>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901" customFormat="1">
      <c r="A68" s="2734"/>
      <c r="B68" s="2136"/>
      <c r="C68" s="2136"/>
      <c r="D68" s="2735"/>
      <c r="E68" s="2136"/>
      <c r="F68" s="2136"/>
      <c r="G68" s="2136"/>
      <c r="H68" s="2136"/>
      <c r="I68" s="2136"/>
      <c r="J68" s="2136"/>
      <c r="K68" s="2736"/>
      <c r="L68" s="2736"/>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901" customFormat="1">
      <c r="A69" s="2494"/>
      <c r="D69" s="2737"/>
      <c r="K69" s="936"/>
      <c r="L69" s="936"/>
    </row>
    <row r="70" spans="1:44" s="901" customFormat="1">
      <c r="A70" s="2494"/>
      <c r="D70" s="2737"/>
      <c r="K70" s="936"/>
      <c r="L70" s="936"/>
    </row>
    <row r="71" spans="1:44" s="901" customFormat="1">
      <c r="A71" s="2494"/>
      <c r="D71" s="2737"/>
      <c r="K71" s="936"/>
      <c r="L71" s="936"/>
    </row>
    <row r="72" spans="1:44" s="901" customFormat="1">
      <c r="A72" s="2494"/>
      <c r="D72" s="2737"/>
      <c r="K72" s="936"/>
      <c r="L72" s="936"/>
    </row>
    <row r="73" spans="1:44" s="901" customFormat="1">
      <c r="A73" s="2494"/>
      <c r="D73" s="2737"/>
      <c r="K73" s="936"/>
      <c r="L73" s="936"/>
    </row>
    <row r="74" spans="1:44" s="901" customFormat="1">
      <c r="A74" s="2494"/>
      <c r="D74" s="2737"/>
      <c r="K74" s="936"/>
      <c r="L74" s="936"/>
    </row>
    <row r="75" spans="1:44" s="901" customFormat="1">
      <c r="A75" s="2494"/>
      <c r="D75" s="2737"/>
      <c r="K75" s="936"/>
      <c r="L75" s="936"/>
    </row>
    <row r="76" spans="1:44" s="901" customFormat="1">
      <c r="A76" s="2494"/>
      <c r="D76" s="2737"/>
      <c r="K76" s="936"/>
      <c r="L76" s="936"/>
    </row>
    <row r="77" spans="1:44" s="901" customFormat="1">
      <c r="A77" s="2494"/>
      <c r="D77" s="2737"/>
      <c r="K77" s="936"/>
      <c r="L77" s="936"/>
    </row>
    <row r="78" spans="1:44" s="901" customFormat="1">
      <c r="A78" s="2494"/>
      <c r="D78" s="2737"/>
      <c r="K78" s="936"/>
      <c r="L78" s="936"/>
    </row>
    <row r="79" spans="1:44" s="901" customFormat="1">
      <c r="A79" s="2494"/>
      <c r="D79" s="2737"/>
      <c r="K79" s="936"/>
      <c r="L79" s="936"/>
    </row>
    <row r="80" spans="1:44" s="901" customFormat="1">
      <c r="A80" s="2494"/>
      <c r="D80" s="2737"/>
      <c r="K80" s="936"/>
      <c r="L80" s="936"/>
    </row>
    <row r="81" spans="1:12" s="901" customFormat="1">
      <c r="A81" s="2494"/>
      <c r="D81" s="2737"/>
      <c r="K81" s="936"/>
      <c r="L81" s="936"/>
    </row>
    <row r="82" spans="1:12" s="901" customFormat="1">
      <c r="A82" s="2494"/>
      <c r="D82" s="2737"/>
      <c r="K82" s="936"/>
      <c r="L82" s="936"/>
    </row>
    <row r="83" spans="1:12" s="901" customFormat="1">
      <c r="A83" s="2494"/>
      <c r="D83" s="2737"/>
      <c r="K83" s="936"/>
      <c r="L83" s="936"/>
    </row>
    <row r="84" spans="1:12" s="901" customFormat="1">
      <c r="A84" s="2494"/>
      <c r="D84" s="2737"/>
      <c r="K84" s="936"/>
      <c r="L84" s="936"/>
    </row>
    <row r="85" spans="1:12" s="901" customFormat="1">
      <c r="A85" s="2494"/>
      <c r="D85" s="2737"/>
      <c r="K85" s="936"/>
      <c r="L85" s="936"/>
    </row>
    <row r="86" spans="1:12" s="901" customFormat="1">
      <c r="A86" s="2494"/>
      <c r="D86" s="2737"/>
      <c r="K86" s="936"/>
      <c r="L86" s="936"/>
    </row>
    <row r="87" spans="1:12" s="901" customFormat="1">
      <c r="A87" s="2494"/>
      <c r="D87" s="2737"/>
      <c r="K87" s="936"/>
      <c r="L87" s="936"/>
    </row>
    <row r="88" spans="1:12" s="901" customFormat="1">
      <c r="A88" s="2494"/>
      <c r="D88" s="2737"/>
      <c r="K88" s="936"/>
      <c r="L88" s="936"/>
    </row>
    <row r="89" spans="1:12" s="901" customFormat="1">
      <c r="A89" s="2494"/>
      <c r="D89" s="2737"/>
      <c r="K89" s="936"/>
      <c r="L89" s="936"/>
    </row>
    <row r="90" spans="1:12" s="901" customFormat="1">
      <c r="A90" s="2494"/>
      <c r="D90" s="2737"/>
      <c r="K90" s="936"/>
      <c r="L90" s="936"/>
    </row>
    <row r="91" spans="1:12" s="901" customFormat="1">
      <c r="A91" s="2494"/>
      <c r="D91" s="2737"/>
      <c r="K91" s="936"/>
      <c r="L91" s="936"/>
    </row>
    <row r="92" spans="1:12" s="901" customFormat="1">
      <c r="A92" s="2494"/>
      <c r="D92" s="2737"/>
      <c r="K92" s="936"/>
      <c r="L92" s="936"/>
    </row>
    <row r="93" spans="1:12" s="901" customFormat="1">
      <c r="A93" s="2494"/>
      <c r="D93" s="2737"/>
      <c r="K93" s="936"/>
      <c r="L93" s="936"/>
    </row>
    <row r="94" spans="1:12" s="901" customFormat="1">
      <c r="A94" s="2494"/>
      <c r="D94" s="2737"/>
      <c r="K94" s="936"/>
      <c r="L94" s="936"/>
    </row>
    <row r="95" spans="1:12" s="901" customFormat="1">
      <c r="A95" s="2494"/>
      <c r="D95" s="2737"/>
      <c r="K95" s="936"/>
      <c r="L95" s="936"/>
    </row>
    <row r="96" spans="1:12" s="901" customFormat="1">
      <c r="A96" s="2494"/>
      <c r="D96" s="2737"/>
      <c r="K96" s="936"/>
      <c r="L96" s="936"/>
    </row>
    <row r="97" spans="1:12" s="901" customFormat="1">
      <c r="A97" s="2494"/>
      <c r="D97" s="2737"/>
      <c r="K97" s="936"/>
      <c r="L97" s="936"/>
    </row>
    <row r="98" spans="1:12" s="901" customFormat="1">
      <c r="A98" s="2494"/>
      <c r="D98" s="2737"/>
      <c r="K98" s="936"/>
      <c r="L98" s="936"/>
    </row>
    <row r="99" spans="1:12" s="901" customFormat="1">
      <c r="A99" s="2494"/>
      <c r="D99" s="2737"/>
      <c r="K99" s="936"/>
      <c r="L99" s="936"/>
    </row>
    <row r="100" spans="1:12" s="901" customFormat="1">
      <c r="A100" s="2494"/>
      <c r="D100" s="2737"/>
      <c r="K100" s="936"/>
      <c r="L100" s="936"/>
    </row>
    <row r="101" spans="1:12" s="901" customFormat="1">
      <c r="A101" s="2494"/>
      <c r="D101" s="2737"/>
      <c r="K101" s="936"/>
      <c r="L101" s="936"/>
    </row>
    <row r="102" spans="1:12" s="901" customFormat="1">
      <c r="A102" s="2494"/>
      <c r="D102" s="2737"/>
      <c r="K102" s="936"/>
      <c r="L102" s="936"/>
    </row>
    <row r="103" spans="1:12" s="901" customFormat="1">
      <c r="A103" s="2494"/>
      <c r="D103" s="2737"/>
      <c r="K103" s="936"/>
      <c r="L103" s="936"/>
    </row>
    <row r="104" spans="1:12" s="901" customFormat="1">
      <c r="A104" s="2494"/>
      <c r="D104" s="2737"/>
      <c r="K104" s="936"/>
      <c r="L104" s="936"/>
    </row>
    <row r="105" spans="1:12" s="901" customFormat="1">
      <c r="A105" s="2494"/>
      <c r="D105" s="2737"/>
      <c r="K105" s="936"/>
      <c r="L105" s="936"/>
    </row>
    <row r="106" spans="1:12" s="901" customFormat="1">
      <c r="A106" s="2494"/>
      <c r="D106" s="2737"/>
      <c r="K106" s="936"/>
      <c r="L106" s="936"/>
    </row>
    <row r="107" spans="1:12" s="901" customFormat="1">
      <c r="A107" s="2494"/>
      <c r="D107" s="2737"/>
      <c r="K107" s="936"/>
      <c r="L107" s="936"/>
    </row>
    <row r="108" spans="1:12" s="901" customFormat="1">
      <c r="A108" s="2494"/>
      <c r="D108" s="2737"/>
      <c r="K108" s="936"/>
      <c r="L108" s="936"/>
    </row>
    <row r="109" spans="1:12" s="901" customFormat="1">
      <c r="A109" s="2494"/>
      <c r="D109" s="2737"/>
      <c r="K109" s="936"/>
      <c r="L109" s="936"/>
    </row>
    <row r="110" spans="1:12" s="901" customFormat="1">
      <c r="A110" s="2494"/>
      <c r="D110" s="2737"/>
      <c r="K110" s="936"/>
      <c r="L110" s="936"/>
    </row>
    <row r="111" spans="1:12" s="901" customFormat="1">
      <c r="A111" s="2494"/>
      <c r="D111" s="2737"/>
      <c r="K111" s="936"/>
      <c r="L111" s="936"/>
    </row>
    <row r="112" spans="1:12" s="901" customFormat="1">
      <c r="A112" s="2494"/>
      <c r="D112" s="2737"/>
      <c r="K112" s="936"/>
      <c r="L112" s="936"/>
    </row>
    <row r="113" spans="1:12" s="901" customFormat="1">
      <c r="A113" s="2494"/>
      <c r="D113" s="2737"/>
      <c r="K113" s="936"/>
      <c r="L113" s="936"/>
    </row>
    <row r="114" spans="1:12" s="901" customFormat="1">
      <c r="A114" s="2494"/>
      <c r="D114" s="2737"/>
      <c r="K114" s="936"/>
      <c r="L114" s="936"/>
    </row>
    <row r="115" spans="1:12" s="901" customFormat="1">
      <c r="A115" s="2494"/>
      <c r="D115" s="2737"/>
      <c r="K115" s="936"/>
      <c r="L115" s="936"/>
    </row>
    <row r="116" spans="1:12" s="901" customFormat="1">
      <c r="A116" s="2494"/>
      <c r="D116" s="2737"/>
      <c r="K116" s="936"/>
      <c r="L116" s="936"/>
    </row>
    <row r="117" spans="1:12" s="901" customFormat="1">
      <c r="A117" s="2494"/>
      <c r="D117" s="2737"/>
      <c r="K117" s="936"/>
      <c r="L117" s="936"/>
    </row>
    <row r="118" spans="1:12" s="901" customFormat="1">
      <c r="A118" s="2494"/>
      <c r="D118" s="2737"/>
      <c r="K118" s="936"/>
      <c r="L118" s="936"/>
    </row>
    <row r="119" spans="1:12" s="901" customFormat="1">
      <c r="A119" s="2494"/>
      <c r="D119" s="2737"/>
      <c r="K119" s="936"/>
      <c r="L119" s="936"/>
    </row>
    <row r="120" spans="1:12" s="901" customFormat="1">
      <c r="A120" s="2494"/>
      <c r="D120" s="2737"/>
      <c r="K120" s="936"/>
      <c r="L120" s="936"/>
    </row>
    <row r="121" spans="1:12" s="901" customFormat="1">
      <c r="A121" s="2494"/>
      <c r="D121" s="2737"/>
      <c r="K121" s="936"/>
      <c r="L121" s="936"/>
    </row>
    <row r="122" spans="1:12" s="901" customFormat="1">
      <c r="A122" s="2494"/>
      <c r="D122" s="2737"/>
      <c r="K122" s="936"/>
      <c r="L122" s="936"/>
    </row>
    <row r="123" spans="1:12" s="901" customFormat="1">
      <c r="A123" s="2494"/>
      <c r="D123" s="2737"/>
      <c r="K123" s="936"/>
      <c r="L123" s="936"/>
    </row>
    <row r="124" spans="1:12" s="901" customFormat="1">
      <c r="A124" s="2494"/>
      <c r="D124" s="2737"/>
      <c r="K124" s="936"/>
      <c r="L124" s="936"/>
    </row>
    <row r="125" spans="1:12" s="901" customFormat="1">
      <c r="A125" s="2494"/>
      <c r="D125" s="2737"/>
      <c r="K125" s="936"/>
      <c r="L125" s="936"/>
    </row>
    <row r="126" spans="1:12" s="901" customFormat="1">
      <c r="A126" s="2494"/>
      <c r="D126" s="2737"/>
      <c r="K126" s="936"/>
      <c r="L126" s="936"/>
    </row>
    <row r="127" spans="1:12" s="901" customFormat="1">
      <c r="A127" s="2494"/>
      <c r="D127" s="2737"/>
      <c r="K127" s="936"/>
      <c r="L127" s="936"/>
    </row>
    <row r="128" spans="1:12" s="901" customFormat="1">
      <c r="A128" s="2494"/>
      <c r="D128" s="2737"/>
      <c r="K128" s="936"/>
      <c r="L128" s="936"/>
    </row>
    <row r="129" spans="1:12" s="901" customFormat="1">
      <c r="A129" s="2494"/>
      <c r="D129" s="2737"/>
      <c r="K129" s="936"/>
      <c r="L129" s="936"/>
    </row>
    <row r="130" spans="1:12" s="901" customFormat="1">
      <c r="A130" s="2494"/>
      <c r="D130" s="2737"/>
      <c r="K130" s="936"/>
      <c r="L130" s="936"/>
    </row>
    <row r="131" spans="1:12" s="901" customFormat="1">
      <c r="A131" s="2494"/>
      <c r="D131" s="2737"/>
      <c r="K131" s="936"/>
      <c r="L131" s="936"/>
    </row>
    <row r="132" spans="1:12" s="901" customFormat="1">
      <c r="A132" s="2494"/>
      <c r="D132" s="2737"/>
      <c r="K132" s="936"/>
      <c r="L132" s="936"/>
    </row>
    <row r="133" spans="1:12" s="901" customFormat="1">
      <c r="A133" s="2494"/>
      <c r="D133" s="2737"/>
      <c r="K133" s="936"/>
      <c r="L133" s="936"/>
    </row>
    <row r="134" spans="1:12" s="900" customFormat="1">
      <c r="A134" s="2738"/>
      <c r="D134" s="2739"/>
      <c r="K134" s="897"/>
      <c r="L134" s="897"/>
    </row>
    <row r="135" spans="1:12" s="900" customFormat="1">
      <c r="A135" s="2738"/>
      <c r="D135" s="2739"/>
      <c r="K135" s="897"/>
      <c r="L135" s="897"/>
    </row>
    <row r="136" spans="1:12" s="900" customFormat="1">
      <c r="A136" s="2738"/>
      <c r="D136" s="2739"/>
      <c r="K136" s="897"/>
      <c r="L136" s="897"/>
    </row>
    <row r="137" spans="1:12" s="900" customFormat="1">
      <c r="A137" s="2738"/>
      <c r="D137" s="2739"/>
      <c r="K137" s="897"/>
      <c r="L137" s="897"/>
    </row>
    <row r="138" spans="1:12" s="900" customFormat="1">
      <c r="A138" s="2738"/>
      <c r="D138" s="2739"/>
      <c r="K138" s="897"/>
      <c r="L138" s="897"/>
    </row>
    <row r="139" spans="1:12" s="900" customFormat="1">
      <c r="A139" s="2738"/>
      <c r="D139" s="2739"/>
      <c r="K139" s="897"/>
      <c r="L139" s="897"/>
    </row>
    <row r="140" spans="1:12" s="900" customFormat="1">
      <c r="A140" s="2738"/>
      <c r="D140" s="2739"/>
      <c r="K140" s="897"/>
      <c r="L140" s="897"/>
    </row>
    <row r="141" spans="1:12" s="900" customFormat="1">
      <c r="A141" s="2738"/>
      <c r="D141" s="2739"/>
      <c r="K141" s="897"/>
      <c r="L141" s="897"/>
    </row>
    <row r="142" spans="1:12" s="900" customFormat="1">
      <c r="A142" s="2738"/>
      <c r="D142" s="2739"/>
      <c r="K142" s="897"/>
      <c r="L142" s="897"/>
    </row>
    <row r="143" spans="1:12" s="900" customFormat="1">
      <c r="A143" s="2738"/>
      <c r="D143" s="2739"/>
      <c r="K143" s="897"/>
      <c r="L143" s="897"/>
    </row>
    <row r="144" spans="1:12" s="900" customFormat="1">
      <c r="A144" s="2738"/>
      <c r="D144" s="2739"/>
      <c r="K144" s="897"/>
      <c r="L144" s="897"/>
    </row>
    <row r="145" spans="1:12" s="900" customFormat="1">
      <c r="A145" s="2738"/>
      <c r="D145" s="2739"/>
      <c r="K145" s="897"/>
      <c r="L145" s="897"/>
    </row>
    <row r="146" spans="1:12" s="900" customFormat="1">
      <c r="A146" s="2738"/>
      <c r="D146" s="2739"/>
      <c r="K146" s="897"/>
      <c r="L146" s="897"/>
    </row>
    <row r="147" spans="1:12" s="900" customFormat="1">
      <c r="A147" s="2738"/>
      <c r="D147" s="2739"/>
      <c r="K147" s="897"/>
      <c r="L147" s="897"/>
    </row>
    <row r="148" spans="1:12" s="900" customFormat="1">
      <c r="A148" s="2738"/>
      <c r="D148" s="2739"/>
      <c r="K148" s="897"/>
      <c r="L148" s="897"/>
    </row>
    <row r="149" spans="1:12" s="900" customFormat="1">
      <c r="A149" s="2738"/>
      <c r="D149" s="2739"/>
      <c r="K149" s="897"/>
      <c r="L149" s="897"/>
    </row>
    <row r="150" spans="1:12" s="900" customFormat="1">
      <c r="A150" s="2738"/>
      <c r="D150" s="2739"/>
      <c r="K150" s="897"/>
      <c r="L150" s="897"/>
    </row>
    <row r="151" spans="1:12" s="900" customFormat="1">
      <c r="A151" s="2738"/>
      <c r="D151" s="2739"/>
      <c r="K151" s="897"/>
      <c r="L151" s="897"/>
    </row>
    <row r="152" spans="1:12" s="900" customFormat="1">
      <c r="A152" s="2738"/>
      <c r="D152" s="2739"/>
      <c r="K152" s="897"/>
      <c r="L152" s="897"/>
    </row>
    <row r="153" spans="1:12" s="900" customFormat="1">
      <c r="A153" s="2738"/>
      <c r="D153" s="2739"/>
      <c r="K153" s="897"/>
      <c r="L153" s="897"/>
    </row>
    <row r="154" spans="1:12" s="900" customFormat="1">
      <c r="A154" s="2738"/>
      <c r="D154" s="2739"/>
      <c r="K154" s="897"/>
      <c r="L154" s="897"/>
    </row>
    <row r="155" spans="1:12" s="900" customFormat="1">
      <c r="A155" s="2738"/>
      <c r="D155" s="2739"/>
      <c r="K155" s="897"/>
      <c r="L155" s="897"/>
    </row>
    <row r="156" spans="1:12" s="900" customFormat="1">
      <c r="A156" s="2738"/>
      <c r="D156" s="2739"/>
      <c r="K156" s="897"/>
      <c r="L156" s="897"/>
    </row>
    <row r="157" spans="1:12" s="900" customFormat="1">
      <c r="A157" s="2738"/>
      <c r="D157" s="2739"/>
      <c r="K157" s="897"/>
      <c r="L157" s="897"/>
    </row>
    <row r="158" spans="1:12" s="900" customFormat="1">
      <c r="A158" s="2738"/>
      <c r="D158" s="2739"/>
      <c r="K158" s="897"/>
      <c r="L158" s="897"/>
    </row>
    <row r="159" spans="1:12" s="900" customFormat="1">
      <c r="A159" s="2738"/>
      <c r="D159" s="2739"/>
      <c r="K159" s="897"/>
      <c r="L159" s="897"/>
    </row>
    <row r="160" spans="1:12" s="900" customFormat="1">
      <c r="A160" s="2738"/>
      <c r="D160" s="2739"/>
      <c r="K160" s="897"/>
      <c r="L160" s="897"/>
    </row>
    <row r="161" spans="1:12" s="900" customFormat="1">
      <c r="A161" s="2738"/>
      <c r="D161" s="2739"/>
      <c r="K161" s="897"/>
      <c r="L161" s="897"/>
    </row>
    <row r="162" spans="1:12" s="900" customFormat="1">
      <c r="A162" s="2738"/>
      <c r="D162" s="2739"/>
      <c r="K162" s="897"/>
      <c r="L162" s="897"/>
    </row>
    <row r="163" spans="1:12" s="900" customFormat="1">
      <c r="A163" s="2738"/>
      <c r="D163" s="2739"/>
      <c r="K163" s="897"/>
      <c r="L163" s="897"/>
    </row>
    <row r="164" spans="1:12" s="900" customFormat="1">
      <c r="A164" s="2738"/>
      <c r="D164" s="2739"/>
      <c r="K164" s="897"/>
      <c r="L164" s="897"/>
    </row>
    <row r="165" spans="1:12" s="900" customFormat="1">
      <c r="A165" s="2738"/>
      <c r="D165" s="2739"/>
      <c r="K165" s="897"/>
      <c r="L165" s="897"/>
    </row>
    <row r="166" spans="1:12" s="900" customFormat="1">
      <c r="A166" s="2738"/>
      <c r="D166" s="2739"/>
      <c r="K166" s="897"/>
      <c r="L166" s="897"/>
    </row>
    <row r="167" spans="1:12" s="900" customFormat="1">
      <c r="A167" s="2738"/>
      <c r="D167" s="2739"/>
      <c r="K167" s="897"/>
      <c r="L167" s="897"/>
    </row>
    <row r="168" spans="1:12" s="900" customFormat="1">
      <c r="A168" s="2738"/>
      <c r="D168" s="2739"/>
      <c r="K168" s="897"/>
      <c r="L168" s="897"/>
    </row>
    <row r="169" spans="1:12" s="900" customFormat="1">
      <c r="A169" s="2738"/>
      <c r="D169" s="2739"/>
      <c r="K169" s="897"/>
      <c r="L169" s="897"/>
    </row>
    <row r="170" spans="1:12" s="900" customFormat="1">
      <c r="A170" s="2738"/>
      <c r="D170" s="2739"/>
      <c r="K170" s="897"/>
      <c r="L170" s="897"/>
    </row>
    <row r="171" spans="1:12" s="900" customFormat="1">
      <c r="A171" s="2738"/>
      <c r="D171" s="2739"/>
      <c r="K171" s="897"/>
      <c r="L171" s="897"/>
    </row>
    <row r="172" spans="1:12" s="900" customFormat="1">
      <c r="A172" s="2738"/>
      <c r="D172" s="2739"/>
      <c r="K172" s="897"/>
      <c r="L172" s="897"/>
    </row>
    <row r="173" spans="1:12" s="900" customFormat="1">
      <c r="A173" s="2738"/>
      <c r="D173" s="2739"/>
      <c r="K173" s="897"/>
      <c r="L173" s="897"/>
    </row>
    <row r="174" spans="1:12" s="900" customFormat="1">
      <c r="A174" s="2738"/>
      <c r="D174" s="2739"/>
      <c r="K174" s="897"/>
      <c r="L174" s="897"/>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0" customWidth="1"/>
    <col min="2" max="3" width="24.5" style="1521" customWidth="1"/>
    <col min="4" max="4" width="2.625" style="1521" customWidth="1"/>
    <col min="5" max="5" width="5.875" style="1521" customWidth="1"/>
    <col min="6" max="7" width="27" style="1521"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25" customWidth="1"/>
    <col min="19" max="29" width="9" style="2125"/>
    <col min="30" max="16384" width="9" style="2510"/>
  </cols>
  <sheetData>
    <row r="1" spans="1:29" s="2509" customFormat="1" ht="18">
      <c r="A1" s="3264" t="s">
        <v>781</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782</v>
      </c>
      <c r="D2" s="2518"/>
      <c r="E2" s="2515"/>
      <c r="F2" s="2519"/>
      <c r="G2" s="2517" t="s">
        <v>783</v>
      </c>
      <c r="H2" s="2125"/>
      <c r="I2" s="2125"/>
      <c r="J2" s="2125"/>
      <c r="K2" s="2125"/>
      <c r="L2" s="2125"/>
      <c r="M2" s="2125"/>
      <c r="N2" s="2125"/>
      <c r="O2" s="2125"/>
      <c r="P2" s="2125"/>
      <c r="Q2" s="2125"/>
    </row>
    <row r="3" spans="1:29" ht="24">
      <c r="A3" s="2520" t="s">
        <v>784</v>
      </c>
      <c r="B3" s="2521" t="s">
        <v>785</v>
      </c>
      <c r="C3" s="2522"/>
      <c r="D3" s="2523"/>
      <c r="E3" s="2524" t="s">
        <v>784</v>
      </c>
      <c r="F3" s="2525" t="s">
        <v>786</v>
      </c>
      <c r="G3" s="2526"/>
      <c r="H3" s="2125"/>
      <c r="I3" s="2125"/>
      <c r="J3" s="2125"/>
      <c r="K3" s="2125"/>
      <c r="L3" s="2125"/>
      <c r="M3" s="2125"/>
      <c r="N3" s="2125"/>
      <c r="O3" s="2125"/>
      <c r="P3" s="2125"/>
      <c r="Q3" s="2125"/>
    </row>
    <row r="4" spans="1:29">
      <c r="A4" s="2524"/>
      <c r="B4" s="1943" t="s">
        <v>787</v>
      </c>
      <c r="C4" s="2527"/>
      <c r="D4" s="2523"/>
      <c r="E4" s="2528"/>
      <c r="F4" s="2120" t="s">
        <v>788</v>
      </c>
      <c r="G4" s="2529"/>
      <c r="H4" s="2125"/>
      <c r="I4" s="2125"/>
      <c r="J4" s="2125"/>
      <c r="K4" s="2125"/>
      <c r="L4" s="2125"/>
      <c r="M4" s="2125"/>
      <c r="N4" s="2125"/>
      <c r="O4" s="2125"/>
      <c r="P4" s="2125"/>
      <c r="Q4" s="2125"/>
    </row>
    <row r="5" spans="1:29">
      <c r="A5" s="2524"/>
      <c r="B5" s="1943" t="s">
        <v>789</v>
      </c>
      <c r="C5" s="2527"/>
      <c r="D5" s="2523"/>
      <c r="E5" s="2528"/>
      <c r="F5" s="1943" t="s">
        <v>598</v>
      </c>
      <c r="G5" s="2529"/>
      <c r="H5" s="2125"/>
      <c r="I5" s="2125"/>
      <c r="J5" s="2125"/>
      <c r="K5" s="2125"/>
      <c r="L5" s="2125"/>
      <c r="M5" s="2125"/>
      <c r="N5" s="2125"/>
      <c r="O5" s="2125"/>
      <c r="P5" s="2125"/>
      <c r="Q5" s="2125"/>
    </row>
    <row r="6" spans="1:29">
      <c r="A6" s="2524"/>
      <c r="B6" s="1943" t="s">
        <v>788</v>
      </c>
      <c r="C6" s="2529"/>
      <c r="D6" s="2523"/>
      <c r="E6" s="2528"/>
      <c r="F6" s="1943" t="s">
        <v>790</v>
      </c>
      <c r="G6" s="2529"/>
      <c r="H6" s="2125"/>
      <c r="I6" s="2125"/>
      <c r="J6" s="2125"/>
      <c r="K6" s="2125"/>
      <c r="L6" s="2125"/>
      <c r="M6" s="2125"/>
      <c r="N6" s="2125"/>
      <c r="O6" s="2125"/>
      <c r="P6" s="2125"/>
      <c r="Q6" s="2125"/>
    </row>
    <row r="7" spans="1:29">
      <c r="A7" s="2524"/>
      <c r="B7" s="1943" t="s">
        <v>598</v>
      </c>
      <c r="C7" s="2529"/>
      <c r="D7" s="2530"/>
      <c r="E7" s="2531"/>
      <c r="F7" s="2532" t="s">
        <v>791</v>
      </c>
      <c r="G7" s="2533"/>
      <c r="H7" s="2125"/>
      <c r="I7" s="2125"/>
      <c r="J7" s="2125"/>
      <c r="K7" s="2125"/>
      <c r="L7" s="2125"/>
      <c r="M7" s="2125"/>
      <c r="N7" s="2125"/>
      <c r="O7" s="2125"/>
      <c r="P7" s="2125"/>
      <c r="Q7" s="2125"/>
    </row>
    <row r="8" spans="1:29">
      <c r="A8" s="2524"/>
      <c r="B8" s="1943" t="s">
        <v>790</v>
      </c>
      <c r="C8" s="2529"/>
      <c r="D8" s="2530"/>
      <c r="E8" s="2530"/>
      <c r="F8" s="985"/>
      <c r="G8" s="985"/>
      <c r="H8" s="2125"/>
      <c r="I8" s="2125"/>
      <c r="J8" s="2125"/>
      <c r="K8" s="2125"/>
      <c r="L8" s="2125"/>
      <c r="M8" s="2125"/>
      <c r="N8" s="2125"/>
      <c r="O8" s="2125"/>
      <c r="P8" s="2125"/>
      <c r="Q8" s="2125"/>
    </row>
    <row r="9" spans="1:29">
      <c r="A9" s="2524"/>
      <c r="B9" s="1943" t="s">
        <v>792</v>
      </c>
      <c r="C9" s="2527"/>
      <c r="D9" s="2523"/>
      <c r="E9" s="2530"/>
      <c r="F9" s="985"/>
      <c r="G9" s="985"/>
      <c r="H9" s="2125"/>
      <c r="I9" s="2125"/>
      <c r="J9" s="2125"/>
      <c r="K9" s="2125"/>
      <c r="L9" s="2125"/>
      <c r="M9" s="2125"/>
      <c r="N9" s="2125"/>
      <c r="O9" s="2125"/>
      <c r="P9" s="2125"/>
      <c r="Q9" s="2125"/>
    </row>
    <row r="10" spans="1:29">
      <c r="A10" s="2534"/>
      <c r="B10" s="2535" t="s">
        <v>793</v>
      </c>
      <c r="C10" s="2536"/>
      <c r="D10" s="2523"/>
      <c r="E10" s="2523"/>
      <c r="F10" s="985"/>
      <c r="G10" s="985"/>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794</v>
      </c>
      <c r="B13" s="2539"/>
      <c r="C13" s="2539"/>
      <c r="D13" s="2538"/>
      <c r="E13" s="2539"/>
      <c r="F13" s="2539"/>
      <c r="G13" s="2539"/>
    </row>
    <row r="14" spans="1:29">
      <c r="A14" s="2544"/>
      <c r="B14" s="2544"/>
      <c r="C14" s="2545" t="s">
        <v>782</v>
      </c>
      <c r="D14" s="2523"/>
      <c r="E14" s="2546"/>
      <c r="F14" s="2546"/>
      <c r="G14" s="2517" t="s">
        <v>783</v>
      </c>
    </row>
    <row r="15" spans="1:29" ht="24">
      <c r="A15" s="2547" t="s">
        <v>784</v>
      </c>
      <c r="B15" s="2548" t="s">
        <v>785</v>
      </c>
      <c r="C15" s="2549">
        <f>C3</f>
        <v>0</v>
      </c>
      <c r="D15" s="2523"/>
      <c r="E15" s="2550" t="s">
        <v>784</v>
      </c>
      <c r="F15" s="2548" t="s">
        <v>786</v>
      </c>
      <c r="G15" s="2551">
        <f>G3</f>
        <v>0</v>
      </c>
    </row>
    <row r="16" spans="1:29">
      <c r="A16" s="2552"/>
      <c r="B16" s="2553" t="s">
        <v>787</v>
      </c>
      <c r="C16" s="2554">
        <f>C4</f>
        <v>0</v>
      </c>
      <c r="D16" s="2523"/>
      <c r="E16" s="2555"/>
      <c r="F16" s="2556" t="s">
        <v>788</v>
      </c>
      <c r="G16" s="2557">
        <f>G4</f>
        <v>0</v>
      </c>
    </row>
    <row r="17" spans="1:17">
      <c r="A17" s="2552"/>
      <c r="B17" s="2553" t="s">
        <v>789</v>
      </c>
      <c r="C17" s="2554">
        <f>C5</f>
        <v>0</v>
      </c>
      <c r="D17" s="2530"/>
      <c r="E17" s="2555"/>
      <c r="F17" s="2556" t="s">
        <v>795</v>
      </c>
      <c r="G17" s="2558"/>
    </row>
    <row r="18" spans="1:17">
      <c r="A18" s="2552"/>
      <c r="B18" s="2556" t="s">
        <v>788</v>
      </c>
      <c r="C18" s="2557">
        <f>C6</f>
        <v>0</v>
      </c>
      <c r="D18" s="2530"/>
      <c r="E18" s="2555"/>
      <c r="F18" s="2556" t="s">
        <v>791</v>
      </c>
      <c r="G18" s="2557">
        <f>G7</f>
        <v>0</v>
      </c>
    </row>
    <row r="19" spans="1:17">
      <c r="A19" s="2552"/>
      <c r="B19" s="2556" t="s">
        <v>795</v>
      </c>
      <c r="C19" s="2558"/>
      <c r="D19" s="2523"/>
      <c r="E19" s="2555"/>
      <c r="F19" s="1943" t="s">
        <v>598</v>
      </c>
      <c r="G19" s="2557">
        <f>G5</f>
        <v>0</v>
      </c>
    </row>
    <row r="20" spans="1:17">
      <c r="A20" s="2552"/>
      <c r="B20" s="2556" t="s">
        <v>796</v>
      </c>
      <c r="C20" s="2554">
        <f>C9</f>
        <v>0</v>
      </c>
      <c r="D20" s="2530"/>
      <c r="E20" s="2555"/>
      <c r="F20" s="1943" t="s">
        <v>790</v>
      </c>
      <c r="G20" s="2557">
        <f>G6</f>
        <v>0</v>
      </c>
    </row>
    <row r="21" spans="1:17">
      <c r="A21" s="2552"/>
      <c r="B21" s="1943" t="s">
        <v>598</v>
      </c>
      <c r="C21" s="2557">
        <f>C7</f>
        <v>0</v>
      </c>
      <c r="D21" s="2523"/>
      <c r="E21" s="2555"/>
      <c r="F21" s="2556" t="s">
        <v>797</v>
      </c>
      <c r="G21" s="2559"/>
    </row>
    <row r="22" spans="1:17" ht="13.5" customHeight="1">
      <c r="A22" s="2552"/>
      <c r="B22" s="1943" t="s">
        <v>790</v>
      </c>
      <c r="C22" s="2557">
        <f>C8</f>
        <v>0</v>
      </c>
      <c r="D22" s="2523"/>
      <c r="E22" s="2555"/>
      <c r="F22" s="2556" t="s">
        <v>793</v>
      </c>
      <c r="G22" s="2558"/>
    </row>
    <row r="23" spans="1:17" s="2125" customFormat="1">
      <c r="A23" s="2552"/>
      <c r="B23" s="2556" t="s">
        <v>797</v>
      </c>
      <c r="C23" s="2559"/>
      <c r="D23" s="2494"/>
      <c r="E23" s="2560"/>
      <c r="F23" s="2561" t="s">
        <v>548</v>
      </c>
      <c r="G23" s="2562"/>
      <c r="H23" s="2511"/>
      <c r="I23" s="2511"/>
      <c r="J23" s="2511"/>
      <c r="K23" s="2511"/>
      <c r="L23" s="2511"/>
      <c r="M23" s="2511"/>
      <c r="N23" s="2511"/>
      <c r="O23" s="2511"/>
      <c r="P23" s="2511"/>
      <c r="Q23" s="2511"/>
    </row>
    <row r="24" spans="1:17" s="2125" customFormat="1">
      <c r="A24" s="2563"/>
      <c r="B24" s="2561" t="s">
        <v>793</v>
      </c>
      <c r="C24" s="2564">
        <f>C10</f>
        <v>0</v>
      </c>
      <c r="D24" s="2494"/>
      <c r="E24" s="2530"/>
      <c r="F24" s="2530"/>
      <c r="G24" s="2530"/>
      <c r="H24" s="2511"/>
      <c r="I24" s="2511"/>
      <c r="J24" s="2511"/>
      <c r="K24" s="2511"/>
      <c r="L24" s="2511"/>
      <c r="M24" s="2511"/>
      <c r="N24" s="2511"/>
      <c r="O24" s="2511"/>
      <c r="P24" s="2511"/>
      <c r="Q24" s="2511"/>
    </row>
    <row r="25" spans="1:17" s="2125" customFormat="1">
      <c r="B25" s="2511"/>
      <c r="C25" s="2511"/>
      <c r="D25" s="2511"/>
      <c r="H25" s="2511"/>
      <c r="I25" s="2511"/>
      <c r="J25" s="2511"/>
      <c r="K25" s="2511"/>
      <c r="L25" s="2511"/>
      <c r="M25" s="2511"/>
      <c r="N25" s="2511"/>
      <c r="O25" s="2511"/>
      <c r="P25" s="2511"/>
      <c r="Q25" s="2511"/>
    </row>
    <row r="26" spans="1:17" s="2125" customFormat="1">
      <c r="B26" s="2511"/>
      <c r="C26" s="2511"/>
      <c r="D26" s="2511"/>
      <c r="H26" s="2511"/>
      <c r="I26" s="2511"/>
      <c r="J26" s="2511"/>
      <c r="K26" s="2511"/>
      <c r="L26" s="2511"/>
      <c r="M26" s="2511"/>
      <c r="N26" s="2511"/>
      <c r="O26" s="2511"/>
      <c r="P26" s="2511"/>
      <c r="Q26" s="2511"/>
    </row>
    <row r="27" spans="1:17" s="2125" customFormat="1">
      <c r="B27" s="2511"/>
      <c r="C27" s="2511"/>
      <c r="D27" s="2511"/>
      <c r="H27" s="2511"/>
      <c r="I27" s="2511"/>
      <c r="J27" s="2511"/>
      <c r="K27" s="2511"/>
      <c r="L27" s="2511"/>
      <c r="M27" s="2511"/>
      <c r="N27" s="2511"/>
      <c r="O27" s="2511"/>
      <c r="P27" s="2511"/>
      <c r="Q27" s="2511"/>
    </row>
    <row r="28" spans="1:17" s="2125" customFormat="1">
      <c r="B28" s="2511"/>
      <c r="C28" s="2511"/>
      <c r="D28" s="2511"/>
      <c r="H28" s="2511"/>
      <c r="I28" s="2511"/>
      <c r="J28" s="2511"/>
      <c r="K28" s="2511"/>
      <c r="L28" s="2511"/>
      <c r="M28" s="2511"/>
      <c r="N28" s="2511"/>
      <c r="O28" s="2511"/>
      <c r="P28" s="2511"/>
      <c r="Q28" s="2511"/>
    </row>
    <row r="29" spans="1:17" s="2125" customFormat="1">
      <c r="B29" s="2511"/>
      <c r="C29" s="2511"/>
      <c r="D29" s="2511"/>
      <c r="H29" s="2511"/>
      <c r="I29" s="2511"/>
      <c r="J29" s="2511"/>
      <c r="K29" s="2511"/>
      <c r="L29" s="2511"/>
      <c r="M29" s="2511"/>
      <c r="N29" s="2511"/>
      <c r="O29" s="2511"/>
      <c r="P29" s="2511"/>
      <c r="Q29" s="2511"/>
    </row>
    <row r="30" spans="1:17" s="2125" customFormat="1">
      <c r="B30" s="2511"/>
      <c r="C30" s="2511"/>
      <c r="D30" s="2511"/>
      <c r="H30" s="2511"/>
      <c r="I30" s="2511"/>
      <c r="J30" s="2511"/>
      <c r="K30" s="2511"/>
      <c r="L30" s="2511"/>
      <c r="M30" s="2511"/>
      <c r="N30" s="2511"/>
      <c r="O30" s="2511"/>
      <c r="P30" s="2511"/>
      <c r="Q30" s="2511"/>
    </row>
    <row r="31" spans="1:17" s="2125" customFormat="1">
      <c r="B31" s="2511"/>
      <c r="C31" s="2511"/>
      <c r="D31" s="2511"/>
      <c r="H31" s="2511"/>
      <c r="I31" s="2511"/>
      <c r="J31" s="2511"/>
      <c r="K31" s="2511"/>
      <c r="L31" s="2511"/>
      <c r="M31" s="2511"/>
      <c r="N31" s="2511"/>
      <c r="O31" s="2511"/>
      <c r="P31" s="2511"/>
      <c r="Q31" s="2511"/>
    </row>
    <row r="32" spans="1:17" s="2125" customFormat="1">
      <c r="B32" s="2511"/>
      <c r="C32" s="2511"/>
      <c r="D32" s="2511"/>
      <c r="H32" s="2511"/>
      <c r="I32" s="2511"/>
      <c r="J32" s="2511"/>
      <c r="K32" s="2511"/>
      <c r="L32" s="2511"/>
      <c r="M32" s="2511"/>
      <c r="N32" s="2511"/>
      <c r="O32" s="2511"/>
      <c r="P32" s="2511"/>
      <c r="Q32" s="2511"/>
    </row>
    <row r="33" spans="2:17" s="2125" customFormat="1">
      <c r="B33" s="2511"/>
      <c r="C33" s="2511"/>
      <c r="D33" s="2511"/>
      <c r="H33" s="2511"/>
      <c r="I33" s="2511"/>
      <c r="J33" s="2511"/>
      <c r="K33" s="2511"/>
      <c r="L33" s="2511"/>
      <c r="M33" s="2511"/>
      <c r="N33" s="2511"/>
      <c r="O33" s="2511"/>
      <c r="P33" s="2511"/>
      <c r="Q33" s="2511"/>
    </row>
    <row r="34" spans="2:17" s="2125" customFormat="1">
      <c r="B34" s="2511"/>
      <c r="C34" s="2511"/>
      <c r="D34" s="2511"/>
      <c r="H34" s="2511"/>
      <c r="I34" s="2511"/>
      <c r="J34" s="2511"/>
      <c r="K34" s="2511"/>
      <c r="L34" s="2511"/>
      <c r="M34" s="2511"/>
      <c r="N34" s="2511"/>
      <c r="O34" s="2511"/>
      <c r="P34" s="2511"/>
      <c r="Q34" s="2511"/>
    </row>
    <row r="35" spans="2:17" s="2125" customFormat="1">
      <c r="B35" s="2511"/>
      <c r="C35" s="2511"/>
      <c r="D35" s="2511"/>
      <c r="H35" s="2511"/>
      <c r="I35" s="2511"/>
      <c r="J35" s="2511"/>
      <c r="K35" s="2511"/>
      <c r="L35" s="2511"/>
      <c r="M35" s="2511"/>
      <c r="N35" s="2511"/>
      <c r="O35" s="2511"/>
      <c r="P35" s="2511"/>
      <c r="Q35" s="2511"/>
    </row>
    <row r="36" spans="2:17" s="2125" customFormat="1">
      <c r="B36" s="2511"/>
      <c r="C36" s="2511"/>
      <c r="D36" s="2511"/>
      <c r="H36" s="2511"/>
      <c r="I36" s="2511"/>
      <c r="J36" s="2511"/>
      <c r="K36" s="2511"/>
      <c r="L36" s="2511"/>
      <c r="M36" s="2511"/>
      <c r="N36" s="2511"/>
      <c r="O36" s="2511"/>
      <c r="P36" s="2511"/>
      <c r="Q36" s="2511"/>
    </row>
    <row r="37" spans="2:17" s="2125" customFormat="1">
      <c r="B37" s="2511"/>
      <c r="C37" s="2511"/>
      <c r="D37" s="2511"/>
      <c r="H37" s="2511"/>
      <c r="I37" s="2511"/>
      <c r="J37" s="2511"/>
      <c r="K37" s="2511"/>
      <c r="L37" s="2511"/>
      <c r="M37" s="2511"/>
      <c r="N37" s="2511"/>
      <c r="O37" s="2511"/>
      <c r="P37" s="2511"/>
      <c r="Q37" s="2511"/>
    </row>
    <row r="38" spans="2:17" s="2125" customFormat="1">
      <c r="B38" s="2511"/>
      <c r="C38" s="2511"/>
      <c r="D38" s="2511"/>
      <c r="E38" s="2511"/>
      <c r="F38" s="2511"/>
      <c r="G38" s="2511"/>
      <c r="H38" s="2511"/>
      <c r="I38" s="2511"/>
      <c r="J38" s="2511"/>
      <c r="K38" s="2511"/>
      <c r="L38" s="2511"/>
      <c r="M38" s="2511"/>
      <c r="N38" s="2511"/>
      <c r="O38" s="2511"/>
      <c r="P38" s="2511"/>
      <c r="Q38" s="2511"/>
    </row>
    <row r="39" spans="2:17" s="2125" customFormat="1">
      <c r="B39" s="2511"/>
      <c r="C39" s="2511"/>
      <c r="D39" s="2511"/>
      <c r="E39" s="2511"/>
      <c r="F39" s="2511"/>
      <c r="G39" s="2511"/>
      <c r="H39" s="2511"/>
      <c r="I39" s="2511"/>
      <c r="J39" s="2511"/>
      <c r="K39" s="2511"/>
      <c r="L39" s="2511"/>
      <c r="M39" s="2511"/>
      <c r="N39" s="2511"/>
      <c r="O39" s="2511"/>
      <c r="P39" s="2511"/>
      <c r="Q39" s="2511"/>
    </row>
    <row r="40" spans="2:17" s="2125" customFormat="1">
      <c r="B40" s="2511"/>
      <c r="C40" s="2511"/>
      <c r="D40" s="2511"/>
      <c r="E40" s="2511"/>
      <c r="F40" s="2511"/>
      <c r="G40" s="2511"/>
      <c r="H40" s="2511"/>
      <c r="I40" s="2511"/>
      <c r="J40" s="2511"/>
      <c r="K40" s="2511"/>
      <c r="L40" s="2511"/>
      <c r="M40" s="2511"/>
      <c r="N40" s="2511"/>
      <c r="O40" s="2511"/>
      <c r="P40" s="2511"/>
      <c r="Q40" s="2511"/>
    </row>
    <row r="41" spans="2:17" s="2125" customFormat="1">
      <c r="B41" s="2511"/>
      <c r="C41" s="2511"/>
      <c r="D41" s="2511"/>
      <c r="E41" s="2511"/>
      <c r="F41" s="2511"/>
      <c r="G41" s="2511"/>
      <c r="H41" s="2511"/>
      <c r="I41" s="2511"/>
      <c r="J41" s="2511"/>
      <c r="K41" s="2511"/>
      <c r="L41" s="2511"/>
      <c r="M41" s="2511"/>
      <c r="N41" s="2511"/>
      <c r="O41" s="2511"/>
      <c r="P41" s="2511"/>
      <c r="Q41" s="2511"/>
    </row>
    <row r="42" spans="2:17" s="2125" customFormat="1">
      <c r="B42" s="2511"/>
      <c r="C42" s="2511"/>
      <c r="D42" s="2511"/>
      <c r="E42" s="2511"/>
      <c r="F42" s="2511"/>
      <c r="G42" s="2511"/>
      <c r="H42" s="2511"/>
      <c r="I42" s="2511"/>
      <c r="J42" s="2511"/>
      <c r="K42" s="2511"/>
      <c r="L42" s="2511"/>
      <c r="M42" s="2511"/>
      <c r="N42" s="2511"/>
      <c r="O42" s="2511"/>
      <c r="P42" s="2511"/>
      <c r="Q42" s="2511"/>
    </row>
    <row r="43" spans="2:17" s="2125" customFormat="1">
      <c r="B43" s="2511"/>
      <c r="C43" s="2511"/>
      <c r="D43" s="2511"/>
      <c r="E43" s="2511"/>
      <c r="F43" s="2511"/>
      <c r="G43" s="2511"/>
      <c r="H43" s="2511"/>
      <c r="I43" s="2511"/>
      <c r="J43" s="2511"/>
      <c r="K43" s="2511"/>
      <c r="L43" s="2511"/>
      <c r="M43" s="2511"/>
      <c r="N43" s="2511"/>
      <c r="O43" s="2511"/>
      <c r="P43" s="2511"/>
      <c r="Q43" s="2511"/>
    </row>
    <row r="44" spans="2:17" s="2125" customFormat="1">
      <c r="B44" s="2511"/>
      <c r="C44" s="2511"/>
      <c r="D44" s="2511"/>
      <c r="E44" s="2511"/>
      <c r="F44" s="2511"/>
      <c r="G44" s="2511"/>
      <c r="H44" s="2511"/>
      <c r="I44" s="2511"/>
      <c r="J44" s="2511"/>
      <c r="K44" s="2511"/>
      <c r="L44" s="2511"/>
      <c r="M44" s="2511"/>
      <c r="N44" s="2511"/>
      <c r="O44" s="2511"/>
      <c r="P44" s="2511"/>
      <c r="Q44" s="2511"/>
    </row>
    <row r="45" spans="2:17" s="2125" customFormat="1">
      <c r="B45" s="2511"/>
      <c r="C45" s="2511"/>
      <c r="D45" s="2511"/>
      <c r="E45" s="2511"/>
      <c r="F45" s="2511"/>
      <c r="G45" s="2511"/>
      <c r="H45" s="2511"/>
      <c r="I45" s="2511"/>
      <c r="J45" s="2511"/>
      <c r="K45" s="2511"/>
      <c r="L45" s="2511"/>
      <c r="M45" s="2511"/>
      <c r="N45" s="2511"/>
      <c r="O45" s="2511"/>
      <c r="P45" s="2511"/>
      <c r="Q45" s="2511"/>
    </row>
    <row r="46" spans="2:17" s="2125" customFormat="1">
      <c r="B46" s="2511"/>
      <c r="C46" s="2511"/>
      <c r="D46" s="2511"/>
      <c r="E46" s="2511"/>
      <c r="F46" s="2511"/>
      <c r="G46" s="2511"/>
      <c r="H46" s="2511"/>
      <c r="I46" s="2511"/>
      <c r="J46" s="2511"/>
      <c r="K46" s="2511"/>
      <c r="L46" s="2511"/>
      <c r="M46" s="2511"/>
      <c r="N46" s="2511"/>
      <c r="O46" s="2511"/>
      <c r="P46" s="2511"/>
      <c r="Q46" s="2511"/>
    </row>
    <row r="47" spans="2:17" s="2125" customFormat="1">
      <c r="B47" s="2511"/>
      <c r="C47" s="2511"/>
      <c r="D47" s="2511"/>
      <c r="E47" s="2511"/>
      <c r="F47" s="2511"/>
      <c r="G47" s="2511"/>
      <c r="H47" s="2511"/>
      <c r="I47" s="2511"/>
      <c r="J47" s="2511"/>
      <c r="K47" s="2511"/>
      <c r="L47" s="2511"/>
      <c r="M47" s="2511"/>
      <c r="N47" s="2511"/>
      <c r="O47" s="2511"/>
      <c r="P47" s="2511"/>
      <c r="Q47" s="2511"/>
    </row>
    <row r="48" spans="2:17" s="2125" customFormat="1">
      <c r="B48" s="2511"/>
      <c r="C48" s="2511"/>
      <c r="D48" s="2511"/>
      <c r="E48" s="2511"/>
      <c r="F48" s="2511"/>
      <c r="G48" s="2511"/>
      <c r="H48" s="2511"/>
      <c r="I48" s="2511"/>
      <c r="J48" s="2511"/>
      <c r="K48" s="2511"/>
      <c r="L48" s="2511"/>
      <c r="M48" s="2511"/>
      <c r="N48" s="2511"/>
      <c r="O48" s="2511"/>
      <c r="P48" s="2511"/>
      <c r="Q48" s="2511"/>
    </row>
    <row r="49" spans="2:17" s="2125" customFormat="1">
      <c r="B49" s="2511"/>
      <c r="C49" s="2511"/>
      <c r="D49" s="2511"/>
      <c r="E49" s="2511"/>
      <c r="F49" s="2511"/>
      <c r="G49" s="2511"/>
      <c r="H49" s="2511"/>
      <c r="I49" s="2511"/>
      <c r="J49" s="2511"/>
      <c r="K49" s="2511"/>
      <c r="L49" s="2511"/>
      <c r="M49" s="2511"/>
      <c r="N49" s="2511"/>
      <c r="O49" s="2511"/>
      <c r="P49" s="2511"/>
      <c r="Q49" s="2511"/>
    </row>
    <row r="50" spans="2:17" s="2125" customFormat="1">
      <c r="B50" s="2511"/>
      <c r="C50" s="2511"/>
      <c r="D50" s="2511"/>
      <c r="E50" s="2511"/>
      <c r="F50" s="2511"/>
      <c r="G50" s="2511"/>
      <c r="H50" s="2511"/>
      <c r="I50" s="2511"/>
      <c r="J50" s="2511"/>
      <c r="K50" s="2511"/>
      <c r="L50" s="2511"/>
      <c r="M50" s="2511"/>
      <c r="N50" s="2511"/>
      <c r="O50" s="2511"/>
      <c r="P50" s="2511"/>
      <c r="Q50" s="2511"/>
    </row>
    <row r="51" spans="2:17" s="2125" customFormat="1">
      <c r="B51" s="2511"/>
      <c r="C51" s="2511"/>
      <c r="D51" s="2511"/>
      <c r="E51" s="2511"/>
      <c r="F51" s="2511"/>
      <c r="G51" s="2511"/>
      <c r="H51" s="2511"/>
      <c r="I51" s="2511"/>
      <c r="J51" s="2511"/>
      <c r="K51" s="2511"/>
      <c r="L51" s="2511"/>
      <c r="M51" s="2511"/>
      <c r="N51" s="2511"/>
      <c r="O51" s="2511"/>
      <c r="P51" s="2511"/>
      <c r="Q51" s="2511"/>
    </row>
    <row r="52" spans="2:17" s="2125" customFormat="1">
      <c r="B52" s="2511"/>
      <c r="C52" s="2511"/>
      <c r="D52" s="2511"/>
      <c r="E52" s="2511"/>
      <c r="F52" s="2511"/>
      <c r="G52" s="2511"/>
      <c r="H52" s="2511"/>
      <c r="I52" s="2511"/>
      <c r="J52" s="2511"/>
      <c r="K52" s="2511"/>
      <c r="L52" s="2511"/>
      <c r="M52" s="2511"/>
      <c r="N52" s="2511"/>
      <c r="O52" s="2511"/>
      <c r="P52" s="2511"/>
      <c r="Q52" s="2511"/>
    </row>
    <row r="53" spans="2:17" s="2125" customFormat="1">
      <c r="B53" s="2511"/>
      <c r="C53" s="2511"/>
      <c r="D53" s="2511"/>
      <c r="E53" s="2511"/>
      <c r="F53" s="2511"/>
      <c r="G53" s="2511"/>
      <c r="H53" s="2511"/>
      <c r="I53" s="2511"/>
      <c r="J53" s="2511"/>
      <c r="K53" s="2511"/>
      <c r="L53" s="2511"/>
      <c r="M53" s="2511"/>
      <c r="N53" s="2511"/>
      <c r="O53" s="2511"/>
      <c r="P53" s="2511"/>
      <c r="Q53" s="2511"/>
    </row>
    <row r="54" spans="2:17" s="2125" customFormat="1">
      <c r="B54" s="2511"/>
      <c r="C54" s="2511"/>
      <c r="D54" s="2511"/>
      <c r="E54" s="2511"/>
      <c r="F54" s="2511"/>
      <c r="G54" s="2511"/>
      <c r="H54" s="2511"/>
      <c r="I54" s="2511"/>
      <c r="J54" s="2511"/>
      <c r="K54" s="2511"/>
      <c r="L54" s="2511"/>
      <c r="M54" s="2511"/>
      <c r="N54" s="2511"/>
      <c r="O54" s="2511"/>
      <c r="P54" s="2511"/>
      <c r="Q54" s="2511"/>
    </row>
    <row r="55" spans="2:17" s="2125" customFormat="1">
      <c r="B55" s="2511"/>
      <c r="C55" s="2511"/>
      <c r="D55" s="2511"/>
      <c r="E55" s="2511"/>
      <c r="F55" s="2511"/>
      <c r="G55" s="2511"/>
      <c r="H55" s="2511"/>
      <c r="I55" s="2511"/>
      <c r="J55" s="2511"/>
      <c r="K55" s="2511"/>
      <c r="L55" s="2511"/>
      <c r="M55" s="2511"/>
      <c r="N55" s="2511"/>
      <c r="O55" s="2511"/>
      <c r="P55" s="2511"/>
      <c r="Q55" s="2511"/>
    </row>
    <row r="56" spans="2:17" s="2125" customFormat="1">
      <c r="B56" s="2511"/>
      <c r="C56" s="2511"/>
      <c r="D56" s="2511"/>
      <c r="E56" s="2511"/>
      <c r="F56" s="2511"/>
      <c r="G56" s="2511"/>
      <c r="H56" s="2511"/>
      <c r="I56" s="2511"/>
      <c r="J56" s="2511"/>
      <c r="K56" s="2511"/>
      <c r="L56" s="2511"/>
      <c r="M56" s="2511"/>
      <c r="N56" s="2511"/>
      <c r="O56" s="2511"/>
      <c r="P56" s="2511"/>
      <c r="Q56" s="2511"/>
    </row>
    <row r="57" spans="2:17" s="2125" customFormat="1">
      <c r="B57" s="2511"/>
      <c r="C57" s="2511"/>
      <c r="D57" s="2511"/>
      <c r="E57" s="2511"/>
      <c r="F57" s="2511"/>
      <c r="G57" s="2511"/>
      <c r="H57" s="2511"/>
      <c r="I57" s="2511"/>
      <c r="J57" s="2511"/>
      <c r="K57" s="2511"/>
      <c r="L57" s="2511"/>
      <c r="M57" s="2511"/>
      <c r="N57" s="2511"/>
      <c r="O57" s="2511"/>
      <c r="P57" s="2511"/>
      <c r="Q57" s="2511"/>
    </row>
    <row r="58" spans="2:17" s="2125" customFormat="1">
      <c r="B58" s="2511"/>
      <c r="C58" s="2511"/>
      <c r="D58" s="2511"/>
      <c r="E58" s="2511"/>
      <c r="F58" s="2511"/>
      <c r="G58" s="2511"/>
      <c r="H58" s="2511"/>
      <c r="I58" s="2511"/>
      <c r="J58" s="2511"/>
      <c r="K58" s="2511"/>
      <c r="L58" s="2511"/>
      <c r="M58" s="2511"/>
      <c r="N58" s="2511"/>
      <c r="O58" s="2511"/>
      <c r="P58" s="2511"/>
      <c r="Q58" s="2511"/>
    </row>
    <row r="59" spans="2:17" s="2125" customFormat="1">
      <c r="B59" s="2511"/>
      <c r="C59" s="2511"/>
      <c r="D59" s="2511"/>
      <c r="E59" s="2511"/>
      <c r="F59" s="2511"/>
      <c r="G59" s="2511"/>
      <c r="H59" s="2511"/>
      <c r="I59" s="2511"/>
      <c r="J59" s="2511"/>
      <c r="K59" s="2511"/>
      <c r="L59" s="2511"/>
      <c r="M59" s="2511"/>
      <c r="N59" s="2511"/>
      <c r="O59" s="2511"/>
      <c r="P59" s="2511"/>
      <c r="Q59" s="2511"/>
    </row>
    <row r="60" spans="2:17" s="2125" customFormat="1">
      <c r="B60" s="2511"/>
      <c r="C60" s="2511"/>
      <c r="D60" s="2511"/>
      <c r="E60" s="2511"/>
      <c r="F60" s="2511"/>
      <c r="G60" s="2511"/>
      <c r="H60" s="2511"/>
      <c r="I60" s="2511"/>
      <c r="J60" s="2511"/>
      <c r="K60" s="2511"/>
      <c r="L60" s="2511"/>
      <c r="M60" s="2511"/>
      <c r="N60" s="2511"/>
      <c r="O60" s="2511"/>
      <c r="P60" s="2511"/>
      <c r="Q60" s="2511"/>
    </row>
    <row r="61" spans="2:17" s="2125" customFormat="1">
      <c r="B61" s="2511"/>
      <c r="C61" s="2511"/>
      <c r="D61" s="2511"/>
      <c r="E61" s="2511"/>
      <c r="F61" s="2511"/>
      <c r="G61" s="2511"/>
      <c r="H61" s="2511"/>
      <c r="I61" s="2511"/>
      <c r="J61" s="2511"/>
      <c r="K61" s="2511"/>
      <c r="L61" s="2511"/>
      <c r="M61" s="2511"/>
      <c r="N61" s="2511"/>
      <c r="O61" s="2511"/>
      <c r="P61" s="2511"/>
      <c r="Q61" s="2511"/>
    </row>
    <row r="62" spans="2:17" s="2125" customFormat="1">
      <c r="B62" s="2511"/>
      <c r="C62" s="2511"/>
      <c r="D62" s="2511"/>
      <c r="E62" s="2511"/>
      <c r="F62" s="2511"/>
      <c r="G62" s="2511"/>
      <c r="H62" s="2511"/>
      <c r="I62" s="2511"/>
      <c r="J62" s="2511"/>
      <c r="K62" s="2511"/>
      <c r="L62" s="2511"/>
      <c r="M62" s="2511"/>
      <c r="N62" s="2511"/>
      <c r="O62" s="2511"/>
      <c r="P62" s="2511"/>
      <c r="Q62" s="2511"/>
    </row>
    <row r="63" spans="2:17" s="2125" customFormat="1">
      <c r="B63" s="2511"/>
      <c r="C63" s="2511"/>
      <c r="D63" s="2511"/>
      <c r="E63" s="2511"/>
      <c r="F63" s="2511"/>
      <c r="G63" s="2511"/>
      <c r="H63" s="2511"/>
      <c r="I63" s="2511"/>
      <c r="J63" s="2511"/>
      <c r="K63" s="2511"/>
      <c r="L63" s="2511"/>
      <c r="M63" s="2511"/>
      <c r="N63" s="2511"/>
      <c r="O63" s="2511"/>
      <c r="P63" s="2511"/>
      <c r="Q63" s="2511"/>
    </row>
    <row r="64" spans="2:17" s="2125" customFormat="1">
      <c r="B64" s="2511"/>
      <c r="C64" s="2511"/>
      <c r="D64" s="2511"/>
      <c r="E64" s="2511"/>
      <c r="F64" s="2511"/>
      <c r="G64" s="2511"/>
      <c r="H64" s="2511"/>
      <c r="I64" s="2511"/>
      <c r="J64" s="2511"/>
      <c r="K64" s="2511"/>
      <c r="L64" s="2511"/>
      <c r="M64" s="2511"/>
      <c r="N64" s="2511"/>
      <c r="O64" s="2511"/>
      <c r="P64" s="2511"/>
      <c r="Q64" s="2511"/>
    </row>
    <row r="65" spans="2:17" s="2125" customFormat="1">
      <c r="B65" s="2511"/>
      <c r="C65" s="2511"/>
      <c r="D65" s="2511"/>
      <c r="E65" s="2511"/>
      <c r="F65" s="2511"/>
      <c r="G65" s="2511"/>
      <c r="H65" s="2511"/>
      <c r="I65" s="2511"/>
      <c r="J65" s="2511"/>
      <c r="K65" s="2511"/>
      <c r="L65" s="2511"/>
      <c r="M65" s="2511"/>
      <c r="N65" s="2511"/>
      <c r="O65" s="2511"/>
      <c r="P65" s="2511"/>
      <c r="Q65" s="2511"/>
    </row>
    <row r="66" spans="2:17" s="2125" customFormat="1">
      <c r="B66" s="2511"/>
      <c r="C66" s="2511"/>
      <c r="D66" s="2511"/>
      <c r="E66" s="2511"/>
      <c r="F66" s="2511"/>
      <c r="G66" s="2511"/>
      <c r="H66" s="2511"/>
      <c r="I66" s="2511"/>
      <c r="J66" s="2511"/>
      <c r="K66" s="2511"/>
      <c r="L66" s="2511"/>
      <c r="M66" s="2511"/>
      <c r="N66" s="2511"/>
      <c r="O66" s="2511"/>
      <c r="P66" s="2511"/>
      <c r="Q66" s="2511"/>
    </row>
    <row r="67" spans="2:17" s="2125" customFormat="1">
      <c r="B67" s="2511"/>
      <c r="C67" s="2511"/>
      <c r="D67" s="2511"/>
      <c r="E67" s="2511"/>
      <c r="F67" s="2511"/>
      <c r="G67" s="2511"/>
      <c r="H67" s="2511"/>
      <c r="I67" s="2511"/>
      <c r="J67" s="2511"/>
      <c r="K67" s="2511"/>
      <c r="L67" s="2511"/>
      <c r="M67" s="2511"/>
      <c r="N67" s="2511"/>
      <c r="O67" s="2511"/>
      <c r="P67" s="2511"/>
      <c r="Q67" s="2511"/>
    </row>
    <row r="68" spans="2:17" s="2125" customFormat="1">
      <c r="B68" s="2511"/>
      <c r="C68" s="2511"/>
      <c r="D68" s="2511"/>
      <c r="E68" s="2511"/>
      <c r="F68" s="2511"/>
      <c r="G68" s="2511"/>
      <c r="H68" s="2511"/>
      <c r="I68" s="2511"/>
      <c r="J68" s="2511"/>
      <c r="K68" s="2511"/>
      <c r="L68" s="2511"/>
      <c r="M68" s="2511"/>
      <c r="N68" s="2511"/>
      <c r="O68" s="2511"/>
      <c r="P68" s="2511"/>
      <c r="Q68" s="2511"/>
    </row>
    <row r="69" spans="2:17" s="2125" customFormat="1">
      <c r="B69" s="2511"/>
      <c r="C69" s="2511"/>
      <c r="D69" s="2511"/>
      <c r="E69" s="2511"/>
      <c r="F69" s="2511"/>
      <c r="G69" s="2511"/>
      <c r="H69" s="2511"/>
      <c r="I69" s="2511"/>
      <c r="J69" s="2511"/>
      <c r="K69" s="2511"/>
      <c r="L69" s="2511"/>
      <c r="M69" s="2511"/>
      <c r="N69" s="2511"/>
      <c r="O69" s="2511"/>
      <c r="P69" s="2511"/>
      <c r="Q69" s="2511"/>
    </row>
    <row r="70" spans="2:17" s="2125" customFormat="1">
      <c r="B70" s="2511"/>
      <c r="C70" s="2511"/>
      <c r="D70" s="2511"/>
      <c r="E70" s="2511"/>
      <c r="F70" s="2511"/>
      <c r="G70" s="2511"/>
      <c r="H70" s="2511"/>
      <c r="I70" s="2511"/>
      <c r="J70" s="2511"/>
      <c r="K70" s="2511"/>
      <c r="L70" s="2511"/>
      <c r="M70" s="2511"/>
      <c r="N70" s="2511"/>
      <c r="O70" s="2511"/>
      <c r="P70" s="2511"/>
      <c r="Q70" s="2511"/>
    </row>
    <row r="71" spans="2:17" s="2125" customFormat="1">
      <c r="B71" s="2511"/>
      <c r="C71" s="2511"/>
      <c r="D71" s="2511"/>
      <c r="E71" s="2511"/>
      <c r="F71" s="2511"/>
      <c r="G71" s="2511"/>
      <c r="H71" s="2511"/>
      <c r="I71" s="2511"/>
      <c r="J71" s="2511"/>
      <c r="K71" s="2511"/>
      <c r="L71" s="2511"/>
      <c r="M71" s="2511"/>
      <c r="N71" s="2511"/>
      <c r="O71" s="2511"/>
      <c r="P71" s="2511"/>
      <c r="Q71" s="2511"/>
    </row>
    <row r="72" spans="2:17" s="2125" customFormat="1">
      <c r="B72" s="2511"/>
      <c r="C72" s="2511"/>
      <c r="D72" s="2511"/>
      <c r="E72" s="2511"/>
      <c r="F72" s="2511"/>
      <c r="G72" s="2511"/>
      <c r="H72" s="2511"/>
      <c r="I72" s="2511"/>
      <c r="J72" s="2511"/>
      <c r="K72" s="2511"/>
      <c r="L72" s="2511"/>
      <c r="M72" s="2511"/>
      <c r="N72" s="2511"/>
      <c r="O72" s="2511"/>
      <c r="P72" s="2511"/>
      <c r="Q72" s="2511"/>
    </row>
    <row r="73" spans="2:17" s="2125" customFormat="1">
      <c r="B73" s="2511"/>
      <c r="C73" s="2511"/>
      <c r="D73" s="2511"/>
      <c r="E73" s="2511"/>
      <c r="F73" s="2511"/>
      <c r="G73" s="2511"/>
      <c r="H73" s="2511"/>
      <c r="I73" s="2511"/>
      <c r="J73" s="2511"/>
      <c r="K73" s="2511"/>
      <c r="L73" s="2511"/>
      <c r="M73" s="2511"/>
      <c r="N73" s="2511"/>
      <c r="O73" s="2511"/>
      <c r="P73" s="2511"/>
      <c r="Q73" s="2511"/>
    </row>
    <row r="74" spans="2:17" s="2125" customFormat="1">
      <c r="B74" s="2511"/>
      <c r="C74" s="2511"/>
      <c r="D74" s="2511"/>
      <c r="E74" s="2511"/>
      <c r="F74" s="2511"/>
      <c r="G74" s="2511"/>
      <c r="H74" s="2511"/>
      <c r="I74" s="2511"/>
      <c r="J74" s="2511"/>
      <c r="K74" s="2511"/>
      <c r="L74" s="2511"/>
      <c r="M74" s="2511"/>
      <c r="N74" s="2511"/>
      <c r="O74" s="2511"/>
      <c r="P74" s="2511"/>
      <c r="Q74" s="2511"/>
    </row>
    <row r="75" spans="2:17" s="2125" customFormat="1">
      <c r="B75" s="2511"/>
      <c r="C75" s="2511"/>
      <c r="D75" s="2511"/>
      <c r="E75" s="2511"/>
      <c r="F75" s="2511"/>
      <c r="G75" s="2511"/>
      <c r="H75" s="2511"/>
      <c r="I75" s="2511"/>
      <c r="J75" s="2511"/>
      <c r="K75" s="2511"/>
      <c r="L75" s="2511"/>
      <c r="M75" s="2511"/>
      <c r="N75" s="2511"/>
      <c r="O75" s="2511"/>
      <c r="P75" s="2511"/>
      <c r="Q75" s="2511"/>
    </row>
    <row r="76" spans="2:17" s="2125" customFormat="1">
      <c r="B76" s="2511"/>
      <c r="C76" s="2511"/>
      <c r="D76" s="2511"/>
      <c r="E76" s="2511"/>
      <c r="F76" s="2511"/>
      <c r="G76" s="2511"/>
      <c r="H76" s="2511"/>
      <c r="I76" s="2511"/>
      <c r="J76" s="2511"/>
      <c r="K76" s="2511"/>
      <c r="L76" s="2511"/>
      <c r="M76" s="2511"/>
      <c r="N76" s="2511"/>
      <c r="O76" s="2511"/>
      <c r="P76" s="2511"/>
      <c r="Q76" s="2511"/>
    </row>
    <row r="77" spans="2:17" s="2125" customFormat="1">
      <c r="B77" s="2511"/>
      <c r="C77" s="2511"/>
      <c r="D77" s="2511"/>
      <c r="E77" s="2511"/>
      <c r="F77" s="2511"/>
      <c r="G77" s="2511"/>
      <c r="H77" s="2511"/>
      <c r="I77" s="2511"/>
      <c r="J77" s="2511"/>
      <c r="K77" s="2511"/>
      <c r="L77" s="2511"/>
      <c r="M77" s="2511"/>
      <c r="N77" s="2511"/>
      <c r="O77" s="2511"/>
      <c r="P77" s="2511"/>
      <c r="Q77" s="2511"/>
    </row>
    <row r="78" spans="2:17" s="2125" customFormat="1">
      <c r="B78" s="2511"/>
      <c r="C78" s="2511"/>
      <c r="D78" s="2511"/>
      <c r="E78" s="2511"/>
      <c r="F78" s="2511"/>
      <c r="G78" s="2511"/>
      <c r="H78" s="2511"/>
      <c r="I78" s="2511"/>
      <c r="J78" s="2511"/>
      <c r="K78" s="2511"/>
      <c r="L78" s="2511"/>
      <c r="M78" s="2511"/>
      <c r="N78" s="2511"/>
      <c r="O78" s="2511"/>
      <c r="P78" s="2511"/>
      <c r="Q78" s="2511"/>
    </row>
    <row r="79" spans="2:17" s="2125" customFormat="1">
      <c r="B79" s="2511"/>
      <c r="C79" s="2511"/>
      <c r="D79" s="2511"/>
      <c r="E79" s="2511"/>
      <c r="F79" s="2511"/>
      <c r="G79" s="2511"/>
      <c r="H79" s="2511"/>
      <c r="I79" s="2511"/>
      <c r="J79" s="2511"/>
      <c r="K79" s="2511"/>
      <c r="L79" s="2511"/>
      <c r="M79" s="2511"/>
      <c r="N79" s="2511"/>
      <c r="O79" s="2511"/>
      <c r="P79" s="2511"/>
      <c r="Q79" s="2511"/>
    </row>
    <row r="80" spans="2:17" s="2125" customFormat="1">
      <c r="B80" s="2511"/>
      <c r="C80" s="2511"/>
      <c r="D80" s="2511"/>
      <c r="E80" s="2511"/>
      <c r="F80" s="2511"/>
      <c r="G80" s="2511"/>
      <c r="H80" s="2511"/>
      <c r="I80" s="2511"/>
      <c r="J80" s="2511"/>
      <c r="K80" s="2511"/>
      <c r="L80" s="2511"/>
      <c r="M80" s="2511"/>
      <c r="N80" s="2511"/>
      <c r="O80" s="2511"/>
      <c r="P80" s="2511"/>
      <c r="Q80" s="2511"/>
    </row>
    <row r="81" spans="2:17" s="2125" customFormat="1">
      <c r="B81" s="2511"/>
      <c r="C81" s="2511"/>
      <c r="D81" s="2511"/>
      <c r="E81" s="2511"/>
      <c r="F81" s="2511"/>
      <c r="G81" s="2511"/>
      <c r="H81" s="2511"/>
      <c r="I81" s="2511"/>
      <c r="J81" s="2511"/>
      <c r="K81" s="2511"/>
      <c r="L81" s="2511"/>
      <c r="M81" s="2511"/>
      <c r="N81" s="2511"/>
      <c r="O81" s="2511"/>
      <c r="P81" s="2511"/>
      <c r="Q81" s="2511"/>
    </row>
    <row r="82" spans="2:17" s="2125" customFormat="1">
      <c r="B82" s="2511"/>
      <c r="C82" s="2511"/>
      <c r="D82" s="2511"/>
      <c r="E82" s="2511"/>
      <c r="F82" s="2511"/>
      <c r="G82" s="2511"/>
      <c r="H82" s="2511"/>
      <c r="I82" s="2511"/>
      <c r="J82" s="2511"/>
      <c r="K82" s="2511"/>
      <c r="L82" s="2511"/>
      <c r="M82" s="2511"/>
      <c r="N82" s="2511"/>
      <c r="O82" s="2511"/>
      <c r="P82" s="2511"/>
      <c r="Q82" s="2511"/>
    </row>
    <row r="83" spans="2:17" s="2125" customFormat="1">
      <c r="B83" s="2511"/>
      <c r="C83" s="2511"/>
      <c r="D83" s="2511"/>
      <c r="E83" s="2511"/>
      <c r="F83" s="2511"/>
      <c r="G83" s="2511"/>
      <c r="H83" s="2511"/>
      <c r="I83" s="2511"/>
      <c r="J83" s="2511"/>
      <c r="K83" s="2511"/>
      <c r="L83" s="2511"/>
      <c r="M83" s="2511"/>
      <c r="N83" s="2511"/>
      <c r="O83" s="2511"/>
      <c r="P83" s="2511"/>
      <c r="Q83" s="2511"/>
    </row>
    <row r="84" spans="2:17" s="2125" customFormat="1">
      <c r="B84" s="2511"/>
      <c r="C84" s="2511"/>
      <c r="D84" s="2511"/>
      <c r="E84" s="2511"/>
      <c r="F84" s="2511"/>
      <c r="G84" s="2511"/>
      <c r="H84" s="2511"/>
      <c r="I84" s="2511"/>
      <c r="J84" s="2511"/>
      <c r="K84" s="2511"/>
      <c r="L84" s="2511"/>
      <c r="M84" s="2511"/>
      <c r="N84" s="2511"/>
      <c r="O84" s="2511"/>
      <c r="P84" s="2511"/>
      <c r="Q84" s="2511"/>
    </row>
    <row r="85" spans="2:17" s="2125" customFormat="1">
      <c r="B85" s="2511"/>
      <c r="C85" s="2511"/>
      <c r="D85" s="2511"/>
      <c r="E85" s="2511"/>
      <c r="F85" s="2511"/>
      <c r="G85" s="2511"/>
      <c r="H85" s="2511"/>
      <c r="I85" s="2511"/>
      <c r="J85" s="2511"/>
      <c r="K85" s="2511"/>
      <c r="L85" s="2511"/>
      <c r="M85" s="2511"/>
      <c r="N85" s="2511"/>
      <c r="O85" s="2511"/>
      <c r="P85" s="2511"/>
      <c r="Q85" s="2511"/>
    </row>
    <row r="86" spans="2:17" s="2125" customFormat="1">
      <c r="B86" s="2511"/>
      <c r="C86" s="2511"/>
      <c r="D86" s="2511"/>
      <c r="E86" s="2511"/>
      <c r="F86" s="2511"/>
      <c r="G86" s="2511"/>
      <c r="H86" s="2511"/>
      <c r="I86" s="2511"/>
      <c r="J86" s="2511"/>
      <c r="K86" s="2511"/>
      <c r="L86" s="2511"/>
      <c r="M86" s="2511"/>
      <c r="N86" s="2511"/>
      <c r="O86" s="2511"/>
      <c r="P86" s="2511"/>
      <c r="Q86" s="2511"/>
    </row>
    <row r="87" spans="2:17" s="2125" customFormat="1">
      <c r="B87" s="2511"/>
      <c r="C87" s="2511"/>
      <c r="D87" s="2511"/>
      <c r="E87" s="2511"/>
      <c r="F87" s="2511"/>
      <c r="G87" s="2511"/>
      <c r="H87" s="2511"/>
      <c r="I87" s="2511"/>
      <c r="J87" s="2511"/>
      <c r="K87" s="2511"/>
      <c r="L87" s="2511"/>
      <c r="M87" s="2511"/>
      <c r="N87" s="2511"/>
      <c r="O87" s="2511"/>
      <c r="P87" s="2511"/>
      <c r="Q87" s="2511"/>
    </row>
    <row r="88" spans="2:17" s="2125" customFormat="1">
      <c r="B88" s="2511"/>
      <c r="C88" s="2511"/>
      <c r="D88" s="2511"/>
      <c r="E88" s="2511"/>
      <c r="F88" s="2511"/>
      <c r="G88" s="2511"/>
      <c r="H88" s="2511"/>
      <c r="I88" s="2511"/>
      <c r="J88" s="2511"/>
      <c r="K88" s="2511"/>
      <c r="L88" s="2511"/>
      <c r="M88" s="2511"/>
      <c r="N88" s="2511"/>
      <c r="O88" s="2511"/>
      <c r="P88" s="2511"/>
      <c r="Q88" s="2511"/>
    </row>
    <row r="89" spans="2:17" s="2125" customFormat="1">
      <c r="B89" s="2511"/>
      <c r="C89" s="2511"/>
      <c r="D89" s="2511"/>
      <c r="E89" s="2511"/>
      <c r="F89" s="2511"/>
      <c r="G89" s="2511"/>
      <c r="H89" s="2511"/>
      <c r="I89" s="2511"/>
      <c r="J89" s="2511"/>
      <c r="K89" s="2511"/>
      <c r="L89" s="2511"/>
      <c r="M89" s="2511"/>
      <c r="N89" s="2511"/>
      <c r="O89" s="2511"/>
      <c r="P89" s="2511"/>
      <c r="Q89" s="2511"/>
    </row>
    <row r="90" spans="2:17" s="2125" customFormat="1">
      <c r="B90" s="2511"/>
      <c r="C90" s="2511"/>
      <c r="D90" s="2511"/>
      <c r="E90" s="2511"/>
      <c r="F90" s="2511"/>
      <c r="G90" s="2511"/>
      <c r="H90" s="2511"/>
      <c r="I90" s="2511"/>
      <c r="J90" s="2511"/>
      <c r="K90" s="2511"/>
      <c r="L90" s="2511"/>
      <c r="M90" s="2511"/>
      <c r="N90" s="2511"/>
      <c r="O90" s="2511"/>
      <c r="P90" s="2511"/>
      <c r="Q90" s="2511"/>
    </row>
    <row r="91" spans="2:17" s="2125" customFormat="1">
      <c r="B91" s="2511"/>
      <c r="C91" s="2511"/>
      <c r="D91" s="2511"/>
      <c r="E91" s="2511"/>
      <c r="F91" s="2511"/>
      <c r="G91" s="2511"/>
      <c r="H91" s="2511"/>
      <c r="I91" s="2511"/>
      <c r="J91" s="2511"/>
      <c r="K91" s="2511"/>
      <c r="L91" s="2511"/>
      <c r="M91" s="2511"/>
      <c r="N91" s="2511"/>
      <c r="O91" s="2511"/>
      <c r="P91" s="2511"/>
      <c r="Q91" s="2511"/>
    </row>
    <row r="92" spans="2:17" s="2125" customFormat="1">
      <c r="B92" s="2511"/>
      <c r="C92" s="2511"/>
      <c r="D92" s="2511"/>
      <c r="E92" s="2511"/>
      <c r="F92" s="2511"/>
      <c r="G92" s="2511"/>
      <c r="H92" s="2511"/>
      <c r="I92" s="2511"/>
      <c r="J92" s="2511"/>
      <c r="K92" s="2511"/>
      <c r="L92" s="2511"/>
      <c r="M92" s="2511"/>
      <c r="N92" s="2511"/>
      <c r="O92" s="2511"/>
      <c r="P92" s="2511"/>
      <c r="Q92" s="2511"/>
    </row>
    <row r="93" spans="2:17" s="2125" customFormat="1">
      <c r="B93" s="2511"/>
      <c r="C93" s="2511"/>
      <c r="D93" s="2511"/>
      <c r="E93" s="2511"/>
      <c r="F93" s="2511"/>
      <c r="G93" s="2511"/>
      <c r="H93" s="2511"/>
      <c r="I93" s="2511"/>
      <c r="J93" s="2511"/>
      <c r="K93" s="2511"/>
      <c r="L93" s="2511"/>
      <c r="M93" s="2511"/>
      <c r="N93" s="2511"/>
      <c r="O93" s="2511"/>
      <c r="P93" s="2511"/>
      <c r="Q93" s="2511"/>
    </row>
    <row r="94" spans="2:17" s="2125" customFormat="1">
      <c r="B94" s="2511"/>
      <c r="C94" s="2511"/>
      <c r="D94" s="2511"/>
      <c r="E94" s="2511"/>
      <c r="F94" s="2511"/>
      <c r="G94" s="2511"/>
      <c r="H94" s="2511"/>
      <c r="I94" s="2511"/>
      <c r="J94" s="2511"/>
      <c r="K94" s="2511"/>
      <c r="L94" s="2511"/>
      <c r="M94" s="2511"/>
      <c r="N94" s="2511"/>
      <c r="O94" s="2511"/>
      <c r="P94" s="2511"/>
      <c r="Q94" s="2511"/>
    </row>
    <row r="95" spans="2:17" s="2125" customFormat="1">
      <c r="B95" s="2511"/>
      <c r="C95" s="2511"/>
      <c r="D95" s="2511"/>
      <c r="E95" s="2511"/>
      <c r="F95" s="2511"/>
      <c r="G95" s="2511"/>
      <c r="H95" s="2511"/>
      <c r="I95" s="2511"/>
      <c r="J95" s="2511"/>
      <c r="K95" s="2511"/>
      <c r="L95" s="2511"/>
      <c r="M95" s="2511"/>
      <c r="N95" s="2511"/>
      <c r="O95" s="2511"/>
      <c r="P95" s="2511"/>
      <c r="Q95" s="2511"/>
    </row>
    <row r="96" spans="2:17" s="2125" customFormat="1">
      <c r="B96" s="2511"/>
      <c r="C96" s="2511"/>
      <c r="D96" s="2511"/>
      <c r="E96" s="2511"/>
      <c r="F96" s="2511"/>
      <c r="G96" s="2511"/>
      <c r="H96" s="2511"/>
      <c r="I96" s="2511"/>
      <c r="J96" s="2511"/>
      <c r="K96" s="2511"/>
      <c r="L96" s="2511"/>
      <c r="M96" s="2511"/>
      <c r="N96" s="2511"/>
      <c r="O96" s="2511"/>
      <c r="P96" s="2511"/>
      <c r="Q96" s="2511"/>
    </row>
    <row r="97" spans="2:17" s="2125" customFormat="1">
      <c r="B97" s="2511"/>
      <c r="C97" s="2511"/>
      <c r="D97" s="2511"/>
      <c r="E97" s="2511"/>
      <c r="F97" s="2511"/>
      <c r="G97" s="2511"/>
      <c r="H97" s="2511"/>
      <c r="I97" s="2511"/>
      <c r="J97" s="2511"/>
      <c r="K97" s="2511"/>
      <c r="L97" s="2511"/>
      <c r="M97" s="2511"/>
      <c r="N97" s="2511"/>
      <c r="O97" s="2511"/>
      <c r="P97" s="2511"/>
      <c r="Q97" s="2511"/>
    </row>
    <row r="98" spans="2:17" s="2125" customFormat="1">
      <c r="B98" s="2511"/>
      <c r="C98" s="2511"/>
      <c r="D98" s="2511"/>
      <c r="E98" s="2511"/>
      <c r="F98" s="2511"/>
      <c r="G98" s="2511"/>
      <c r="H98" s="2511"/>
      <c r="I98" s="2511"/>
      <c r="J98" s="2511"/>
      <c r="K98" s="2511"/>
      <c r="L98" s="2511"/>
      <c r="M98" s="2511"/>
      <c r="N98" s="2511"/>
      <c r="O98" s="2511"/>
      <c r="P98" s="2511"/>
      <c r="Q98" s="2511"/>
    </row>
    <row r="99" spans="2:17" s="2125" customFormat="1">
      <c r="B99" s="2511"/>
      <c r="C99" s="2511"/>
      <c r="D99" s="2511"/>
      <c r="E99" s="2511"/>
      <c r="F99" s="2511"/>
      <c r="G99" s="2511"/>
      <c r="H99" s="2511"/>
      <c r="I99" s="2511"/>
      <c r="J99" s="2511"/>
      <c r="K99" s="2511"/>
      <c r="L99" s="2511"/>
      <c r="M99" s="2511"/>
      <c r="N99" s="2511"/>
      <c r="O99" s="2511"/>
      <c r="P99" s="2511"/>
      <c r="Q99" s="2511"/>
    </row>
    <row r="100" spans="2:17" s="2125" customFormat="1">
      <c r="B100" s="2511"/>
      <c r="C100" s="2511"/>
      <c r="D100" s="2511"/>
      <c r="E100" s="2511"/>
      <c r="F100" s="2511"/>
      <c r="G100" s="2511"/>
      <c r="H100" s="2511"/>
      <c r="I100" s="2511"/>
      <c r="J100" s="2511"/>
      <c r="K100" s="2511"/>
      <c r="L100" s="2511"/>
      <c r="M100" s="2511"/>
      <c r="N100" s="2511"/>
      <c r="O100" s="2511"/>
      <c r="P100" s="2511"/>
      <c r="Q100" s="2511"/>
    </row>
    <row r="101" spans="2:17" s="2125" customFormat="1">
      <c r="B101" s="2511"/>
      <c r="C101" s="2511"/>
      <c r="D101" s="2511"/>
      <c r="E101" s="2511"/>
      <c r="F101" s="2511"/>
      <c r="G101" s="2511"/>
      <c r="H101" s="2511"/>
      <c r="I101" s="2511"/>
      <c r="J101" s="2511"/>
      <c r="K101" s="2511"/>
      <c r="L101" s="2511"/>
      <c r="M101" s="2511"/>
      <c r="N101" s="2511"/>
      <c r="O101" s="2511"/>
      <c r="P101" s="2511"/>
      <c r="Q101" s="2511"/>
    </row>
    <row r="102" spans="2:17" s="2125" customFormat="1">
      <c r="B102" s="2511"/>
      <c r="C102" s="2511"/>
      <c r="D102" s="2511"/>
      <c r="E102" s="2511"/>
      <c r="F102" s="2511"/>
      <c r="G102" s="2511"/>
      <c r="H102" s="2511"/>
      <c r="I102" s="2511"/>
      <c r="J102" s="2511"/>
      <c r="K102" s="2511"/>
      <c r="L102" s="2511"/>
      <c r="M102" s="2511"/>
      <c r="N102" s="2511"/>
      <c r="O102" s="2511"/>
      <c r="P102" s="2511"/>
      <c r="Q102" s="2511"/>
    </row>
    <row r="103" spans="2:17" s="2125" customFormat="1">
      <c r="B103" s="2511"/>
      <c r="C103" s="2511"/>
      <c r="D103" s="2511"/>
      <c r="E103" s="2511"/>
      <c r="F103" s="2511"/>
      <c r="G103" s="2511"/>
      <c r="H103" s="2511"/>
      <c r="I103" s="2511"/>
      <c r="J103" s="2511"/>
      <c r="K103" s="2511"/>
      <c r="L103" s="2511"/>
      <c r="M103" s="2511"/>
      <c r="N103" s="2511"/>
      <c r="O103" s="2511"/>
      <c r="P103" s="2511"/>
      <c r="Q103" s="2511"/>
    </row>
    <row r="104" spans="2:17" s="2125" customFormat="1">
      <c r="B104" s="2511"/>
      <c r="C104" s="2511"/>
      <c r="D104" s="2511"/>
      <c r="E104" s="2511"/>
      <c r="F104" s="2511"/>
      <c r="G104" s="2511"/>
      <c r="H104" s="2511"/>
      <c r="I104" s="2511"/>
      <c r="J104" s="2511"/>
      <c r="K104" s="2511"/>
      <c r="L104" s="2511"/>
      <c r="M104" s="2511"/>
      <c r="N104" s="2511"/>
      <c r="O104" s="2511"/>
      <c r="P104" s="2511"/>
      <c r="Q104" s="2511"/>
    </row>
    <row r="105" spans="2:17" s="2125" customFormat="1">
      <c r="B105" s="2511"/>
      <c r="C105" s="2511"/>
      <c r="D105" s="2511"/>
      <c r="E105" s="2511"/>
      <c r="F105" s="2511"/>
      <c r="G105" s="2511"/>
      <c r="H105" s="2511"/>
      <c r="I105" s="2511"/>
      <c r="J105" s="2511"/>
      <c r="K105" s="2511"/>
      <c r="L105" s="2511"/>
      <c r="M105" s="2511"/>
      <c r="N105" s="2511"/>
      <c r="O105" s="2511"/>
      <c r="P105" s="2511"/>
      <c r="Q105" s="2511"/>
    </row>
    <row r="106" spans="2:17" s="2125" customFormat="1">
      <c r="B106" s="2511"/>
      <c r="C106" s="2511"/>
      <c r="D106" s="2511"/>
      <c r="E106" s="2511"/>
      <c r="F106" s="2511"/>
      <c r="G106" s="2511"/>
      <c r="H106" s="2511"/>
      <c r="I106" s="2511"/>
      <c r="J106" s="2511"/>
      <c r="K106" s="2511"/>
      <c r="L106" s="2511"/>
      <c r="M106" s="2511"/>
      <c r="N106" s="2511"/>
      <c r="O106" s="2511"/>
      <c r="P106" s="2511"/>
      <c r="Q106" s="2511"/>
    </row>
    <row r="107" spans="2:17" s="2125" customFormat="1">
      <c r="B107" s="2511"/>
      <c r="C107" s="2511"/>
      <c r="D107" s="2511"/>
      <c r="E107" s="2511"/>
      <c r="F107" s="2511"/>
      <c r="G107" s="2511"/>
      <c r="H107" s="2511"/>
      <c r="I107" s="2511"/>
      <c r="J107" s="2511"/>
      <c r="K107" s="2511"/>
      <c r="L107" s="2511"/>
      <c r="M107" s="2511"/>
      <c r="N107" s="2511"/>
      <c r="O107" s="2511"/>
      <c r="P107" s="2511"/>
      <c r="Q107" s="2511"/>
    </row>
    <row r="108" spans="2:17" s="2125" customFormat="1">
      <c r="B108" s="2511"/>
      <c r="C108" s="2511"/>
      <c r="D108" s="2511"/>
      <c r="E108" s="2511"/>
      <c r="F108" s="2511"/>
      <c r="G108" s="2511"/>
      <c r="H108" s="2511"/>
      <c r="I108" s="2511"/>
      <c r="J108" s="2511"/>
      <c r="K108" s="2511"/>
      <c r="L108" s="2511"/>
      <c r="M108" s="2511"/>
      <c r="N108" s="2511"/>
      <c r="O108" s="2511"/>
      <c r="P108" s="2511"/>
      <c r="Q108" s="2511"/>
    </row>
    <row r="109" spans="2:17" s="2125" customFormat="1">
      <c r="B109" s="2511"/>
      <c r="C109" s="2511"/>
      <c r="D109" s="2511"/>
      <c r="E109" s="2511"/>
      <c r="F109" s="2511"/>
      <c r="G109" s="2511"/>
      <c r="H109" s="2511"/>
      <c r="I109" s="2511"/>
      <c r="J109" s="2511"/>
      <c r="K109" s="2511"/>
      <c r="L109" s="2511"/>
      <c r="M109" s="2511"/>
      <c r="N109" s="2511"/>
      <c r="O109" s="2511"/>
      <c r="P109" s="2511"/>
      <c r="Q109" s="2511"/>
    </row>
    <row r="110" spans="2:17" s="2125" customFormat="1">
      <c r="B110" s="2511"/>
      <c r="C110" s="2511"/>
      <c r="D110" s="2511"/>
      <c r="E110" s="2511"/>
      <c r="F110" s="2511"/>
      <c r="G110" s="2511"/>
      <c r="H110" s="2511"/>
      <c r="I110" s="2511"/>
      <c r="J110" s="2511"/>
      <c r="K110" s="2511"/>
      <c r="L110" s="2511"/>
      <c r="M110" s="2511"/>
      <c r="N110" s="2511"/>
      <c r="O110" s="2511"/>
      <c r="P110" s="2511"/>
      <c r="Q110" s="2511"/>
    </row>
    <row r="111" spans="2:17" s="2125" customFormat="1">
      <c r="B111" s="2511"/>
      <c r="C111" s="2511"/>
      <c r="D111" s="2511"/>
      <c r="E111" s="2511"/>
      <c r="F111" s="2511"/>
      <c r="G111" s="2511"/>
      <c r="H111" s="2511"/>
      <c r="I111" s="2511"/>
      <c r="J111" s="2511"/>
      <c r="K111" s="2511"/>
      <c r="L111" s="2511"/>
      <c r="M111" s="2511"/>
      <c r="N111" s="2511"/>
      <c r="O111" s="2511"/>
      <c r="P111" s="2511"/>
      <c r="Q111" s="2511"/>
    </row>
    <row r="112" spans="2:17" s="2125" customFormat="1">
      <c r="B112" s="2511"/>
      <c r="C112" s="2511"/>
      <c r="D112" s="2511"/>
      <c r="E112" s="2511"/>
      <c r="F112" s="2511"/>
      <c r="G112" s="2511"/>
      <c r="H112" s="2511"/>
      <c r="I112" s="2511"/>
      <c r="J112" s="2511"/>
      <c r="K112" s="2511"/>
      <c r="L112" s="2511"/>
      <c r="M112" s="2511"/>
      <c r="N112" s="2511"/>
      <c r="O112" s="2511"/>
      <c r="P112" s="2511"/>
      <c r="Q112" s="2511"/>
    </row>
    <row r="113" spans="2:17" s="2125" customFormat="1">
      <c r="B113" s="2511"/>
      <c r="C113" s="2511"/>
      <c r="D113" s="2511"/>
      <c r="E113" s="2511"/>
      <c r="F113" s="2511"/>
      <c r="G113" s="2511"/>
      <c r="H113" s="2511"/>
      <c r="I113" s="2511"/>
      <c r="J113" s="2511"/>
      <c r="K113" s="2511"/>
      <c r="L113" s="2511"/>
      <c r="M113" s="2511"/>
      <c r="N113" s="2511"/>
      <c r="O113" s="2511"/>
      <c r="P113" s="2511"/>
      <c r="Q113" s="2511"/>
    </row>
    <row r="114" spans="2:17" s="2125" customFormat="1">
      <c r="B114" s="2511"/>
      <c r="C114" s="2511"/>
      <c r="D114" s="2511"/>
      <c r="E114" s="2511"/>
      <c r="F114" s="2511"/>
      <c r="G114" s="2511"/>
      <c r="H114" s="2511"/>
      <c r="I114" s="2511"/>
      <c r="J114" s="2511"/>
      <c r="K114" s="2511"/>
      <c r="L114" s="2511"/>
      <c r="M114" s="2511"/>
      <c r="N114" s="2511"/>
      <c r="O114" s="2511"/>
      <c r="P114" s="2511"/>
      <c r="Q114" s="2511"/>
    </row>
    <row r="115" spans="2:17" s="2125" customFormat="1">
      <c r="B115" s="2511"/>
      <c r="C115" s="2511"/>
      <c r="D115" s="2511"/>
      <c r="E115" s="2511"/>
      <c r="F115" s="2511"/>
      <c r="G115" s="2511"/>
      <c r="H115" s="2511"/>
      <c r="I115" s="2511"/>
      <c r="J115" s="2511"/>
      <c r="K115" s="2511"/>
      <c r="L115" s="2511"/>
      <c r="M115" s="2511"/>
      <c r="N115" s="2511"/>
      <c r="O115" s="2511"/>
      <c r="P115" s="2511"/>
      <c r="Q115" s="2511"/>
    </row>
    <row r="116" spans="2:17" s="2125" customFormat="1">
      <c r="B116" s="2511"/>
      <c r="C116" s="2511"/>
      <c r="D116" s="2511"/>
      <c r="E116" s="2511"/>
      <c r="F116" s="2511"/>
      <c r="G116" s="2511"/>
      <c r="H116" s="2511"/>
      <c r="I116" s="2511"/>
      <c r="J116" s="2511"/>
      <c r="K116" s="2511"/>
      <c r="L116" s="2511"/>
      <c r="M116" s="2511"/>
      <c r="N116" s="2511"/>
      <c r="O116" s="2511"/>
      <c r="P116" s="2511"/>
      <c r="Q116" s="2511"/>
    </row>
    <row r="117" spans="2:17" s="2125" customFormat="1">
      <c r="B117" s="2511"/>
      <c r="C117" s="2511"/>
      <c r="D117" s="2511"/>
      <c r="E117" s="2511"/>
      <c r="F117" s="2511"/>
      <c r="G117" s="2511"/>
      <c r="H117" s="2511"/>
      <c r="I117" s="2511"/>
      <c r="J117" s="2511"/>
      <c r="K117" s="2511"/>
      <c r="L117" s="2511"/>
      <c r="M117" s="2511"/>
      <c r="N117" s="2511"/>
      <c r="O117" s="2511"/>
      <c r="P117" s="2511"/>
      <c r="Q117" s="2511"/>
    </row>
    <row r="118" spans="2:17" s="2125" customFormat="1">
      <c r="B118" s="2511"/>
      <c r="C118" s="2511"/>
      <c r="D118" s="2511"/>
      <c r="E118" s="2511"/>
      <c r="F118" s="2511"/>
      <c r="G118" s="2511"/>
      <c r="H118" s="2511"/>
      <c r="I118" s="2511"/>
      <c r="J118" s="2511"/>
      <c r="K118" s="2511"/>
      <c r="L118" s="2511"/>
      <c r="M118" s="2511"/>
      <c r="N118" s="2511"/>
      <c r="O118" s="2511"/>
      <c r="P118" s="2511"/>
      <c r="Q118" s="2511"/>
    </row>
    <row r="119" spans="2:17" s="2125" customFormat="1">
      <c r="B119" s="2511"/>
      <c r="C119" s="2511"/>
      <c r="D119" s="2511"/>
      <c r="E119" s="2511"/>
      <c r="F119" s="2511"/>
      <c r="G119" s="2511"/>
      <c r="H119" s="2511"/>
      <c r="I119" s="2511"/>
      <c r="J119" s="2511"/>
      <c r="K119" s="2511"/>
      <c r="L119" s="2511"/>
      <c r="M119" s="2511"/>
      <c r="N119" s="2511"/>
      <c r="O119" s="2511"/>
      <c r="P119" s="2511"/>
      <c r="Q119" s="2511"/>
    </row>
    <row r="120" spans="2:17" s="2125" customFormat="1">
      <c r="B120" s="2511"/>
      <c r="C120" s="2511"/>
      <c r="D120" s="2511"/>
      <c r="E120" s="2511"/>
      <c r="F120" s="2511"/>
      <c r="G120" s="2511"/>
      <c r="H120" s="2511"/>
      <c r="I120" s="2511"/>
      <c r="J120" s="2511"/>
      <c r="K120" s="2511"/>
      <c r="L120" s="2511"/>
      <c r="M120" s="2511"/>
      <c r="N120" s="2511"/>
      <c r="O120" s="2511"/>
      <c r="P120" s="2511"/>
      <c r="Q120" s="2511"/>
    </row>
    <row r="121" spans="2:17" s="2125" customFormat="1">
      <c r="B121" s="2511"/>
      <c r="C121" s="2511"/>
      <c r="D121" s="2511"/>
      <c r="E121" s="2511"/>
      <c r="F121" s="2511"/>
      <c r="G121" s="2511"/>
      <c r="H121" s="2511"/>
      <c r="I121" s="2511"/>
      <c r="J121" s="2511"/>
      <c r="K121" s="2511"/>
      <c r="L121" s="2511"/>
      <c r="M121" s="2511"/>
      <c r="N121" s="2511"/>
      <c r="O121" s="2511"/>
      <c r="P121" s="2511"/>
      <c r="Q121" s="2511"/>
    </row>
    <row r="122" spans="2:17" s="2125" customFormat="1">
      <c r="B122" s="2511"/>
      <c r="C122" s="2511"/>
      <c r="D122" s="2511"/>
      <c r="E122" s="2511"/>
      <c r="F122" s="2511"/>
      <c r="G122" s="2511"/>
      <c r="H122" s="2511"/>
      <c r="I122" s="2511"/>
      <c r="J122" s="2511"/>
      <c r="K122" s="2511"/>
      <c r="L122" s="2511"/>
      <c r="M122" s="2511"/>
      <c r="N122" s="2511"/>
      <c r="O122" s="2511"/>
      <c r="P122" s="2511"/>
      <c r="Q122" s="2511"/>
    </row>
    <row r="123" spans="2:17" s="2125" customFormat="1">
      <c r="B123" s="2511"/>
      <c r="C123" s="2511"/>
      <c r="D123" s="2511"/>
      <c r="E123" s="2511"/>
      <c r="F123" s="2511"/>
      <c r="G123" s="2511"/>
      <c r="H123" s="2511"/>
      <c r="I123" s="2511"/>
      <c r="J123" s="2511"/>
      <c r="K123" s="2511"/>
      <c r="L123" s="2511"/>
      <c r="M123" s="2511"/>
      <c r="N123" s="2511"/>
      <c r="O123" s="2511"/>
      <c r="P123" s="2511"/>
      <c r="Q123" s="2511"/>
    </row>
    <row r="124" spans="2:17" s="2125" customFormat="1">
      <c r="B124" s="2511"/>
      <c r="C124" s="2511"/>
      <c r="D124" s="2511"/>
      <c r="E124" s="2511"/>
      <c r="F124" s="2511"/>
      <c r="G124" s="2511"/>
      <c r="H124" s="2511"/>
      <c r="I124" s="2511"/>
      <c r="J124" s="2511"/>
      <c r="K124" s="2511"/>
      <c r="L124" s="2511"/>
      <c r="M124" s="2511"/>
      <c r="N124" s="2511"/>
      <c r="O124" s="2511"/>
      <c r="P124" s="2511"/>
      <c r="Q124" s="2511"/>
    </row>
    <row r="125" spans="2:17" s="2125" customFormat="1">
      <c r="B125" s="2511"/>
      <c r="C125" s="2511"/>
      <c r="D125" s="2511"/>
      <c r="E125" s="2511"/>
      <c r="F125" s="2511"/>
      <c r="G125" s="2511"/>
      <c r="H125" s="2511"/>
      <c r="I125" s="2511"/>
      <c r="J125" s="2511"/>
      <c r="K125" s="2511"/>
      <c r="L125" s="2511"/>
      <c r="M125" s="2511"/>
      <c r="N125" s="2511"/>
      <c r="O125" s="2511"/>
      <c r="P125" s="2511"/>
      <c r="Q125" s="2511"/>
    </row>
    <row r="126" spans="2:17" s="2125" customFormat="1">
      <c r="B126" s="2511"/>
      <c r="C126" s="2511"/>
      <c r="D126" s="2511"/>
      <c r="E126" s="2511"/>
      <c r="F126" s="2511"/>
      <c r="G126" s="2511"/>
      <c r="H126" s="2511"/>
      <c r="I126" s="2511"/>
      <c r="J126" s="2511"/>
      <c r="K126" s="2511"/>
      <c r="L126" s="2511"/>
      <c r="M126" s="2511"/>
      <c r="N126" s="2511"/>
      <c r="O126" s="2511"/>
      <c r="P126" s="2511"/>
      <c r="Q126" s="2511"/>
    </row>
    <row r="127" spans="2:17" s="2125" customFormat="1">
      <c r="B127" s="2511"/>
      <c r="C127" s="2511"/>
      <c r="D127" s="2511"/>
      <c r="E127" s="2511"/>
      <c r="F127" s="2511"/>
      <c r="G127" s="2511"/>
      <c r="H127" s="2511"/>
      <c r="I127" s="2511"/>
      <c r="J127" s="2511"/>
      <c r="K127" s="2511"/>
      <c r="L127" s="2511"/>
      <c r="M127" s="2511"/>
      <c r="N127" s="2511"/>
      <c r="O127" s="2511"/>
      <c r="P127" s="2511"/>
      <c r="Q127" s="2511"/>
    </row>
    <row r="128" spans="2:17" s="2125" customFormat="1">
      <c r="B128" s="2511"/>
      <c r="C128" s="2511"/>
      <c r="D128" s="2511"/>
      <c r="E128" s="2511"/>
      <c r="F128" s="2511"/>
      <c r="G128" s="2511"/>
      <c r="H128" s="2511"/>
      <c r="I128" s="2511"/>
      <c r="J128" s="2511"/>
      <c r="K128" s="2511"/>
      <c r="L128" s="2511"/>
      <c r="M128" s="2511"/>
      <c r="N128" s="2511"/>
      <c r="O128" s="2511"/>
      <c r="P128" s="2511"/>
      <c r="Q128" s="2511"/>
    </row>
    <row r="129" spans="2:17" s="2125" customFormat="1">
      <c r="B129" s="2511"/>
      <c r="C129" s="2511"/>
      <c r="D129" s="2511"/>
      <c r="E129" s="2511"/>
      <c r="F129" s="2511"/>
      <c r="G129" s="2511"/>
      <c r="H129" s="2511"/>
      <c r="I129" s="2511"/>
      <c r="J129" s="2511"/>
      <c r="K129" s="2511"/>
      <c r="L129" s="2511"/>
      <c r="M129" s="2511"/>
      <c r="N129" s="2511"/>
      <c r="O129" s="2511"/>
      <c r="P129" s="2511"/>
      <c r="Q129" s="2511"/>
    </row>
    <row r="130" spans="2:17" s="2125" customFormat="1">
      <c r="B130" s="2511"/>
      <c r="C130" s="2511"/>
      <c r="D130" s="2511"/>
      <c r="E130" s="2511"/>
      <c r="F130" s="2511"/>
      <c r="G130" s="2511"/>
      <c r="H130" s="2511"/>
      <c r="I130" s="2511"/>
      <c r="J130" s="2511"/>
      <c r="K130" s="2511"/>
      <c r="L130" s="2511"/>
      <c r="M130" s="2511"/>
      <c r="N130" s="2511"/>
      <c r="O130" s="2511"/>
      <c r="P130" s="2511"/>
      <c r="Q130" s="2511"/>
    </row>
    <row r="131" spans="2:17" s="2125" customFormat="1">
      <c r="B131" s="2511"/>
      <c r="C131" s="2511"/>
      <c r="D131" s="2511"/>
      <c r="E131" s="2511"/>
      <c r="F131" s="2511"/>
      <c r="G131" s="2511"/>
      <c r="H131" s="2511"/>
      <c r="I131" s="2511"/>
      <c r="J131" s="2511"/>
      <c r="K131" s="2511"/>
      <c r="L131" s="2511"/>
      <c r="M131" s="2511"/>
      <c r="N131" s="2511"/>
      <c r="O131" s="2511"/>
      <c r="P131" s="2511"/>
      <c r="Q131" s="2511"/>
    </row>
    <row r="132" spans="2:17" s="2125" customFormat="1">
      <c r="B132" s="2511"/>
      <c r="C132" s="2511"/>
      <c r="D132" s="2511"/>
      <c r="E132" s="2511"/>
      <c r="F132" s="2511"/>
      <c r="G132" s="2511"/>
      <c r="H132" s="2511"/>
      <c r="I132" s="2511"/>
      <c r="J132" s="2511"/>
      <c r="K132" s="2511"/>
      <c r="L132" s="2511"/>
      <c r="M132" s="2511"/>
      <c r="N132" s="2511"/>
      <c r="O132" s="2511"/>
      <c r="P132" s="2511"/>
      <c r="Q132" s="2511"/>
    </row>
    <row r="133" spans="2:17" s="2125" customFormat="1">
      <c r="B133" s="2511"/>
      <c r="C133" s="2511"/>
      <c r="D133" s="2511"/>
      <c r="E133" s="2511"/>
      <c r="F133" s="2511"/>
      <c r="G133" s="2511"/>
      <c r="H133" s="2511"/>
      <c r="I133" s="2511"/>
      <c r="J133" s="2511"/>
      <c r="K133" s="2511"/>
      <c r="L133" s="2511"/>
      <c r="M133" s="2511"/>
      <c r="N133" s="2511"/>
      <c r="O133" s="2511"/>
      <c r="P133" s="2511"/>
      <c r="Q133" s="2511"/>
    </row>
    <row r="134" spans="2:17" s="2125" customFormat="1">
      <c r="B134" s="2511"/>
      <c r="C134" s="2511"/>
      <c r="D134" s="2511"/>
      <c r="E134" s="2511"/>
      <c r="F134" s="2511"/>
      <c r="G134" s="2511"/>
      <c r="H134" s="2511"/>
      <c r="I134" s="2511"/>
      <c r="J134" s="2511"/>
      <c r="K134" s="2511"/>
      <c r="L134" s="2511"/>
      <c r="M134" s="2511"/>
      <c r="N134" s="2511"/>
      <c r="O134" s="2511"/>
      <c r="P134" s="2511"/>
      <c r="Q134" s="2511"/>
    </row>
    <row r="135" spans="2:17" s="2125" customFormat="1">
      <c r="B135" s="2511"/>
      <c r="C135" s="2511"/>
      <c r="D135" s="2511"/>
      <c r="E135" s="2511"/>
      <c r="F135" s="2511"/>
      <c r="G135" s="2511"/>
      <c r="H135" s="2511"/>
      <c r="I135" s="2511"/>
      <c r="J135" s="2511"/>
      <c r="K135" s="2511"/>
      <c r="L135" s="2511"/>
      <c r="M135" s="2511"/>
      <c r="N135" s="2511"/>
      <c r="O135" s="2511"/>
      <c r="P135" s="2511"/>
      <c r="Q135" s="2511"/>
    </row>
    <row r="136" spans="2:17" s="2125" customFormat="1">
      <c r="B136" s="2511"/>
      <c r="C136" s="2511"/>
      <c r="D136" s="2511"/>
      <c r="E136" s="2511"/>
      <c r="F136" s="2511"/>
      <c r="G136" s="2511"/>
      <c r="H136" s="2511"/>
      <c r="I136" s="2511"/>
      <c r="J136" s="2511"/>
      <c r="K136" s="2511"/>
      <c r="L136" s="2511"/>
      <c r="M136" s="2511"/>
      <c r="N136" s="2511"/>
      <c r="O136" s="2511"/>
      <c r="P136" s="2511"/>
      <c r="Q136" s="2511"/>
    </row>
    <row r="137" spans="2:17" s="2125" customFormat="1">
      <c r="B137" s="2511"/>
      <c r="C137" s="2511"/>
      <c r="D137" s="2511"/>
      <c r="E137" s="2511"/>
      <c r="F137" s="2511"/>
      <c r="G137" s="2511"/>
      <c r="H137" s="2511"/>
      <c r="I137" s="2511"/>
      <c r="J137" s="2511"/>
      <c r="K137" s="2511"/>
      <c r="L137" s="2511"/>
      <c r="M137" s="2511"/>
      <c r="N137" s="2511"/>
      <c r="O137" s="2511"/>
      <c r="P137" s="2511"/>
      <c r="Q137" s="2511"/>
    </row>
    <row r="138" spans="2:17" s="2125" customFormat="1">
      <c r="B138" s="2511"/>
      <c r="C138" s="2511"/>
      <c r="D138" s="2511"/>
      <c r="E138" s="2511"/>
      <c r="F138" s="2511"/>
      <c r="G138" s="2511"/>
      <c r="H138" s="2511"/>
      <c r="I138" s="2511"/>
      <c r="J138" s="2511"/>
      <c r="K138" s="2511"/>
      <c r="L138" s="2511"/>
      <c r="M138" s="2511"/>
      <c r="N138" s="2511"/>
      <c r="O138" s="2511"/>
      <c r="P138" s="2511"/>
      <c r="Q138" s="2511"/>
    </row>
    <row r="139" spans="2:17" s="2125" customFormat="1">
      <c r="B139" s="2511"/>
      <c r="C139" s="2511"/>
      <c r="D139" s="2511"/>
      <c r="E139" s="2511"/>
      <c r="F139" s="2511"/>
      <c r="G139" s="2511"/>
      <c r="H139" s="2511"/>
      <c r="I139" s="2511"/>
      <c r="J139" s="2511"/>
      <c r="K139" s="2511"/>
      <c r="L139" s="2511"/>
      <c r="M139" s="2511"/>
      <c r="N139" s="2511"/>
      <c r="O139" s="2511"/>
      <c r="P139" s="2511"/>
      <c r="Q139" s="2511"/>
    </row>
    <row r="140" spans="2:17" s="2125" customFormat="1">
      <c r="B140" s="2511"/>
      <c r="C140" s="2511"/>
      <c r="D140" s="2511"/>
      <c r="E140" s="2511"/>
      <c r="F140" s="2511"/>
      <c r="G140" s="2511"/>
      <c r="H140" s="2511"/>
      <c r="I140" s="2511"/>
      <c r="J140" s="2511"/>
      <c r="K140" s="2511"/>
      <c r="L140" s="2511"/>
      <c r="M140" s="2511"/>
      <c r="N140" s="2511"/>
      <c r="O140" s="2511"/>
      <c r="P140" s="2511"/>
      <c r="Q140" s="2511"/>
    </row>
    <row r="141" spans="2:17" s="2125" customFormat="1">
      <c r="B141" s="2511"/>
      <c r="C141" s="2511"/>
      <c r="D141" s="2511"/>
      <c r="E141" s="2511"/>
      <c r="F141" s="2511"/>
      <c r="G141" s="2511"/>
      <c r="H141" s="2511"/>
      <c r="I141" s="2511"/>
      <c r="J141" s="2511"/>
      <c r="K141" s="2511"/>
      <c r="L141" s="2511"/>
      <c r="M141" s="2511"/>
      <c r="N141" s="2511"/>
      <c r="O141" s="2511"/>
      <c r="P141" s="2511"/>
      <c r="Q141" s="2511"/>
    </row>
    <row r="142" spans="2:17" s="2125" customFormat="1">
      <c r="B142" s="2511"/>
      <c r="C142" s="2511"/>
      <c r="D142" s="2511"/>
      <c r="E142" s="2511"/>
      <c r="F142" s="2511"/>
      <c r="G142" s="2511"/>
      <c r="H142" s="2511"/>
      <c r="I142" s="2511"/>
      <c r="J142" s="2511"/>
      <c r="K142" s="2511"/>
      <c r="L142" s="2511"/>
      <c r="M142" s="2511"/>
      <c r="N142" s="2511"/>
      <c r="O142" s="2511"/>
      <c r="P142" s="2511"/>
      <c r="Q142" s="2511"/>
    </row>
    <row r="143" spans="2:17" s="2125" customFormat="1">
      <c r="B143" s="2511"/>
      <c r="C143" s="2511"/>
      <c r="D143" s="2511"/>
      <c r="E143" s="2511"/>
      <c r="F143" s="2511"/>
      <c r="G143" s="2511"/>
      <c r="H143" s="2511"/>
      <c r="I143" s="2511"/>
      <c r="J143" s="2511"/>
      <c r="K143" s="2511"/>
      <c r="L143" s="2511"/>
      <c r="M143" s="2511"/>
      <c r="N143" s="2511"/>
      <c r="O143" s="2511"/>
      <c r="P143" s="2511"/>
      <c r="Q143" s="2511"/>
    </row>
    <row r="144" spans="2:17" s="2125" customFormat="1">
      <c r="B144" s="2511"/>
      <c r="C144" s="2511"/>
      <c r="D144" s="2511"/>
      <c r="E144" s="2511"/>
      <c r="F144" s="2511"/>
      <c r="G144" s="2511"/>
      <c r="H144" s="2511"/>
      <c r="I144" s="2511"/>
      <c r="J144" s="2511"/>
      <c r="K144" s="2511"/>
      <c r="L144" s="2511"/>
      <c r="M144" s="2511"/>
      <c r="N144" s="2511"/>
      <c r="O144" s="2511"/>
      <c r="P144" s="2511"/>
      <c r="Q144" s="2511"/>
    </row>
    <row r="145" spans="2:17" s="2125" customFormat="1">
      <c r="B145" s="2511"/>
      <c r="C145" s="2511"/>
      <c r="D145" s="2511"/>
      <c r="E145" s="2511"/>
      <c r="F145" s="2511"/>
      <c r="G145" s="2511"/>
      <c r="H145" s="2511"/>
      <c r="I145" s="2511"/>
      <c r="J145" s="2511"/>
      <c r="K145" s="2511"/>
      <c r="L145" s="2511"/>
      <c r="M145" s="2511"/>
      <c r="N145" s="2511"/>
      <c r="O145" s="2511"/>
      <c r="P145" s="2511"/>
      <c r="Q145" s="2511"/>
    </row>
    <row r="146" spans="2:17" s="2125" customFormat="1">
      <c r="B146" s="2511"/>
      <c r="C146" s="2511"/>
      <c r="D146" s="2511"/>
      <c r="E146" s="2511"/>
      <c r="F146" s="2511"/>
      <c r="G146" s="2511"/>
      <c r="H146" s="2511"/>
      <c r="I146" s="2511"/>
      <c r="J146" s="2511"/>
      <c r="K146" s="2511"/>
      <c r="L146" s="2511"/>
      <c r="M146" s="2511"/>
      <c r="N146" s="2511"/>
      <c r="O146" s="2511"/>
      <c r="P146" s="2511"/>
      <c r="Q146" s="2511"/>
    </row>
    <row r="147" spans="2:17" s="2125" customFormat="1">
      <c r="B147" s="2511"/>
      <c r="C147" s="2511"/>
      <c r="D147" s="2511"/>
      <c r="E147" s="2511"/>
      <c r="F147" s="2511"/>
      <c r="G147" s="2511"/>
      <c r="H147" s="2511"/>
      <c r="I147" s="2511"/>
      <c r="J147" s="2511"/>
      <c r="K147" s="2511"/>
      <c r="L147" s="2511"/>
      <c r="M147" s="2511"/>
      <c r="N147" s="2511"/>
      <c r="O147" s="2511"/>
      <c r="P147" s="2511"/>
      <c r="Q147" s="2511"/>
    </row>
    <row r="148" spans="2:17" s="2125" customFormat="1">
      <c r="B148" s="2511"/>
      <c r="C148" s="2511"/>
      <c r="D148" s="2511"/>
      <c r="E148" s="2511"/>
      <c r="F148" s="2511"/>
      <c r="G148" s="2511"/>
      <c r="H148" s="2511"/>
      <c r="I148" s="2511"/>
      <c r="J148" s="2511"/>
      <c r="K148" s="2511"/>
      <c r="L148" s="2511"/>
      <c r="M148" s="2511"/>
      <c r="N148" s="2511"/>
      <c r="O148" s="2511"/>
      <c r="P148" s="2511"/>
      <c r="Q148" s="2511"/>
    </row>
    <row r="149" spans="2:17" s="2125" customFormat="1">
      <c r="B149" s="2511"/>
      <c r="C149" s="2511"/>
      <c r="D149" s="2511"/>
      <c r="E149" s="2511"/>
      <c r="F149" s="2511"/>
      <c r="G149" s="2511"/>
      <c r="H149" s="2511"/>
      <c r="I149" s="2511"/>
      <c r="J149" s="2511"/>
      <c r="K149" s="2511"/>
      <c r="L149" s="2511"/>
      <c r="M149" s="2511"/>
      <c r="N149" s="2511"/>
      <c r="O149" s="2511"/>
      <c r="P149" s="2511"/>
      <c r="Q149" s="2511"/>
    </row>
    <row r="150" spans="2:17" s="2125" customFormat="1">
      <c r="B150" s="2511"/>
      <c r="C150" s="2511"/>
      <c r="D150" s="2511"/>
      <c r="E150" s="2511"/>
      <c r="F150" s="2511"/>
      <c r="G150" s="2511"/>
      <c r="H150" s="2511"/>
      <c r="I150" s="2511"/>
      <c r="J150" s="2511"/>
      <c r="K150" s="2511"/>
      <c r="L150" s="2511"/>
      <c r="M150" s="2511"/>
      <c r="N150" s="2511"/>
      <c r="O150" s="2511"/>
      <c r="P150" s="2511"/>
      <c r="Q150" s="2511"/>
    </row>
    <row r="151" spans="2:17" s="2125" customFormat="1">
      <c r="B151" s="2511"/>
      <c r="C151" s="2511"/>
      <c r="D151" s="2511"/>
      <c r="E151" s="2511"/>
      <c r="F151" s="2511"/>
      <c r="G151" s="2511"/>
      <c r="H151" s="2511"/>
      <c r="I151" s="2511"/>
      <c r="J151" s="2511"/>
      <c r="K151" s="2511"/>
      <c r="L151" s="2511"/>
      <c r="M151" s="2511"/>
      <c r="N151" s="2511"/>
      <c r="O151" s="2511"/>
      <c r="P151" s="2511"/>
      <c r="Q151" s="2511"/>
    </row>
    <row r="152" spans="2:17" s="2125" customFormat="1">
      <c r="B152" s="2511"/>
      <c r="C152" s="2511"/>
      <c r="D152" s="2511"/>
      <c r="E152" s="2511"/>
      <c r="F152" s="2511"/>
      <c r="G152" s="2511"/>
      <c r="H152" s="2511"/>
      <c r="I152" s="2511"/>
      <c r="J152" s="2511"/>
      <c r="K152" s="2511"/>
      <c r="L152" s="2511"/>
      <c r="M152" s="2511"/>
      <c r="N152" s="2511"/>
      <c r="O152" s="2511"/>
      <c r="P152" s="2511"/>
      <c r="Q152" s="2511"/>
    </row>
    <row r="153" spans="2:17" s="2125" customFormat="1">
      <c r="B153" s="2511"/>
      <c r="C153" s="2511"/>
      <c r="D153" s="2511"/>
      <c r="E153" s="2511"/>
      <c r="F153" s="2511"/>
      <c r="G153" s="2511"/>
      <c r="H153" s="2511"/>
      <c r="I153" s="2511"/>
      <c r="J153" s="2511"/>
      <c r="K153" s="2511"/>
      <c r="L153" s="2511"/>
      <c r="M153" s="2511"/>
      <c r="N153" s="2511"/>
      <c r="O153" s="2511"/>
      <c r="P153" s="2511"/>
      <c r="Q153" s="2511"/>
    </row>
    <row r="154" spans="2:17" s="2125" customFormat="1">
      <c r="B154" s="2511"/>
      <c r="C154" s="2511"/>
      <c r="D154" s="2511"/>
      <c r="E154" s="2511"/>
      <c r="F154" s="2511"/>
      <c r="G154" s="2511"/>
      <c r="H154" s="2511"/>
      <c r="I154" s="2511"/>
      <c r="J154" s="2511"/>
      <c r="K154" s="2511"/>
      <c r="L154" s="2511"/>
      <c r="M154" s="2511"/>
      <c r="N154" s="2511"/>
      <c r="O154" s="2511"/>
      <c r="P154" s="2511"/>
      <c r="Q154" s="2511"/>
    </row>
    <row r="155" spans="2:17" s="2125" customFormat="1">
      <c r="B155" s="2511"/>
      <c r="C155" s="2511"/>
      <c r="D155" s="2511"/>
      <c r="E155" s="2511"/>
      <c r="F155" s="2511"/>
      <c r="G155" s="2511"/>
      <c r="H155" s="2511"/>
      <c r="I155" s="2511"/>
      <c r="J155" s="2511"/>
      <c r="K155" s="2511"/>
      <c r="L155" s="2511"/>
      <c r="M155" s="2511"/>
      <c r="N155" s="2511"/>
      <c r="O155" s="2511"/>
      <c r="P155" s="2511"/>
      <c r="Q155" s="2511"/>
    </row>
    <row r="156" spans="2:17" s="2125" customFormat="1">
      <c r="B156" s="2511"/>
      <c r="C156" s="2511"/>
      <c r="D156" s="2511"/>
      <c r="E156" s="2511"/>
      <c r="F156" s="2511"/>
      <c r="G156" s="2511"/>
      <c r="H156" s="2511"/>
      <c r="I156" s="2511"/>
      <c r="J156" s="2511"/>
      <c r="K156" s="2511"/>
      <c r="L156" s="2511"/>
      <c r="M156" s="2511"/>
      <c r="N156" s="2511"/>
      <c r="O156" s="2511"/>
      <c r="P156" s="2511"/>
      <c r="Q156" s="2511"/>
    </row>
    <row r="157" spans="2:17" s="2125" customFormat="1">
      <c r="B157" s="2511"/>
      <c r="C157" s="2511"/>
      <c r="D157" s="2511"/>
      <c r="E157" s="2511"/>
      <c r="F157" s="2511"/>
      <c r="G157" s="2511"/>
      <c r="H157" s="2511"/>
      <c r="I157" s="2511"/>
      <c r="J157" s="2511"/>
      <c r="K157" s="2511"/>
      <c r="L157" s="2511"/>
      <c r="M157" s="2511"/>
      <c r="N157" s="2511"/>
      <c r="O157" s="2511"/>
      <c r="P157" s="2511"/>
      <c r="Q157" s="2511"/>
    </row>
    <row r="158" spans="2:17" s="2125" customFormat="1">
      <c r="B158" s="2511"/>
      <c r="C158" s="2511"/>
      <c r="D158" s="2511"/>
      <c r="E158" s="2511"/>
      <c r="F158" s="2511"/>
      <c r="G158" s="2511"/>
      <c r="H158" s="2511"/>
      <c r="I158" s="2511"/>
      <c r="J158" s="2511"/>
      <c r="K158" s="2511"/>
      <c r="L158" s="2511"/>
      <c r="M158" s="2511"/>
      <c r="N158" s="2511"/>
      <c r="O158" s="2511"/>
      <c r="P158" s="2511"/>
      <c r="Q158" s="2511"/>
    </row>
    <row r="159" spans="2:17" s="2125" customFormat="1">
      <c r="B159" s="2511"/>
      <c r="C159" s="2511"/>
      <c r="D159" s="2511"/>
      <c r="E159" s="2511"/>
      <c r="F159" s="2511"/>
      <c r="G159" s="2511"/>
      <c r="H159" s="2511"/>
      <c r="I159" s="2511"/>
      <c r="J159" s="2511"/>
      <c r="K159" s="2511"/>
      <c r="L159" s="2511"/>
      <c r="M159" s="2511"/>
      <c r="N159" s="2511"/>
      <c r="O159" s="2511"/>
      <c r="P159" s="2511"/>
      <c r="Q159" s="2511"/>
    </row>
    <row r="160" spans="2:17" s="2125" customFormat="1">
      <c r="B160" s="2511"/>
      <c r="C160" s="2511"/>
      <c r="D160" s="2511"/>
      <c r="E160" s="2511"/>
      <c r="F160" s="2511"/>
      <c r="G160" s="2511"/>
      <c r="H160" s="2511"/>
      <c r="I160" s="2511"/>
      <c r="J160" s="2511"/>
      <c r="K160" s="2511"/>
      <c r="L160" s="2511"/>
      <c r="M160" s="2511"/>
      <c r="N160" s="2511"/>
      <c r="O160" s="2511"/>
      <c r="P160" s="2511"/>
      <c r="Q160" s="2511"/>
    </row>
    <row r="161" spans="2:17" s="2125" customFormat="1">
      <c r="B161" s="2511"/>
      <c r="C161" s="2511"/>
      <c r="D161" s="2511"/>
      <c r="E161" s="2511"/>
      <c r="F161" s="2511"/>
      <c r="G161" s="2511"/>
      <c r="H161" s="2511"/>
      <c r="I161" s="2511"/>
      <c r="J161" s="2511"/>
      <c r="K161" s="2511"/>
      <c r="L161" s="2511"/>
      <c r="M161" s="2511"/>
      <c r="N161" s="2511"/>
      <c r="O161" s="2511"/>
      <c r="P161" s="2511"/>
      <c r="Q161" s="2511"/>
    </row>
    <row r="162" spans="2:17" s="2125" customFormat="1">
      <c r="B162" s="2511"/>
      <c r="C162" s="2511"/>
      <c r="D162" s="2511"/>
      <c r="E162" s="2511"/>
      <c r="F162" s="2511"/>
      <c r="G162" s="2511"/>
      <c r="H162" s="2511"/>
      <c r="I162" s="2511"/>
      <c r="J162" s="2511"/>
      <c r="K162" s="2511"/>
      <c r="L162" s="2511"/>
      <c r="M162" s="2511"/>
      <c r="N162" s="2511"/>
      <c r="O162" s="2511"/>
      <c r="P162" s="2511"/>
      <c r="Q162" s="2511"/>
    </row>
    <row r="163" spans="2:17" s="2125" customFormat="1">
      <c r="B163" s="2511"/>
      <c r="C163" s="2511"/>
      <c r="D163" s="2511"/>
      <c r="E163" s="2511"/>
      <c r="F163" s="2511"/>
      <c r="G163" s="2511"/>
      <c r="H163" s="2511"/>
      <c r="I163" s="2511"/>
      <c r="J163" s="2511"/>
      <c r="K163" s="2511"/>
      <c r="L163" s="2511"/>
      <c r="M163" s="2511"/>
      <c r="N163" s="2511"/>
      <c r="O163" s="2511"/>
      <c r="P163" s="2511"/>
      <c r="Q163" s="2511"/>
    </row>
    <row r="164" spans="2:17" s="2125" customFormat="1">
      <c r="B164" s="2511"/>
      <c r="C164" s="2511"/>
      <c r="D164" s="2511"/>
      <c r="E164" s="2511"/>
      <c r="F164" s="2511"/>
      <c r="G164" s="2511"/>
      <c r="H164" s="2511"/>
      <c r="I164" s="2511"/>
      <c r="J164" s="2511"/>
      <c r="K164" s="2511"/>
      <c r="L164" s="2511"/>
      <c r="M164" s="2511"/>
      <c r="N164" s="2511"/>
      <c r="O164" s="2511"/>
      <c r="P164" s="2511"/>
      <c r="Q164" s="2511"/>
    </row>
    <row r="165" spans="2:17" s="2125" customFormat="1">
      <c r="B165" s="2511"/>
      <c r="C165" s="2511"/>
      <c r="D165" s="2511"/>
      <c r="E165" s="2511"/>
      <c r="F165" s="2511"/>
      <c r="G165" s="2511"/>
      <c r="H165" s="2511"/>
      <c r="I165" s="2511"/>
      <c r="J165" s="2511"/>
      <c r="K165" s="2511"/>
      <c r="L165" s="2511"/>
      <c r="M165" s="2511"/>
      <c r="N165" s="2511"/>
      <c r="O165" s="2511"/>
      <c r="P165" s="2511"/>
      <c r="Q165" s="2511"/>
    </row>
    <row r="166" spans="2:17" s="2125" customFormat="1">
      <c r="B166" s="2511"/>
      <c r="C166" s="2511"/>
      <c r="D166" s="2511"/>
      <c r="E166" s="2511"/>
      <c r="F166" s="2511"/>
      <c r="G166" s="2511"/>
      <c r="H166" s="2511"/>
      <c r="I166" s="2511"/>
      <c r="J166" s="2511"/>
      <c r="K166" s="2511"/>
      <c r="L166" s="2511"/>
      <c r="M166" s="2511"/>
      <c r="N166" s="2511"/>
      <c r="O166" s="2511"/>
      <c r="P166" s="2511"/>
      <c r="Q166" s="2511"/>
    </row>
    <row r="167" spans="2:17" s="2125" customFormat="1">
      <c r="B167" s="2511"/>
      <c r="C167" s="2511"/>
      <c r="D167" s="2511"/>
      <c r="E167" s="2511"/>
      <c r="F167" s="2511"/>
      <c r="G167" s="2511"/>
      <c r="H167" s="2511"/>
      <c r="I167" s="2511"/>
      <c r="J167" s="2511"/>
      <c r="K167" s="2511"/>
      <c r="L167" s="2511"/>
      <c r="M167" s="2511"/>
      <c r="N167" s="2511"/>
      <c r="O167" s="2511"/>
      <c r="P167" s="2511"/>
      <c r="Q167" s="2511"/>
    </row>
    <row r="168" spans="2:17" s="2125" customFormat="1">
      <c r="B168" s="2511"/>
      <c r="C168" s="2511"/>
      <c r="D168" s="2511"/>
      <c r="E168" s="2511"/>
      <c r="F168" s="2511"/>
      <c r="G168" s="2511"/>
      <c r="H168" s="2511"/>
      <c r="I168" s="2511"/>
      <c r="J168" s="2511"/>
      <c r="K168" s="2511"/>
      <c r="L168" s="2511"/>
      <c r="M168" s="2511"/>
      <c r="N168" s="2511"/>
      <c r="O168" s="2511"/>
      <c r="P168" s="2511"/>
      <c r="Q168" s="2511"/>
    </row>
    <row r="169" spans="2:17" s="2125" customFormat="1">
      <c r="B169" s="2511"/>
      <c r="C169" s="2511"/>
      <c r="D169" s="2511"/>
      <c r="E169" s="2511"/>
      <c r="F169" s="2511"/>
      <c r="G169" s="2511"/>
      <c r="H169" s="2511"/>
      <c r="I169" s="2511"/>
      <c r="J169" s="2511"/>
      <c r="K169" s="2511"/>
      <c r="L169" s="2511"/>
      <c r="M169" s="2511"/>
      <c r="N169" s="2511"/>
      <c r="O169" s="2511"/>
      <c r="P169" s="2511"/>
      <c r="Q169" s="2511"/>
    </row>
    <row r="170" spans="2:17" s="2125" customFormat="1">
      <c r="B170" s="2511"/>
      <c r="C170" s="2511"/>
      <c r="D170" s="2511"/>
      <c r="E170" s="2511"/>
      <c r="F170" s="2511"/>
      <c r="G170" s="2511"/>
      <c r="H170" s="2511"/>
      <c r="I170" s="2511"/>
      <c r="J170" s="2511"/>
      <c r="K170" s="2511"/>
      <c r="L170" s="2511"/>
      <c r="M170" s="2511"/>
      <c r="N170" s="2511"/>
      <c r="O170" s="2511"/>
      <c r="P170" s="2511"/>
      <c r="Q170" s="2511"/>
    </row>
    <row r="171" spans="2:17" s="2125" customFormat="1">
      <c r="B171" s="2511"/>
      <c r="C171" s="2511"/>
      <c r="D171" s="2511"/>
      <c r="E171" s="2511"/>
      <c r="F171" s="2511"/>
      <c r="G171" s="2511"/>
      <c r="H171" s="2511"/>
      <c r="I171" s="2511"/>
      <c r="J171" s="2511"/>
      <c r="K171" s="2511"/>
      <c r="L171" s="2511"/>
      <c r="M171" s="2511"/>
      <c r="N171" s="2511"/>
      <c r="O171" s="2511"/>
      <c r="P171" s="2511"/>
      <c r="Q171" s="2511"/>
    </row>
    <row r="172" spans="2:17" s="2125" customFormat="1">
      <c r="B172" s="2511"/>
      <c r="C172" s="2511"/>
      <c r="D172" s="2511"/>
      <c r="E172" s="2511"/>
      <c r="F172" s="2511"/>
      <c r="G172" s="2511"/>
      <c r="H172" s="2511"/>
      <c r="I172" s="2511"/>
      <c r="J172" s="2511"/>
      <c r="K172" s="2511"/>
      <c r="L172" s="2511"/>
      <c r="M172" s="2511"/>
      <c r="N172" s="2511"/>
      <c r="O172" s="2511"/>
      <c r="P172" s="2511"/>
      <c r="Q172" s="2511"/>
    </row>
    <row r="173" spans="2:17" s="2125" customFormat="1">
      <c r="B173" s="2511"/>
      <c r="C173" s="2511"/>
      <c r="D173" s="2511"/>
      <c r="E173" s="2511"/>
      <c r="F173" s="2511"/>
      <c r="G173" s="2511"/>
      <c r="H173" s="2511"/>
      <c r="I173" s="2511"/>
      <c r="J173" s="2511"/>
      <c r="K173" s="2511"/>
      <c r="L173" s="2511"/>
      <c r="M173" s="2511"/>
      <c r="N173" s="2511"/>
      <c r="O173" s="2511"/>
      <c r="P173" s="2511"/>
      <c r="Q173" s="2511"/>
    </row>
    <row r="174" spans="2:17" s="2125" customFormat="1">
      <c r="B174" s="2511"/>
      <c r="C174" s="2511"/>
      <c r="D174" s="2511"/>
      <c r="E174" s="2511"/>
      <c r="F174" s="2511"/>
      <c r="G174" s="2511"/>
      <c r="H174" s="2511"/>
      <c r="I174" s="2511"/>
      <c r="J174" s="2511"/>
      <c r="K174" s="2511"/>
      <c r="L174" s="2511"/>
      <c r="M174" s="2511"/>
      <c r="N174" s="2511"/>
      <c r="O174" s="2511"/>
      <c r="P174" s="2511"/>
      <c r="Q174" s="2511"/>
    </row>
    <row r="175" spans="2:17" s="2125" customFormat="1">
      <c r="B175" s="2511"/>
      <c r="C175" s="2511"/>
      <c r="D175" s="2511"/>
      <c r="E175" s="2511"/>
      <c r="F175" s="2511"/>
      <c r="G175" s="2511"/>
      <c r="H175" s="2511"/>
      <c r="I175" s="2511"/>
      <c r="J175" s="2511"/>
      <c r="K175" s="2511"/>
      <c r="L175" s="2511"/>
      <c r="M175" s="2511"/>
      <c r="N175" s="2511"/>
      <c r="O175" s="2511"/>
      <c r="P175" s="2511"/>
      <c r="Q175" s="2511"/>
    </row>
    <row r="176" spans="2:17" s="2125" customFormat="1">
      <c r="B176" s="2511"/>
      <c r="C176" s="2511"/>
      <c r="D176" s="2511"/>
      <c r="E176" s="2511"/>
      <c r="F176" s="2511"/>
      <c r="G176" s="2511"/>
      <c r="H176" s="2511"/>
      <c r="I176" s="2511"/>
      <c r="J176" s="2511"/>
      <c r="K176" s="2511"/>
      <c r="L176" s="2511"/>
      <c r="M176" s="2511"/>
      <c r="N176" s="2511"/>
      <c r="O176" s="2511"/>
      <c r="P176" s="2511"/>
      <c r="Q176" s="2511"/>
    </row>
    <row r="177" spans="1:17" s="2125" customFormat="1">
      <c r="B177" s="2511"/>
      <c r="C177" s="2511"/>
      <c r="D177" s="2511"/>
      <c r="E177" s="2511"/>
      <c r="F177" s="2511"/>
      <c r="G177" s="2511"/>
      <c r="H177" s="2511"/>
      <c r="I177" s="2511"/>
      <c r="J177" s="2511"/>
      <c r="K177" s="2511"/>
      <c r="L177" s="2511"/>
      <c r="M177" s="2511"/>
      <c r="N177" s="2511"/>
      <c r="O177" s="2511"/>
      <c r="P177" s="2511"/>
      <c r="Q177" s="2511"/>
    </row>
    <row r="178" spans="1:17" s="2125" customFormat="1">
      <c r="B178" s="2511"/>
      <c r="C178" s="2511"/>
      <c r="D178" s="2511"/>
      <c r="E178" s="2511"/>
      <c r="F178" s="2511"/>
      <c r="G178" s="2511"/>
      <c r="H178" s="2511"/>
      <c r="I178" s="2511"/>
      <c r="J178" s="2511"/>
      <c r="K178" s="2511"/>
      <c r="L178" s="2511"/>
      <c r="M178" s="2511"/>
      <c r="N178" s="2511"/>
      <c r="O178" s="2511"/>
      <c r="P178" s="2511"/>
      <c r="Q178" s="2511"/>
    </row>
    <row r="179" spans="1:17" s="2125" customFormat="1">
      <c r="B179" s="2511"/>
      <c r="C179" s="2511"/>
      <c r="D179" s="2511"/>
      <c r="E179" s="2511"/>
      <c r="F179" s="2511"/>
      <c r="G179" s="2511"/>
      <c r="H179" s="2511"/>
      <c r="I179" s="2511"/>
      <c r="J179" s="2511"/>
      <c r="K179" s="2511"/>
      <c r="L179" s="2511"/>
      <c r="M179" s="2511"/>
      <c r="N179" s="2511"/>
      <c r="O179" s="2511"/>
      <c r="P179" s="2511"/>
      <c r="Q179" s="2511"/>
    </row>
    <row r="180" spans="1:17" s="2125" customFormat="1">
      <c r="B180" s="2511"/>
      <c r="C180" s="2511"/>
      <c r="D180" s="2511"/>
      <c r="E180" s="2511"/>
      <c r="F180" s="2511"/>
      <c r="G180" s="2511"/>
      <c r="H180" s="2511"/>
      <c r="I180" s="2511"/>
      <c r="J180" s="2511"/>
      <c r="K180" s="2511"/>
      <c r="L180" s="2511"/>
      <c r="M180" s="2511"/>
      <c r="N180" s="2511"/>
      <c r="O180" s="2511"/>
      <c r="P180" s="2511"/>
      <c r="Q180" s="2511"/>
    </row>
    <row r="181" spans="1:17" s="2125" customFormat="1">
      <c r="B181" s="2511"/>
      <c r="C181" s="2511"/>
      <c r="D181" s="2511"/>
      <c r="E181" s="2511"/>
      <c r="F181" s="2511"/>
      <c r="G181" s="2511"/>
      <c r="H181" s="2511"/>
      <c r="I181" s="2511"/>
      <c r="J181" s="2511"/>
      <c r="K181" s="2511"/>
      <c r="L181" s="2511"/>
      <c r="M181" s="2511"/>
      <c r="N181" s="2511"/>
      <c r="O181" s="2511"/>
      <c r="P181" s="2511"/>
      <c r="Q181" s="2511"/>
    </row>
    <row r="182" spans="1:17" s="2125" customFormat="1">
      <c r="B182" s="2511"/>
      <c r="C182" s="2511"/>
      <c r="D182" s="2511"/>
      <c r="E182" s="2511"/>
      <c r="F182" s="2511"/>
      <c r="G182" s="2511"/>
      <c r="H182" s="2511"/>
      <c r="I182" s="2511"/>
      <c r="J182" s="2511"/>
      <c r="K182" s="2511"/>
      <c r="L182" s="2511"/>
      <c r="M182" s="2511"/>
      <c r="N182" s="2511"/>
      <c r="O182" s="2511"/>
      <c r="P182" s="2511"/>
      <c r="Q182" s="2511"/>
    </row>
    <row r="183" spans="1:17" s="2125" customFormat="1">
      <c r="B183" s="2511"/>
      <c r="C183" s="2511"/>
      <c r="D183" s="2511"/>
      <c r="E183" s="2511"/>
      <c r="F183" s="2511"/>
      <c r="G183" s="2511"/>
      <c r="H183" s="2511"/>
      <c r="I183" s="2511"/>
      <c r="J183" s="2511"/>
      <c r="K183" s="2511"/>
      <c r="L183" s="2511"/>
      <c r="M183" s="2511"/>
      <c r="N183" s="2511"/>
      <c r="O183" s="2511"/>
      <c r="P183" s="2511"/>
      <c r="Q183" s="2511"/>
    </row>
    <row r="184" spans="1:17" s="2125" customFormat="1">
      <c r="B184" s="2511"/>
      <c r="C184" s="2511"/>
      <c r="D184" s="2511"/>
      <c r="E184" s="2511"/>
      <c r="F184" s="2511"/>
      <c r="G184" s="2511"/>
      <c r="H184" s="2511"/>
      <c r="I184" s="2511"/>
      <c r="J184" s="2511"/>
      <c r="K184" s="2511"/>
      <c r="L184" s="2511"/>
      <c r="M184" s="2511"/>
      <c r="N184" s="2511"/>
      <c r="O184" s="2511"/>
      <c r="P184" s="2511"/>
      <c r="Q184" s="2511"/>
    </row>
    <row r="185" spans="1:17" s="2125" customFormat="1">
      <c r="B185" s="2511"/>
      <c r="C185" s="2511"/>
      <c r="D185" s="2511"/>
      <c r="E185" s="2511"/>
      <c r="F185" s="2511"/>
      <c r="G185" s="2511"/>
      <c r="H185" s="2511"/>
      <c r="I185" s="2511"/>
      <c r="J185" s="2511"/>
      <c r="K185" s="2511"/>
      <c r="L185" s="2511"/>
      <c r="M185" s="2511"/>
      <c r="N185" s="2511"/>
      <c r="O185" s="2511"/>
      <c r="P185" s="2511"/>
      <c r="Q185" s="2511"/>
    </row>
    <row r="186" spans="1:17">
      <c r="A186" s="2125"/>
      <c r="B186" s="2511"/>
      <c r="C186" s="2511"/>
      <c r="E186" s="2511"/>
      <c r="F186" s="2511"/>
      <c r="G186" s="2511"/>
    </row>
    <row r="187" spans="1:17">
      <c r="A187" s="2125"/>
      <c r="B187" s="2511"/>
      <c r="C187" s="2511"/>
      <c r="E187" s="2511"/>
      <c r="F187" s="2511"/>
      <c r="G187" s="2511"/>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495" customWidth="1"/>
    <col min="2" max="9" width="15.75" style="2495" customWidth="1"/>
    <col min="10" max="16384" width="9" style="2495"/>
  </cols>
  <sheetData>
    <row r="1" spans="1:11" ht="16.5">
      <c r="A1" s="2496" t="s">
        <v>798</v>
      </c>
      <c r="B1" s="2496">
        <f>SUM(B14:B23)</f>
        <v>50585.8</v>
      </c>
      <c r="C1" s="2497"/>
      <c r="D1" s="2497"/>
      <c r="E1" s="2497"/>
      <c r="F1" s="2497"/>
      <c r="G1" s="2498"/>
      <c r="H1" s="2498"/>
      <c r="I1" s="2498"/>
      <c r="J1" s="2498"/>
      <c r="K1" s="2498"/>
    </row>
    <row r="2" spans="1:11" ht="16.5">
      <c r="A2" s="2496" t="s">
        <v>799</v>
      </c>
      <c r="B2" s="2496">
        <f>SUM(C14:C23)</f>
        <v>11435.33</v>
      </c>
      <c r="C2" s="2497"/>
      <c r="D2" s="2497"/>
      <c r="E2" s="2497"/>
      <c r="F2" s="2497"/>
      <c r="G2" s="2498"/>
      <c r="H2" s="2498"/>
      <c r="I2" s="2498"/>
      <c r="J2" s="2498"/>
      <c r="K2" s="2498"/>
    </row>
    <row r="3" spans="1:11" ht="16.5">
      <c r="A3" s="2496" t="s">
        <v>800</v>
      </c>
      <c r="B3" s="2499">
        <f>项目基本情况!D3</f>
        <v>45980</v>
      </c>
      <c r="C3" s="2497"/>
      <c r="D3" s="2497"/>
      <c r="E3" s="2497"/>
      <c r="F3" s="2497"/>
      <c r="G3" s="2498"/>
      <c r="H3" s="2498"/>
      <c r="I3" s="2498"/>
      <c r="J3" s="2498"/>
      <c r="K3" s="2498"/>
    </row>
    <row r="4" spans="1:11" ht="33">
      <c r="A4" s="2496" t="s">
        <v>801</v>
      </c>
      <c r="B4" s="2496" t="s">
        <v>802</v>
      </c>
      <c r="C4" s="2496" t="s">
        <v>803</v>
      </c>
      <c r="D4" s="2496" t="s">
        <v>804</v>
      </c>
      <c r="E4" s="2497"/>
      <c r="F4" s="2498"/>
      <c r="G4" s="2498"/>
      <c r="H4" s="2498"/>
      <c r="I4" s="2498"/>
      <c r="J4" s="2498"/>
      <c r="K4" s="2498"/>
    </row>
    <row r="5" spans="1:11" ht="16.5">
      <c r="A5" s="2496" t="s">
        <v>805</v>
      </c>
      <c r="B5" s="2496">
        <f ca="1">SUM(D14:D23)</f>
        <v>40761</v>
      </c>
      <c r="C5" s="2496">
        <f ca="1">IF(B5=D14,结果表!H102,ROUND(B5*10000/$B$1,0))</f>
        <v>8058</v>
      </c>
      <c r="D5" s="2496">
        <f ca="1">ROUND(B5*10000/$B$2,0)</f>
        <v>35645</v>
      </c>
      <c r="E5" s="2497"/>
      <c r="F5" s="2498"/>
      <c r="G5" s="2498"/>
      <c r="H5" s="2498"/>
      <c r="I5" s="2498"/>
      <c r="J5" s="2498"/>
      <c r="K5" s="2498"/>
    </row>
    <row r="6" spans="1:11" ht="16.5">
      <c r="A6" s="2496" t="s">
        <v>806</v>
      </c>
      <c r="B6" s="2496">
        <f ca="1">SUM(G14:G23)</f>
        <v>40761</v>
      </c>
      <c r="C6" s="2496">
        <f ca="1">IF(B6=G14,结果表!H108,ROUND(B6*10000/$B$1,0))</f>
        <v>8058</v>
      </c>
      <c r="D6" s="2496">
        <f ca="1">ROUND(B6*10000/$B$2,0)</f>
        <v>35645</v>
      </c>
      <c r="E6" s="2497"/>
      <c r="F6" s="2498"/>
      <c r="G6" s="2498"/>
      <c r="H6" s="2498"/>
      <c r="I6" s="2498"/>
      <c r="J6" s="2498"/>
      <c r="K6" s="2498"/>
    </row>
    <row r="7" spans="1:11" ht="16.5">
      <c r="A7" s="2496" t="s">
        <v>807</v>
      </c>
      <c r="B7" s="2496">
        <f>SUM(H14:H23)</f>
        <v>0</v>
      </c>
      <c r="C7" s="2496" t="str">
        <f>IF(B7=H14,结果表!H110,ROUND(B7*10000/$B$1,0))</f>
        <v>——</v>
      </c>
      <c r="D7" s="2496">
        <f>ROUND(B7*10000/$B$2,0)</f>
        <v>0</v>
      </c>
      <c r="E7" s="2497"/>
      <c r="F7" s="2498"/>
      <c r="G7" s="2498"/>
      <c r="H7" s="2498"/>
      <c r="I7" s="2498"/>
      <c r="J7" s="2498"/>
      <c r="K7" s="2498"/>
    </row>
    <row r="8" spans="1:11" ht="16.5">
      <c r="A8" s="2496" t="s">
        <v>377</v>
      </c>
      <c r="B8" s="2496">
        <f>SUM(I14:I23)</f>
        <v>0</v>
      </c>
      <c r="C8" s="2496" t="str">
        <f>IF(B8=I14,结果表!H112,ROUND(B8*10000/$B$1,0))</f>
        <v>——</v>
      </c>
      <c r="D8" s="2496">
        <f>ROUND(B8*10000/$B$2,0)</f>
        <v>0</v>
      </c>
      <c r="E8" s="2497"/>
      <c r="F8" s="2498"/>
      <c r="G8" s="2498"/>
      <c r="H8" s="2498"/>
      <c r="I8" s="2498"/>
      <c r="J8" s="2498"/>
      <c r="K8" s="2498"/>
    </row>
    <row r="9" spans="1:11" ht="16.5">
      <c r="A9" s="2496" t="s">
        <v>808</v>
      </c>
      <c r="B9" s="2500"/>
      <c r="C9" s="2497"/>
      <c r="D9" s="2497"/>
      <c r="E9" s="2497"/>
      <c r="F9" s="2498"/>
      <c r="G9" s="2498"/>
      <c r="H9" s="2498"/>
      <c r="I9" s="2498"/>
      <c r="J9" s="2498"/>
      <c r="K9" s="2498"/>
    </row>
    <row r="10" spans="1:11" ht="16.5">
      <c r="A10" s="2496" t="s">
        <v>809</v>
      </c>
      <c r="B10" s="2496">
        <f>IF(E10="",0,ROUND(B1*(E10*365/G10)/10000,0))</f>
        <v>0</v>
      </c>
      <c r="C10" s="2496" t="s">
        <v>810</v>
      </c>
      <c r="D10" s="2496" t="s">
        <v>809</v>
      </c>
      <c r="E10" s="2501"/>
      <c r="F10" s="2502" t="s">
        <v>811</v>
      </c>
      <c r="G10" s="2503"/>
      <c r="H10" s="2498"/>
      <c r="I10" s="2498"/>
      <c r="J10" s="2498"/>
      <c r="K10" s="2498"/>
    </row>
    <row r="11" spans="1:11" ht="16.5">
      <c r="A11" s="2496" t="s">
        <v>812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813</v>
      </c>
      <c r="B13" s="2505" t="s">
        <v>798</v>
      </c>
      <c r="C13" s="2505" t="s">
        <v>799</v>
      </c>
      <c r="D13" s="2505" t="s">
        <v>814</v>
      </c>
      <c r="E13" s="2496" t="s">
        <v>803</v>
      </c>
      <c r="F13" s="2496" t="s">
        <v>804</v>
      </c>
      <c r="G13" s="2505" t="s">
        <v>815</v>
      </c>
      <c r="H13" s="2505" t="s">
        <v>816</v>
      </c>
      <c r="I13" s="2505" t="s">
        <v>817</v>
      </c>
      <c r="J13" s="2498"/>
      <c r="K13" s="2498"/>
    </row>
    <row r="14" spans="1:11" ht="16.5">
      <c r="A14" s="2506" t="s">
        <v>818</v>
      </c>
      <c r="B14" s="2507">
        <f>'数据-汇总表'!E3</f>
        <v>50585.8</v>
      </c>
      <c r="C14" s="2507">
        <f>'数据-汇总表'!D3</f>
        <v>11435.33</v>
      </c>
      <c r="D14" s="2507">
        <f ca="1">结果表!H101</f>
        <v>40761</v>
      </c>
      <c r="E14" s="2507">
        <f ca="1">ROUND(D14*10000/B14,0)</f>
        <v>8058</v>
      </c>
      <c r="F14" s="2507">
        <f ca="1">ROUND(D14*10000/C14,0)</f>
        <v>35645</v>
      </c>
      <c r="G14" s="2507">
        <f ca="1">D14</f>
        <v>40761</v>
      </c>
      <c r="H14" s="2507"/>
      <c r="I14" s="2507"/>
      <c r="J14" s="2498"/>
      <c r="K14" s="2498"/>
    </row>
    <row r="15" spans="1:11" ht="16.5">
      <c r="A15" s="2506" t="s">
        <v>819</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820</v>
      </c>
      <c r="B16" s="2508"/>
      <c r="C16" s="2508"/>
      <c r="D16" s="2508"/>
      <c r="E16" s="2507" t="e">
        <f t="shared" si="0"/>
        <v>#DIV/0!</v>
      </c>
      <c r="F16" s="2507" t="e">
        <f t="shared" si="1"/>
        <v>#DIV/0!</v>
      </c>
      <c r="G16" s="2500"/>
      <c r="H16" s="2500"/>
      <c r="I16" s="2508"/>
      <c r="J16" s="2498"/>
      <c r="K16" s="2498"/>
    </row>
    <row r="17" spans="1:11" ht="16.5">
      <c r="A17" s="2506" t="s">
        <v>821</v>
      </c>
      <c r="B17" s="2508"/>
      <c r="C17" s="2508"/>
      <c r="D17" s="2508"/>
      <c r="E17" s="2507" t="e">
        <f t="shared" si="0"/>
        <v>#DIV/0!</v>
      </c>
      <c r="F17" s="2507" t="e">
        <f t="shared" si="1"/>
        <v>#DIV/0!</v>
      </c>
      <c r="G17" s="2500"/>
      <c r="H17" s="2500"/>
      <c r="I17" s="2508"/>
      <c r="J17" s="2498"/>
      <c r="K17" s="2498"/>
    </row>
    <row r="18" spans="1:11" ht="16.5">
      <c r="A18" s="2506" t="s">
        <v>822</v>
      </c>
      <c r="B18" s="2508"/>
      <c r="C18" s="2508"/>
      <c r="D18" s="2508"/>
      <c r="E18" s="2507" t="e">
        <f t="shared" si="0"/>
        <v>#DIV/0!</v>
      </c>
      <c r="F18" s="2507" t="e">
        <f t="shared" si="1"/>
        <v>#DIV/0!</v>
      </c>
      <c r="G18" s="2508"/>
      <c r="H18" s="2508"/>
      <c r="I18" s="2508"/>
      <c r="J18" s="2498"/>
      <c r="K18" s="2498"/>
    </row>
    <row r="19" spans="1:11" ht="16.5">
      <c r="A19" s="2506" t="s">
        <v>823</v>
      </c>
      <c r="B19" s="2508"/>
      <c r="C19" s="2508"/>
      <c r="D19" s="2508"/>
      <c r="E19" s="2507" t="e">
        <f t="shared" si="0"/>
        <v>#DIV/0!</v>
      </c>
      <c r="F19" s="2507" t="e">
        <f t="shared" si="1"/>
        <v>#DIV/0!</v>
      </c>
      <c r="G19" s="2508"/>
      <c r="H19" s="2508"/>
      <c r="I19" s="2508"/>
      <c r="J19" s="2498"/>
      <c r="K19" s="2498"/>
    </row>
    <row r="20" spans="1:11" ht="16.5">
      <c r="A20" s="2506" t="s">
        <v>824</v>
      </c>
      <c r="B20" s="2508"/>
      <c r="C20" s="2508"/>
      <c r="D20" s="2508"/>
      <c r="E20" s="2507" t="e">
        <f t="shared" si="0"/>
        <v>#DIV/0!</v>
      </c>
      <c r="F20" s="2507" t="e">
        <f t="shared" si="1"/>
        <v>#DIV/0!</v>
      </c>
      <c r="G20" s="2508"/>
      <c r="H20" s="2508"/>
      <c r="I20" s="2508"/>
      <c r="J20" s="2498"/>
      <c r="K20" s="2498"/>
    </row>
    <row r="21" spans="1:11" ht="16.5">
      <c r="A21" s="2506" t="s">
        <v>825</v>
      </c>
      <c r="B21" s="2508"/>
      <c r="C21" s="2508"/>
      <c r="D21" s="2508"/>
      <c r="E21" s="2507" t="e">
        <f t="shared" si="0"/>
        <v>#DIV/0!</v>
      </c>
      <c r="F21" s="2507" t="e">
        <f t="shared" si="1"/>
        <v>#DIV/0!</v>
      </c>
      <c r="G21" s="2508"/>
      <c r="H21" s="2508"/>
      <c r="I21" s="2508"/>
      <c r="J21" s="2498"/>
      <c r="K21" s="2498"/>
    </row>
    <row r="22" spans="1:11" ht="16.5">
      <c r="A22" s="2506" t="s">
        <v>826</v>
      </c>
      <c r="B22" s="2508"/>
      <c r="C22" s="2508"/>
      <c r="D22" s="2508"/>
      <c r="E22" s="2507" t="e">
        <f t="shared" si="0"/>
        <v>#DIV/0!</v>
      </c>
      <c r="F22" s="2507" t="e">
        <f t="shared" si="1"/>
        <v>#DIV/0!</v>
      </c>
      <c r="G22" s="2508"/>
      <c r="H22" s="2508"/>
      <c r="I22" s="2508"/>
      <c r="J22" s="2498"/>
      <c r="K22" s="2498"/>
    </row>
    <row r="23" spans="1:11" ht="16.5">
      <c r="A23" s="2506" t="s">
        <v>827</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52" zoomScaleNormal="100" zoomScalePageLayoutView="80" workbookViewId="0">
      <selection activeCell="N118" sqref="N118"/>
    </sheetView>
  </sheetViews>
  <sheetFormatPr defaultColWidth="12.625" defaultRowHeight="21.75" customHeight="1"/>
  <cols>
    <col min="1" max="2" width="12.625" style="2229"/>
    <col min="3" max="4" width="12.625" style="2229" customWidth="1"/>
    <col min="5" max="9" width="12.625" style="2229"/>
    <col min="10" max="11" width="12.625" style="901" customWidth="1"/>
    <col min="12" max="12" width="12.625" style="901"/>
    <col min="13" max="13" width="14.125" style="901" customWidth="1"/>
    <col min="14" max="26" width="12.625" style="901"/>
    <col min="27" max="35" width="12.625" style="2228"/>
    <col min="36" max="16384" width="12.625" style="2229"/>
  </cols>
  <sheetData>
    <row r="1" spans="1:12" ht="21.75" customHeight="1">
      <c r="A1" s="2230" t="s">
        <v>828</v>
      </c>
      <c r="B1" s="1901"/>
      <c r="C1" s="2231"/>
      <c r="D1" s="1901"/>
      <c r="E1" s="1901"/>
      <c r="F1" s="2232" t="s">
        <v>829</v>
      </c>
      <c r="G1" s="2233" t="s">
        <v>830</v>
      </c>
      <c r="H1" s="2232" t="str">
        <f>IF(G1="现房","——","估价对象范围")</f>
        <v>——</v>
      </c>
      <c r="I1" s="2234" t="s">
        <v>831</v>
      </c>
    </row>
    <row r="2" spans="1:12" ht="21.75" customHeight="1">
      <c r="A2" s="3266" t="str">
        <f>项目基本情况!S2</f>
        <v>北京市房地产</v>
      </c>
      <c r="B2" s="3267"/>
      <c r="C2" s="3267"/>
      <c r="D2" s="3267"/>
      <c r="E2" s="3267"/>
      <c r="F2" s="3267"/>
      <c r="G2" s="3267"/>
      <c r="H2" s="3267"/>
      <c r="I2" s="3268"/>
    </row>
    <row r="3" spans="1:12" ht="12.75">
      <c r="A3" s="3269" t="s">
        <v>832</v>
      </c>
      <c r="B3" s="3270"/>
      <c r="C3" s="3270"/>
      <c r="D3" s="3270"/>
      <c r="E3" s="3270"/>
      <c r="F3" s="3270"/>
      <c r="G3" s="3270"/>
      <c r="H3" s="3270"/>
      <c r="I3" s="3270"/>
    </row>
    <row r="4" spans="1:12" ht="14.25">
      <c r="A4" s="2235" t="s">
        <v>833</v>
      </c>
      <c r="B4" s="2236" t="s">
        <v>834</v>
      </c>
      <c r="C4" s="2237" t="s">
        <v>294</v>
      </c>
      <c r="D4" s="2237" t="s">
        <v>294</v>
      </c>
      <c r="E4" s="3271" t="s">
        <v>835</v>
      </c>
      <c r="F4" s="3272"/>
      <c r="G4" s="3272"/>
      <c r="H4" s="3272"/>
      <c r="I4" s="3273"/>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16" t="s">
        <v>836</v>
      </c>
      <c r="B5" s="3354">
        <v>25</v>
      </c>
      <c r="C5" s="3286"/>
      <c r="D5" s="3285"/>
      <c r="E5" s="1941" t="s">
        <v>837</v>
      </c>
      <c r="F5" s="2242"/>
      <c r="G5" s="2242"/>
      <c r="H5" s="2242"/>
      <c r="I5" s="2120"/>
    </row>
    <row r="6" spans="1:12" ht="12.75">
      <c r="A6" s="3316"/>
      <c r="B6" s="3354"/>
      <c r="C6" s="3287"/>
      <c r="D6" s="3285"/>
      <c r="E6" s="1941" t="s">
        <v>838</v>
      </c>
      <c r="F6" s="2242"/>
      <c r="G6" s="2242"/>
      <c r="H6" s="2242"/>
      <c r="I6" s="2120"/>
    </row>
    <row r="7" spans="1:12" ht="12.75">
      <c r="A7" s="3316"/>
      <c r="B7" s="3354"/>
      <c r="C7" s="3288"/>
      <c r="D7" s="3285"/>
      <c r="E7" s="1941" t="s">
        <v>839</v>
      </c>
      <c r="F7" s="2242"/>
      <c r="G7" s="2242"/>
      <c r="H7" s="2242"/>
      <c r="I7" s="2120"/>
    </row>
    <row r="8" spans="1:12" ht="12.75">
      <c r="A8" s="3316" t="s">
        <v>840</v>
      </c>
      <c r="B8" s="3354">
        <v>15</v>
      </c>
      <c r="C8" s="3286"/>
      <c r="D8" s="3285"/>
      <c r="E8" s="1941" t="s">
        <v>841</v>
      </c>
      <c r="F8" s="2242"/>
      <c r="G8" s="2242"/>
      <c r="H8" s="2242"/>
      <c r="I8" s="2120"/>
    </row>
    <row r="9" spans="1:12" ht="12.75">
      <c r="A9" s="3316"/>
      <c r="B9" s="3354"/>
      <c r="C9" s="3288"/>
      <c r="D9" s="3285"/>
      <c r="E9" s="1941" t="s">
        <v>842</v>
      </c>
      <c r="F9" s="2242"/>
      <c r="G9" s="2242"/>
      <c r="H9" s="2242"/>
      <c r="I9" s="2120"/>
    </row>
    <row r="10" spans="1:12" ht="12.75">
      <c r="A10" s="3316" t="s">
        <v>843</v>
      </c>
      <c r="B10" s="3354">
        <v>15</v>
      </c>
      <c r="C10" s="3286"/>
      <c r="D10" s="3285"/>
      <c r="E10" s="1941" t="s">
        <v>844</v>
      </c>
      <c r="F10" s="2242"/>
      <c r="G10" s="2242"/>
      <c r="H10" s="2242"/>
      <c r="I10" s="2120"/>
    </row>
    <row r="11" spans="1:12" ht="12.75">
      <c r="A11" s="3316"/>
      <c r="B11" s="3354"/>
      <c r="C11" s="3288"/>
      <c r="D11" s="3285"/>
      <c r="E11" s="1941" t="s">
        <v>845</v>
      </c>
      <c r="F11" s="2242"/>
      <c r="G11" s="2242"/>
      <c r="H11" s="2242"/>
      <c r="I11" s="2120"/>
    </row>
    <row r="12" spans="1:12" ht="12.75">
      <c r="A12" s="3316" t="s">
        <v>846</v>
      </c>
      <c r="B12" s="3354">
        <v>15</v>
      </c>
      <c r="C12" s="3286"/>
      <c r="D12" s="3285"/>
      <c r="E12" s="1941" t="s">
        <v>847</v>
      </c>
      <c r="F12" s="2242"/>
      <c r="G12" s="2242"/>
      <c r="H12" s="2242"/>
      <c r="I12" s="2120"/>
    </row>
    <row r="13" spans="1:12" ht="12.75">
      <c r="A13" s="3316"/>
      <c r="B13" s="3354"/>
      <c r="C13" s="3288"/>
      <c r="D13" s="3285"/>
      <c r="E13" s="1941" t="s">
        <v>848</v>
      </c>
      <c r="F13" s="2242"/>
      <c r="G13" s="2242"/>
      <c r="H13" s="2242"/>
      <c r="I13" s="2120"/>
    </row>
    <row r="14" spans="1:12" ht="12.75">
      <c r="A14" s="3316" t="s">
        <v>849</v>
      </c>
      <c r="B14" s="3354">
        <v>30</v>
      </c>
      <c r="C14" s="3286">
        <v>5</v>
      </c>
      <c r="D14" s="3285">
        <v>5</v>
      </c>
      <c r="E14" s="1941" t="s">
        <v>850</v>
      </c>
      <c r="F14" s="2242"/>
      <c r="G14" s="2242"/>
      <c r="H14" s="2242"/>
      <c r="I14" s="2120"/>
    </row>
    <row r="15" spans="1:12" ht="12.75">
      <c r="A15" s="3316"/>
      <c r="B15" s="3354"/>
      <c r="C15" s="3287"/>
      <c r="D15" s="3285"/>
      <c r="E15" s="1941" t="s">
        <v>851</v>
      </c>
      <c r="F15" s="2242"/>
      <c r="G15" s="2242"/>
      <c r="H15" s="2242"/>
      <c r="I15" s="2120"/>
    </row>
    <row r="16" spans="1:12" ht="12.75">
      <c r="A16" s="3316"/>
      <c r="B16" s="3354"/>
      <c r="C16" s="3288"/>
      <c r="D16" s="3285"/>
      <c r="E16" s="1941" t="s">
        <v>852</v>
      </c>
      <c r="F16" s="2242"/>
      <c r="G16" s="2242"/>
      <c r="H16" s="2242"/>
      <c r="I16" s="2120"/>
    </row>
    <row r="17" spans="1:36" ht="15">
      <c r="A17" s="2243" t="s">
        <v>853</v>
      </c>
      <c r="B17" s="2244"/>
      <c r="C17" s="2245">
        <f>SUM(C5:C16)</f>
        <v>5</v>
      </c>
      <c r="D17" s="2245">
        <f>SUM(D5:D16)</f>
        <v>5</v>
      </c>
      <c r="E17" s="985"/>
      <c r="F17" s="985"/>
      <c r="G17" s="985"/>
      <c r="H17" s="985"/>
      <c r="I17" s="985"/>
      <c r="K17" s="1880"/>
      <c r="L17" s="1880" t="s">
        <v>854</v>
      </c>
      <c r="M17" s="1880" t="s">
        <v>855</v>
      </c>
    </row>
    <row r="18" spans="1:36" ht="31.9" customHeight="1">
      <c r="A18" s="2246" t="s">
        <v>856</v>
      </c>
      <c r="B18" s="2247"/>
      <c r="C18" s="2248">
        <f>ROUND(C17/SUM(C17:D17),2)</f>
        <v>0.5</v>
      </c>
      <c r="D18" s="2248">
        <f>1-C18</f>
        <v>0.5</v>
      </c>
      <c r="E18" s="3274" t="s">
        <v>857</v>
      </c>
      <c r="F18" s="3275"/>
      <c r="G18" s="3275"/>
      <c r="H18" s="3275"/>
      <c r="I18" s="3275"/>
      <c r="K18" s="1880" t="s">
        <v>508</v>
      </c>
      <c r="L18" s="1880">
        <f>IF(C1="",'数据-汇总表'!E3,SUMIF(项目类型,C1,'数据-汇总表'!E17:E26)+SUMIF(项目类型,C1,'数据-汇总表'!I17:I26))</f>
        <v>50585.8</v>
      </c>
      <c r="M18" s="1880">
        <f>IF(C1="",'数据-汇总表'!E3,SUMIF(项目类型,C1,'数据-汇总表'!E17:E26))</f>
        <v>50585.8</v>
      </c>
    </row>
    <row r="19" spans="1:36" ht="15">
      <c r="A19" s="1241" t="s">
        <v>858</v>
      </c>
      <c r="B19" s="2249" t="s">
        <v>859</v>
      </c>
      <c r="C19" s="2250">
        <f ca="1">SUMIF(INDIRECT("'"&amp;C4&amp;"'"&amp;"!A:A"),结果表!B19,INDIRECT("'"&amp;C4&amp;"'"&amp;"!B:B"))</f>
        <v>40761</v>
      </c>
      <c r="D19" s="1356">
        <f ca="1">SUMIF(INDIRECT("'"&amp;D4&amp;"'"&amp;"!A:A"),结果表!B19,INDIRECT("'"&amp;D4&amp;"'"&amp;"!B:B"))</f>
        <v>40761</v>
      </c>
      <c r="E19" s="1241" t="s">
        <v>860</v>
      </c>
      <c r="F19" s="2249" t="s">
        <v>859</v>
      </c>
      <c r="G19" s="2251">
        <f ca="1">ROUND(C19*$C$18+D19*$D$18,0)</f>
        <v>40761</v>
      </c>
      <c r="H19" s="2252" t="s">
        <v>861</v>
      </c>
      <c r="I19" s="985"/>
      <c r="K19" s="1880" t="s">
        <v>512</v>
      </c>
      <c r="L19" s="1880">
        <f>IF(C1="",'数据-汇总表'!D3,SUMIF(项目类型,C1,'数据-汇总表'!D17:D26)+SUMIF(项目类型,C1,'数据-汇总表'!H17:H27))</f>
        <v>11435.33</v>
      </c>
      <c r="M19" s="1880">
        <f>IF(C1="",'数据-汇总表'!D3,SUMIF(项目类型,C1,'数据-汇总表'!D17:D26))</f>
        <v>11435.33</v>
      </c>
    </row>
    <row r="20" spans="1:36" ht="15">
      <c r="A20" s="2253"/>
      <c r="B20" s="2254" t="s">
        <v>862</v>
      </c>
      <c r="C20" s="1611">
        <f ca="1">SUMIF(INDIRECT("'"&amp;C4&amp;"'"&amp;"!A:A"),结果表!B20,INDIRECT("'"&amp;C4&amp;"'"&amp;"!B:B"))</f>
        <v>8058</v>
      </c>
      <c r="D20" s="1614">
        <f ca="1">SUMIF(INDIRECT("'"&amp;D4&amp;"'"&amp;"!A:A"),结果表!B20,INDIRECT("'"&amp;D4&amp;"'"&amp;"!B:B"))</f>
        <v>8058</v>
      </c>
      <c r="E20" s="2253"/>
      <c r="F20" s="2254" t="s">
        <v>862</v>
      </c>
      <c r="G20" s="2255">
        <f ca="1">ROUND(C20*$C$18+D20*$D$18,0)</f>
        <v>8058</v>
      </c>
      <c r="H20" s="1927" t="s">
        <v>863</v>
      </c>
      <c r="I20" s="985"/>
    </row>
    <row r="21" spans="1:36" ht="15" customHeight="1">
      <c r="A21" s="1249"/>
      <c r="B21" s="2256" t="s">
        <v>864</v>
      </c>
      <c r="C21" s="2257">
        <f ca="1">ROUND(C19*10000/L19,0)</f>
        <v>35645</v>
      </c>
      <c r="D21" s="2258">
        <f ca="1">ROUND(D19*10000/L19,0)</f>
        <v>35645</v>
      </c>
      <c r="E21" s="1249"/>
      <c r="F21" s="2256" t="s">
        <v>864</v>
      </c>
      <c r="G21" s="2259">
        <f ca="1">ROUND(G19*10000/L19,0)</f>
        <v>35645</v>
      </c>
      <c r="H21" s="2260" t="s">
        <v>863</v>
      </c>
      <c r="I21" s="985"/>
    </row>
    <row r="22" spans="1:36" ht="14.25">
      <c r="A22" s="2261" t="s">
        <v>865</v>
      </c>
      <c r="B22" s="2262"/>
      <c r="C22" s="2263"/>
      <c r="D22" s="2264">
        <f ca="1">IF(C19&lt;D19,D19/C19-1,C19/D19-1)</f>
        <v>0</v>
      </c>
      <c r="E22" s="985"/>
      <c r="F22" s="985"/>
      <c r="G22" s="985"/>
      <c r="H22" s="985"/>
      <c r="I22" s="985"/>
    </row>
    <row r="23" spans="1:36" ht="12.75">
      <c r="A23" s="1901"/>
      <c r="B23" s="1901"/>
      <c r="C23" s="1901"/>
      <c r="D23" s="1901"/>
      <c r="E23" s="985"/>
      <c r="F23" s="985"/>
      <c r="G23" s="985"/>
      <c r="H23" s="985"/>
      <c r="I23" s="985"/>
    </row>
    <row r="24" spans="1:36" ht="14.25">
      <c r="A24" s="3347" t="s">
        <v>866</v>
      </c>
      <c r="B24" s="2249" t="s">
        <v>859</v>
      </c>
      <c r="C24" s="2251">
        <f>IF(B30=0,0,D30)</f>
        <v>0</v>
      </c>
      <c r="D24" s="2265"/>
      <c r="E24" s="985"/>
      <c r="F24" s="985"/>
      <c r="G24" s="985"/>
      <c r="H24" s="985"/>
      <c r="I24" s="985"/>
    </row>
    <row r="25" spans="1:36" ht="14.25">
      <c r="A25" s="3348"/>
      <c r="B25" s="2254" t="s">
        <v>862</v>
      </c>
      <c r="C25" s="2266">
        <f>IF(B30=0,0,C30)</f>
        <v>0</v>
      </c>
      <c r="D25" s="2267"/>
      <c r="E25" s="985"/>
      <c r="F25" s="985"/>
      <c r="G25" s="985"/>
      <c r="H25" s="985"/>
      <c r="I25" s="985"/>
    </row>
    <row r="26" spans="1:36" ht="13.5" customHeight="1">
      <c r="A26" s="2268" t="s">
        <v>867</v>
      </c>
      <c r="B26" s="2269" t="s">
        <v>868</v>
      </c>
      <c r="C26" s="2269" t="s">
        <v>869</v>
      </c>
      <c r="D26" s="2270" t="s">
        <v>870</v>
      </c>
      <c r="E26" s="985"/>
      <c r="F26" s="985"/>
      <c r="G26" s="985"/>
      <c r="H26" s="985"/>
      <c r="I26" s="985"/>
    </row>
    <row r="27" spans="1:36" ht="14.25">
      <c r="A27" s="2268"/>
      <c r="B27" s="2269">
        <v>0</v>
      </c>
      <c r="C27" s="2269">
        <v>0</v>
      </c>
      <c r="D27" s="2270">
        <f>ROUND(C27*B27/10000,0)</f>
        <v>0</v>
      </c>
      <c r="E27" s="985"/>
      <c r="F27" s="985"/>
      <c r="G27" s="985"/>
      <c r="H27" s="985"/>
      <c r="I27" s="985"/>
    </row>
    <row r="28" spans="1:36" ht="14.25">
      <c r="A28" s="2268"/>
      <c r="B28" s="2269"/>
      <c r="C28" s="2269"/>
      <c r="D28" s="2270"/>
      <c r="E28" s="985"/>
      <c r="F28" s="985"/>
      <c r="G28" s="985"/>
      <c r="H28" s="985"/>
      <c r="I28" s="985"/>
    </row>
    <row r="29" spans="1:36" ht="14.25">
      <c r="A29" s="2268"/>
      <c r="B29" s="2269"/>
      <c r="C29" s="2269"/>
      <c r="D29" s="2270"/>
      <c r="E29" s="985"/>
      <c r="F29" s="985"/>
      <c r="G29" s="985"/>
      <c r="H29" s="985"/>
      <c r="I29" s="985"/>
    </row>
    <row r="30" spans="1:36" ht="14.25">
      <c r="A30" s="2269" t="s">
        <v>871</v>
      </c>
      <c r="B30" s="2269"/>
      <c r="C30" s="2269"/>
      <c r="D30" s="2269"/>
      <c r="E30" s="2271" t="s">
        <v>872</v>
      </c>
      <c r="F30" s="985"/>
      <c r="G30" s="985"/>
      <c r="H30" s="985"/>
      <c r="I30" s="985"/>
    </row>
    <row r="31" spans="1:36" s="2227" customFormat="1" ht="26.45" customHeight="1">
      <c r="A31" s="2272"/>
      <c r="B31" s="2273"/>
      <c r="C31" s="2273"/>
      <c r="D31" s="2273"/>
      <c r="E31" s="2273"/>
      <c r="F31" s="2273"/>
      <c r="G31" s="2273"/>
      <c r="H31" s="2273"/>
      <c r="I31" s="2274" t="s">
        <v>873</v>
      </c>
      <c r="J31" s="227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5">
      <c r="A32" s="2278" t="s">
        <v>874</v>
      </c>
      <c r="B32" s="2279"/>
      <c r="C32" s="2280">
        <f ca="1">IF(D32="总价",G19-C24,G20-C25)</f>
        <v>40761</v>
      </c>
      <c r="D32" s="2281" t="s">
        <v>875</v>
      </c>
      <c r="E32" s="985"/>
      <c r="F32" s="985"/>
      <c r="G32" s="985"/>
      <c r="H32" s="985"/>
      <c r="I32" s="985"/>
    </row>
    <row r="33" spans="1:15" ht="15">
      <c r="A33" s="2143" t="s">
        <v>876</v>
      </c>
      <c r="B33" s="1941"/>
      <c r="C33" s="2282" t="s">
        <v>877</v>
      </c>
      <c r="D33" s="2283" t="s">
        <v>294</v>
      </c>
      <c r="E33" s="2284" t="s">
        <v>878</v>
      </c>
      <c r="F33" s="2285" t="str">
        <f>IF(D32="楼面单价","取值（单价）","取值（总价）")</f>
        <v>取值（总价）</v>
      </c>
      <c r="G33" s="985"/>
      <c r="H33" s="985"/>
      <c r="I33" s="985"/>
    </row>
    <row r="34" spans="1:15" ht="15">
      <c r="A34" s="2286"/>
      <c r="B34" s="2287" t="s">
        <v>879</v>
      </c>
      <c r="C34" s="2288">
        <f ca="1">IF(C33="自定义",F34,C32-C35)</f>
        <v>40761</v>
      </c>
      <c r="D34" s="2289">
        <f ca="1">IF(C33="自定义",ROUND(C34/C32,3),IF(C33="收益比率",SUMIF(INDIRECT("'"&amp;D33&amp;"'"&amp;"!b:b"),"土地收益比率",INDIRECT("'"&amp;D33&amp;"'"&amp;"!c:c")),SUMIF(INDIRECT("'"&amp;D33&amp;"'"&amp;"!b:b"),"土地成本比率",INDIRECT("'"&amp;D33&amp;"'"&amp;"!c:c"))))</f>
        <v>0</v>
      </c>
      <c r="E34" s="2290" t="s">
        <v>880</v>
      </c>
      <c r="F34" s="2291"/>
      <c r="G34" s="985"/>
      <c r="H34" s="985"/>
      <c r="I34" s="985"/>
    </row>
    <row r="35" spans="1:15" ht="15">
      <c r="A35" s="2292"/>
      <c r="B35" s="2293" t="s">
        <v>881</v>
      </c>
      <c r="C35" s="2294">
        <f ca="1">IF(C33="自定义",F35,ROUND(C32*D35,0))</f>
        <v>0</v>
      </c>
      <c r="D35" s="2295">
        <f ca="1">IF(C33="自定义",ROUND(C35/C32,3),IF(C33="收益比率",SUMIF(INDIRECT("'"&amp;D33&amp;"'"&amp;"!b:b"),"建筑物收益比率",INDIRECT("'"&amp;D33&amp;"'"&amp;"!c:c")),SUMIF(INDIRECT("'"&amp;D33&amp;"'"&amp;"!b:b"),"建筑物成本比率",INDIRECT("'"&amp;D33&amp;"'"&amp;"!c:c"))))</f>
        <v>0</v>
      </c>
      <c r="E35" s="2296" t="s">
        <v>882</v>
      </c>
      <c r="F35" s="2297"/>
      <c r="G35" s="985"/>
      <c r="H35" s="985"/>
      <c r="I35" s="985"/>
    </row>
    <row r="36" spans="1:15" ht="15">
      <c r="A36" s="3349" t="s">
        <v>883</v>
      </c>
      <c r="B36" s="2298" t="s">
        <v>884</v>
      </c>
      <c r="C36" s="2299"/>
      <c r="D36" s="2300"/>
      <c r="E36" s="2301"/>
      <c r="F36" s="2302"/>
      <c r="G36" s="985"/>
      <c r="H36" s="985"/>
      <c r="I36" s="985"/>
    </row>
    <row r="37" spans="1:15" ht="15">
      <c r="A37" s="3350"/>
      <c r="B37" s="2303" t="s">
        <v>885</v>
      </c>
      <c r="C37" s="2304"/>
      <c r="D37" s="2305"/>
      <c r="E37" s="2305"/>
      <c r="F37" s="2302"/>
      <c r="G37" s="985"/>
      <c r="H37" s="985"/>
      <c r="I37" s="985"/>
    </row>
    <row r="38" spans="1:15" ht="15">
      <c r="A38" s="3351"/>
      <c r="B38" s="2306" t="s">
        <v>886</v>
      </c>
      <c r="C38" s="2307"/>
      <c r="D38" s="2308" t="s">
        <v>887</v>
      </c>
      <c r="E38" s="2305"/>
      <c r="F38" s="2302"/>
      <c r="G38" s="985"/>
      <c r="H38" s="985"/>
      <c r="I38" s="985"/>
    </row>
    <row r="39" spans="1:15" ht="15">
      <c r="A39" s="2253" t="s">
        <v>888</v>
      </c>
      <c r="B39" s="2309" t="s">
        <v>868</v>
      </c>
      <c r="C39" s="2310" t="s">
        <v>869</v>
      </c>
      <c r="D39" s="2310" t="s">
        <v>889</v>
      </c>
      <c r="E39" s="2311" t="s">
        <v>870</v>
      </c>
      <c r="F39" s="2302"/>
      <c r="G39" s="985"/>
      <c r="H39" s="985"/>
      <c r="I39" s="985"/>
    </row>
    <row r="40" spans="1:15" ht="14.25">
      <c r="A40" s="2312" t="s">
        <v>890</v>
      </c>
      <c r="B40" s="2313"/>
      <c r="C40" s="1007"/>
      <c r="D40" s="1007"/>
      <c r="E40" s="2314"/>
      <c r="F40" s="2302"/>
      <c r="G40" s="985"/>
      <c r="H40" s="985"/>
      <c r="I40" s="985"/>
    </row>
    <row r="41" spans="1:15" ht="14.25">
      <c r="A41" s="2312" t="s">
        <v>891</v>
      </c>
      <c r="B41" s="2313"/>
      <c r="C41" s="1007"/>
      <c r="D41" s="1007"/>
      <c r="E41" s="2314"/>
      <c r="F41" s="2302"/>
      <c r="G41" s="985"/>
      <c r="H41" s="985"/>
      <c r="I41" s="985"/>
    </row>
    <row r="42" spans="1:15" ht="14.25">
      <c r="A42" s="2315"/>
      <c r="B42" s="2316"/>
      <c r="C42" s="2317"/>
      <c r="D42" s="2317"/>
      <c r="E42" s="2297"/>
      <c r="F42" s="2302"/>
      <c r="G42" s="985"/>
      <c r="H42" s="985"/>
      <c r="I42" s="985"/>
    </row>
    <row r="43" spans="1:15" ht="12.75">
      <c r="A43" s="2318"/>
      <c r="B43" s="2318"/>
      <c r="C43" s="2318"/>
      <c r="D43" s="2318"/>
      <c r="E43" s="2318"/>
      <c r="F43" s="2319"/>
      <c r="G43" s="2319"/>
      <c r="H43" s="2319"/>
      <c r="I43" s="2320"/>
    </row>
    <row r="44" spans="1:15" ht="18.75">
      <c r="A44" s="2321" t="s">
        <v>892</v>
      </c>
      <c r="B44" s="2322"/>
      <c r="C44" s="2322"/>
      <c r="D44" s="2323"/>
      <c r="E44" s="2323"/>
      <c r="F44" s="2324"/>
      <c r="G44" s="2324"/>
      <c r="H44" s="2324"/>
      <c r="I44" s="2324"/>
      <c r="J44" s="857" t="s">
        <v>893</v>
      </c>
      <c r="K44" s="602"/>
      <c r="L44" s="602"/>
      <c r="M44" s="602"/>
      <c r="N44" s="602"/>
      <c r="O44" s="602"/>
    </row>
    <row r="45" spans="1:15" ht="14.25" customHeight="1">
      <c r="A45" s="3276" t="s">
        <v>894</v>
      </c>
      <c r="B45" s="3277"/>
      <c r="C45" s="3278"/>
      <c r="D45" s="1879">
        <f ca="1">ROUND(H101*F45,0)</f>
        <v>40761</v>
      </c>
      <c r="E45" s="2325" t="s">
        <v>895</v>
      </c>
      <c r="F45" s="2326">
        <v>1</v>
      </c>
      <c r="G45" s="1894" t="s">
        <v>896</v>
      </c>
      <c r="H45" s="985"/>
      <c r="I45" s="985"/>
      <c r="J45" s="3279" t="s">
        <v>897</v>
      </c>
      <c r="K45" s="3279"/>
      <c r="L45" s="3279"/>
      <c r="M45" s="3279"/>
      <c r="N45" s="3279"/>
      <c r="O45" s="3279"/>
    </row>
    <row r="46" spans="1:15" ht="14.25" customHeight="1">
      <c r="A46" s="3280" t="s">
        <v>898</v>
      </c>
      <c r="B46" s="3281"/>
      <c r="C46" s="3281"/>
      <c r="D46" s="3281"/>
      <c r="E46" s="3281"/>
      <c r="F46" s="3281"/>
      <c r="G46" s="3282"/>
      <c r="H46" s="2327"/>
      <c r="I46" s="986"/>
      <c r="J46" s="629">
        <v>1</v>
      </c>
      <c r="K46" s="3283" t="s">
        <v>899</v>
      </c>
      <c r="L46" s="3283"/>
      <c r="M46" s="3284"/>
      <c r="N46" s="3284"/>
      <c r="O46" s="3284"/>
    </row>
    <row r="47" spans="1:15" ht="12" customHeight="1">
      <c r="A47" s="2329" t="s">
        <v>900</v>
      </c>
      <c r="B47" s="2330"/>
      <c r="C47" s="2331"/>
      <c r="D47" s="1917" t="s">
        <v>901</v>
      </c>
      <c r="E47" s="1880" t="s">
        <v>902</v>
      </c>
      <c r="F47" s="2332" t="s">
        <v>903</v>
      </c>
      <c r="G47" s="2333" t="s">
        <v>904</v>
      </c>
      <c r="H47" s="2334"/>
      <c r="I47" s="986"/>
      <c r="J47" s="629">
        <v>2</v>
      </c>
      <c r="K47" s="3283" t="s">
        <v>905</v>
      </c>
      <c r="L47" s="3283"/>
      <c r="M47" s="3289">
        <f>'数据-取费表'!B2</f>
        <v>45980</v>
      </c>
      <c r="N47" s="3289"/>
      <c r="O47" s="3289"/>
    </row>
    <row r="48" spans="1:15" ht="25.5">
      <c r="A48" s="3290" t="s">
        <v>906</v>
      </c>
      <c r="B48" s="3291"/>
      <c r="C48" s="3291"/>
      <c r="D48" s="1925" t="b">
        <f>IF(H48="情况1",0,IF(H48="情况2",D52,IF(H48="情况3",D53,IF(H48="情况4",D54))))</f>
        <v>0</v>
      </c>
      <c r="E48" s="1939" t="str">
        <f>IF(H48="情况4","(销售额-原购置价)×税（费）率","销售额×税（费）率")</f>
        <v>销售额×税（费）率</v>
      </c>
      <c r="F48" s="2336">
        <f>IF(H48="情况1","免征",'数据-取费表'!B41)</f>
        <v>5.6000000000000001E-2</v>
      </c>
      <c r="G48" s="2337" t="s">
        <v>907</v>
      </c>
      <c r="H48" s="2338"/>
      <c r="I48" s="2327"/>
      <c r="J48" s="629">
        <v>3</v>
      </c>
      <c r="K48" s="3283" t="s">
        <v>908</v>
      </c>
      <c r="L48" s="3283"/>
      <c r="M48" s="3292">
        <f ca="1">H101</f>
        <v>40761</v>
      </c>
      <c r="N48" s="3292"/>
      <c r="O48" s="3292"/>
    </row>
    <row r="49" spans="1:35" ht="25.5" customHeight="1">
      <c r="A49" s="2335" t="s">
        <v>909</v>
      </c>
      <c r="B49" s="3293" t="s">
        <v>910</v>
      </c>
      <c r="C49" s="3293"/>
      <c r="D49" s="2339">
        <v>0</v>
      </c>
      <c r="E49" s="1945" t="s">
        <v>911</v>
      </c>
      <c r="F49" s="2340" t="s">
        <v>124</v>
      </c>
      <c r="G49" s="3299"/>
      <c r="H49" s="2341" t="s">
        <v>912</v>
      </c>
      <c r="I49" s="2342"/>
      <c r="J49" s="629">
        <v>4</v>
      </c>
      <c r="K49" s="3283" t="str">
        <f>IF(项目基本情况!E8="房地产抵押价值","房地产抵押价值","抵押担保权已注销时的房地产抵押价值")</f>
        <v>房地产抵押价值</v>
      </c>
      <c r="L49" s="3283"/>
      <c r="M49" s="3292">
        <f ca="1">IF(项目基本情况!E8="房地产抵押价值",H107,H109)</f>
        <v>40761</v>
      </c>
      <c r="N49" s="3292"/>
      <c r="O49" s="3292"/>
    </row>
    <row r="50" spans="1:35" ht="25.5" customHeight="1">
      <c r="A50" s="2343"/>
      <c r="B50" s="3293" t="s">
        <v>913</v>
      </c>
      <c r="C50" s="3293"/>
      <c r="D50" s="2344"/>
      <c r="E50" s="1961"/>
      <c r="F50" s="2340"/>
      <c r="G50" s="3300"/>
      <c r="H50" s="2345" t="s">
        <v>914</v>
      </c>
      <c r="I50" s="2342"/>
      <c r="J50" s="3279" t="s">
        <v>915</v>
      </c>
      <c r="K50" s="3279"/>
      <c r="L50" s="3279"/>
      <c r="M50" s="3279"/>
      <c r="N50" s="3279"/>
      <c r="O50" s="3279"/>
    </row>
    <row r="51" spans="1:35" ht="20.45" customHeight="1">
      <c r="A51" s="2346"/>
      <c r="B51" s="3293" t="s">
        <v>916</v>
      </c>
      <c r="C51" s="3293"/>
      <c r="D51" s="1917"/>
      <c r="E51" s="1950"/>
      <c r="F51" s="2340"/>
      <c r="G51" s="3301"/>
      <c r="H51" s="2345" t="s">
        <v>917</v>
      </c>
      <c r="I51" s="2342"/>
      <c r="J51" s="2328" t="s">
        <v>918</v>
      </c>
      <c r="K51" s="3283" t="s">
        <v>919</v>
      </c>
      <c r="L51" s="3283"/>
      <c r="M51" s="2328" t="s">
        <v>920</v>
      </c>
      <c r="N51" s="2328" t="s">
        <v>921</v>
      </c>
      <c r="O51" s="2328" t="s">
        <v>922</v>
      </c>
    </row>
    <row r="52" spans="1:35" ht="24" customHeight="1">
      <c r="A52" s="2347" t="s">
        <v>923</v>
      </c>
      <c r="B52" s="3293" t="s">
        <v>924</v>
      </c>
      <c r="C52" s="3293"/>
      <c r="D52" s="1917">
        <f ca="1">ROUND(D45*'数据-取费表'!B41/(1+'数据-取费表'!C42),0)</f>
        <v>2174</v>
      </c>
      <c r="E52" s="1939" t="s">
        <v>925</v>
      </c>
      <c r="F52" s="2348">
        <f>'数据-取费表'!B41</f>
        <v>5.6000000000000001E-2</v>
      </c>
      <c r="G52" s="2349"/>
      <c r="H52" s="1984"/>
      <c r="I52" s="2350"/>
      <c r="J52" s="629">
        <v>1</v>
      </c>
      <c r="K52" s="3295" t="s">
        <v>926</v>
      </c>
      <c r="L52" s="3295"/>
      <c r="M52" s="2351" t="b">
        <f>D48</f>
        <v>0</v>
      </c>
      <c r="N52" s="629" t="str">
        <f>E48</f>
        <v>销售额×税（费）率</v>
      </c>
      <c r="O52" s="2352">
        <f>F48</f>
        <v>5.6000000000000001E-2</v>
      </c>
    </row>
    <row r="53" spans="1:35" ht="12" customHeight="1">
      <c r="A53" s="2347" t="s">
        <v>927</v>
      </c>
      <c r="B53" s="3296" t="s">
        <v>928</v>
      </c>
      <c r="C53" s="3297"/>
      <c r="D53" s="1917">
        <f ca="1">ROUND(D45*'数据-取费表'!B41/(1+'数据-取费表'!C42),0)</f>
        <v>2174</v>
      </c>
      <c r="E53" s="1939" t="s">
        <v>925</v>
      </c>
      <c r="F53" s="2348">
        <f>'数据-取费表'!B41</f>
        <v>5.6000000000000001E-2</v>
      </c>
      <c r="G53" s="2349"/>
      <c r="H53" s="1984"/>
      <c r="I53" s="2350"/>
      <c r="J53" s="629">
        <v>2</v>
      </c>
      <c r="K53" s="3295" t="s">
        <v>929</v>
      </c>
      <c r="L53" s="3295"/>
      <c r="M53" s="2351">
        <f t="shared" ref="M53:O54" ca="1" si="0">D55</f>
        <v>20</v>
      </c>
      <c r="N53" s="629" t="str">
        <f t="shared" si="0"/>
        <v>销售额×税（费）率</v>
      </c>
      <c r="O53" s="2352" t="str">
        <f t="shared" si="0"/>
        <v>免征</v>
      </c>
    </row>
    <row r="54" spans="1:35" ht="12" customHeight="1">
      <c r="A54" s="2347" t="s">
        <v>930</v>
      </c>
      <c r="B54" s="3296" t="s">
        <v>931</v>
      </c>
      <c r="C54" s="3297"/>
      <c r="D54" s="1917">
        <f ca="1">C68</f>
        <v>2174</v>
      </c>
      <c r="E54" s="1950" t="s">
        <v>932</v>
      </c>
      <c r="F54" s="2348">
        <f>'数据-取费表'!B41</f>
        <v>5.6000000000000001E-2</v>
      </c>
      <c r="G54" s="2349"/>
      <c r="H54" s="2353"/>
      <c r="I54" s="2350"/>
      <c r="J54" s="629">
        <v>3</v>
      </c>
      <c r="K54" s="3295" t="s">
        <v>933</v>
      </c>
      <c r="L54" s="3295"/>
      <c r="M54" s="2351">
        <f t="shared" ca="1" si="0"/>
        <v>23071</v>
      </c>
      <c r="N54" s="629" t="str">
        <f t="shared" si="0"/>
        <v>增值额×税（费）率</v>
      </c>
      <c r="O54" s="2354" t="str">
        <f t="shared" si="0"/>
        <v>免征</v>
      </c>
    </row>
    <row r="55" spans="1:35" ht="24" customHeight="1">
      <c r="A55" s="3298" t="s">
        <v>934</v>
      </c>
      <c r="B55" s="3291"/>
      <c r="C55" s="3291"/>
      <c r="D55" s="1925">
        <f ca="1">IF(H55="个人住宅",0,ROUND(D45*I55,0))</f>
        <v>20</v>
      </c>
      <c r="E55" s="1939" t="s">
        <v>935</v>
      </c>
      <c r="F55" s="2348" t="str">
        <f>IF(H55="正常",I55,"免征")</f>
        <v>免征</v>
      </c>
      <c r="G55" s="2349"/>
      <c r="H55" s="2338"/>
      <c r="I55" s="2355">
        <f>'数据-取费表'!B49</f>
        <v>5.0000000000000001E-4</v>
      </c>
      <c r="J55" s="629">
        <f>IF(H59="非个人房产","",4)</f>
        <v>4</v>
      </c>
      <c r="K55" s="3295" t="str">
        <f>IF(H59="非个人房产","——","个人所得税")</f>
        <v>个人所得税</v>
      </c>
      <c r="L55" s="3295"/>
      <c r="M55" s="2356">
        <f ca="1">D59</f>
        <v>388</v>
      </c>
      <c r="N55" s="605" t="str">
        <f>E59</f>
        <v>差额计税</v>
      </c>
      <c r="O55" s="2357">
        <f>F59</f>
        <v>0.01</v>
      </c>
    </row>
    <row r="56" spans="1:35" ht="24.75">
      <c r="A56" s="3298" t="s">
        <v>936</v>
      </c>
      <c r="B56" s="3291"/>
      <c r="C56" s="3291"/>
      <c r="D56" s="1925">
        <f ca="1">IF(H56="个人住宅",D57,D58)</f>
        <v>23071</v>
      </c>
      <c r="E56" s="1939" t="s">
        <v>937</v>
      </c>
      <c r="F56" s="2348" t="str">
        <f>IF(H56="正常",F58,"免征")</f>
        <v>免征</v>
      </c>
      <c r="G56" s="2358" t="s">
        <v>938</v>
      </c>
      <c r="H56" s="2359"/>
      <c r="I56" s="2360"/>
      <c r="J56" s="629" t="str">
        <f>IF(项目基本情况!K6="上海银行",IF(J55="",4,J55+1),"")</f>
        <v/>
      </c>
      <c r="K56" s="3302" t="str">
        <f>IF(项目基本情况!K6="上海银行","其他处置费用","")</f>
        <v/>
      </c>
      <c r="L56" s="3303"/>
      <c r="M56" s="2351" t="str">
        <f>IF(项目基本情况!K6="上海银行",M69,"")</f>
        <v/>
      </c>
      <c r="N56" s="3302" t="str">
        <f>IF(项目基本情况!K6="上海银行","包含处置中涉及的律师、诉讼、拍卖、评估等费用","")</f>
        <v/>
      </c>
      <c r="O56" s="3304"/>
    </row>
    <row r="57" spans="1:35" ht="12.75">
      <c r="A57" s="2347" t="s">
        <v>909</v>
      </c>
      <c r="B57" s="3296" t="s">
        <v>939</v>
      </c>
      <c r="C57" s="3297"/>
      <c r="D57" s="2339">
        <v>0</v>
      </c>
      <c r="E57" s="1945" t="s">
        <v>911</v>
      </c>
      <c r="F57" s="1880"/>
      <c r="G57" s="2349"/>
      <c r="H57" s="2361"/>
      <c r="I57" s="2360"/>
      <c r="J57" s="3295">
        <f>IF(AND(J55="",J56=""),4,IF(项目基本情况!K6="上海银行",结果表!J56+1,结果表!J55+1))</f>
        <v>5</v>
      </c>
      <c r="K57" s="3295" t="s">
        <v>940</v>
      </c>
      <c r="L57" s="2362" t="s">
        <v>941</v>
      </c>
      <c r="M57" s="2363"/>
      <c r="N57" s="2364">
        <f ca="1">SUMIF(M52:M56,"&lt;9e307")</f>
        <v>23479</v>
      </c>
      <c r="O57" s="2365"/>
      <c r="P57" s="2366">
        <f ca="1">N57/M49</f>
        <v>0.57601629008120503</v>
      </c>
    </row>
    <row r="58" spans="1:35" ht="24.75">
      <c r="A58" s="2347" t="s">
        <v>923</v>
      </c>
      <c r="B58" s="3296" t="s">
        <v>942</v>
      </c>
      <c r="C58" s="3293"/>
      <c r="D58" s="1925">
        <f ca="1">IF(H58="转让取得",C81,C97)</f>
        <v>23071</v>
      </c>
      <c r="E58" s="1939" t="s">
        <v>937</v>
      </c>
      <c r="F58" s="1880" t="s">
        <v>124</v>
      </c>
      <c r="G58" s="2349"/>
      <c r="H58" s="2359"/>
      <c r="I58" s="2360"/>
      <c r="J58" s="3295"/>
      <c r="K58" s="3295"/>
      <c r="L58" s="2362" t="s">
        <v>943</v>
      </c>
      <c r="M58" s="2367"/>
      <c r="N58" s="2368" t="str">
        <f ca="1">NUMBERSTRING(INT(N57*10000),2)&amp;"元整"</f>
        <v>贰亿叁仟肆佰柒拾玖万元整</v>
      </c>
      <c r="O58" s="2369"/>
    </row>
    <row r="59" spans="1:35" ht="24">
      <c r="A59" s="3305" t="s">
        <v>944</v>
      </c>
      <c r="B59" s="3306"/>
      <c r="C59" s="3306"/>
      <c r="D59" s="2370">
        <f ca="1">IF(H59="非个人房产","——",IF(H59="个人住宅（满五唯一有凭证）",0,IF(H59="个人其他（无凭证）",ROUND(D45/(1+'数据-取费表'!C42)*F59,0),ROUND(C67*F59,0))))</f>
        <v>388</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938</v>
      </c>
      <c r="H59" s="2374"/>
      <c r="I59" s="2375" t="s">
        <v>945</v>
      </c>
      <c r="J59" s="3310">
        <f>J57+1</f>
        <v>6</v>
      </c>
      <c r="K59" s="3295" t="s">
        <v>946</v>
      </c>
      <c r="L59" s="629" t="s">
        <v>941</v>
      </c>
      <c r="M59" s="2376"/>
      <c r="N59" s="2377">
        <f ca="1">M49-N57</f>
        <v>17282</v>
      </c>
      <c r="O59" s="2378"/>
    </row>
    <row r="60" spans="1:35" ht="12" customHeight="1">
      <c r="A60" s="2379"/>
      <c r="B60" s="1901"/>
      <c r="C60" s="1901"/>
      <c r="D60" s="1901"/>
      <c r="E60" s="2380"/>
      <c r="F60" s="2360"/>
      <c r="G60" s="2360"/>
      <c r="H60" s="986"/>
      <c r="I60" s="985"/>
      <c r="J60" s="3311"/>
      <c r="K60" s="3295"/>
      <c r="L60" s="2362" t="s">
        <v>943</v>
      </c>
      <c r="M60" s="2367"/>
      <c r="N60" s="2368" t="str">
        <f ca="1">NUMBERSTRING(INT(N59*10000),2)&amp;"元整"</f>
        <v>壹亿柒仟贰佰捌拾贰万元整</v>
      </c>
      <c r="O60" s="2369"/>
    </row>
    <row r="61" spans="1:35" ht="12.75">
      <c r="A61" s="3307" t="s">
        <v>947</v>
      </c>
      <c r="B61" s="3307"/>
      <c r="C61" s="3307"/>
      <c r="D61" s="3307"/>
      <c r="E61" s="3307"/>
      <c r="F61" s="2360"/>
      <c r="G61" s="2360"/>
      <c r="H61" s="986"/>
      <c r="I61" s="985"/>
      <c r="J61" s="629">
        <f>J59+1</f>
        <v>7</v>
      </c>
      <c r="K61" s="3295" t="s">
        <v>948</v>
      </c>
      <c r="L61" s="3295"/>
      <c r="M61" s="2381"/>
      <c r="N61" s="2382">
        <f ca="1">ROUND(N59*10000/'数据-汇总表'!E3,0)</f>
        <v>3416</v>
      </c>
      <c r="O61" s="2383"/>
    </row>
    <row r="62" spans="1:35" ht="12.75">
      <c r="A62" s="3308" t="s">
        <v>949</v>
      </c>
      <c r="B62" s="3309"/>
      <c r="C62" s="555"/>
      <c r="D62" s="555" t="s">
        <v>950</v>
      </c>
      <c r="E62" s="2384" t="s">
        <v>904</v>
      </c>
      <c r="F62" s="2360"/>
      <c r="G62" s="2360"/>
      <c r="H62" s="986"/>
      <c r="I62" s="985"/>
    </row>
    <row r="63" spans="1:35" ht="12.75">
      <c r="A63" s="2385" t="s">
        <v>951</v>
      </c>
      <c r="B63" s="648" t="s">
        <v>952</v>
      </c>
      <c r="C63" s="2386">
        <f ca="1">ROUND((C64+C65)/(1+'数据-取费表'!C42),0)</f>
        <v>38820</v>
      </c>
      <c r="D63" s="648"/>
      <c r="E63" s="2387"/>
      <c r="F63" s="2360"/>
      <c r="G63" s="2360"/>
      <c r="H63" s="986"/>
      <c r="I63" s="985"/>
      <c r="J63" s="3294" t="s">
        <v>953</v>
      </c>
      <c r="K63" s="2388" t="s">
        <v>954</v>
      </c>
      <c r="L63" s="2388">
        <f ca="1">IF(M49&gt;10000,M49*0.5%,IF(AND(M49&gt;1000,M49&lt;=10000),M49*1%,IF(AND(M49&gt;100,M49&lt;=1000),M49*3%,IF(AND(M49&gt;10,M49&lt;=100),M49*5%,M49*8%))))</f>
        <v>203.80500000000001</v>
      </c>
      <c r="M63" s="1880">
        <f ca="1">ROUND(L63,1)</f>
        <v>203.8</v>
      </c>
      <c r="N63" s="2389"/>
      <c r="Z63" s="2228"/>
      <c r="AI63" s="2229"/>
    </row>
    <row r="64" spans="1:35" ht="14.25" customHeight="1">
      <c r="A64" s="2390" t="s">
        <v>955</v>
      </c>
      <c r="B64" s="524" t="s">
        <v>956</v>
      </c>
      <c r="C64" s="2391">
        <f ca="1">D45</f>
        <v>40761</v>
      </c>
      <c r="D64" s="524" t="s">
        <v>124</v>
      </c>
      <c r="E64" s="2392"/>
      <c r="F64" s="2360"/>
      <c r="G64" s="2360"/>
      <c r="H64" s="986"/>
      <c r="I64" s="985"/>
      <c r="J64" s="3294"/>
      <c r="K64" s="2388" t="s">
        <v>957</v>
      </c>
      <c r="L64" s="2388">
        <f ca="1">IF(M49&gt;2000,M49*0.5%,IF(AND(M49&gt;1000,M49&lt;=2000),M49*0.6%,IF(AND(M49&gt;500,M49&lt;=1000),M49*0.7%,IF(AND(M49&gt;200,M49&lt;=500),M49*0.8%,IF(AND(M49&gt;100,M49&lt;=200),M49*0.9%,IF(AND(M49&gt;50,M49&lt;=100),M49*1%,IF(AND(M49&gt;20,M49&lt;=50),M49*1.5%,IF(AND(M49&gt;10,M49&lt;=20),M49*2%,IF(AND(M49&gt;1,M49&lt;=10),M49*2.5%)))))))))</f>
        <v>203.80500000000001</v>
      </c>
      <c r="M64" s="1880">
        <f t="shared" ref="M64:M65" ca="1" si="1">ROUND(L64,1)</f>
        <v>203.8</v>
      </c>
      <c r="N64" s="1984" t="s">
        <v>958</v>
      </c>
      <c r="Z64" s="2228"/>
      <c r="AI64" s="2229"/>
    </row>
    <row r="65" spans="1:35" ht="14.25" customHeight="1">
      <c r="A65" s="2390" t="s">
        <v>959</v>
      </c>
      <c r="B65" s="524" t="s">
        <v>960</v>
      </c>
      <c r="C65" s="2393"/>
      <c r="D65" s="524"/>
      <c r="E65" s="2392"/>
      <c r="F65" s="2360"/>
      <c r="G65" s="2360"/>
      <c r="H65" s="986"/>
      <c r="I65" s="985"/>
      <c r="J65" s="3294"/>
      <c r="K65" s="2388" t="s">
        <v>961</v>
      </c>
      <c r="L65" s="2388">
        <f ca="1">IF(M49&gt;1000,M49*0.1%,IF(AND(M49&gt;500,M49&lt;=1000),M49*0.5%,IF(AND(M49&gt;50,M49&lt;=500),M49*1%,IF(AND(M49&gt;1,M49&lt;=50),M49*1.5%))))</f>
        <v>40.761000000000003</v>
      </c>
      <c r="M65" s="1880">
        <f t="shared" ca="1" si="1"/>
        <v>40.799999999999997</v>
      </c>
      <c r="N65" s="1984" t="s">
        <v>958</v>
      </c>
      <c r="Z65" s="2228"/>
      <c r="AI65" s="2229"/>
    </row>
    <row r="66" spans="1:35" ht="14.25" customHeight="1">
      <c r="A66" s="2385" t="s">
        <v>962</v>
      </c>
      <c r="B66" s="2394" t="s">
        <v>963</v>
      </c>
      <c r="C66" s="2395"/>
      <c r="D66" s="2394" t="s">
        <v>124</v>
      </c>
      <c r="E66" s="2396" t="s">
        <v>964</v>
      </c>
      <c r="F66" s="2360"/>
      <c r="G66" s="2360"/>
      <c r="H66" s="986"/>
      <c r="I66" s="985"/>
      <c r="J66" s="3294"/>
      <c r="K66" s="2388" t="s">
        <v>965</v>
      </c>
      <c r="L66" s="2388">
        <f ca="1">M49*0.5%</f>
        <v>203.80500000000001</v>
      </c>
      <c r="M66" s="1880">
        <f ca="1">IF(L66&gt;0.5,0.5,ROUND(L66,0))</f>
        <v>0.5</v>
      </c>
      <c r="N66" s="1984" t="s">
        <v>966</v>
      </c>
      <c r="Z66" s="2228"/>
      <c r="AI66" s="2229"/>
    </row>
    <row r="67" spans="1:35" ht="14.25" customHeight="1">
      <c r="A67" s="2385" t="s">
        <v>967</v>
      </c>
      <c r="B67" s="2394" t="s">
        <v>968</v>
      </c>
      <c r="C67" s="2397">
        <f ca="1">C63-C66</f>
        <v>38820</v>
      </c>
      <c r="D67" s="524" t="s">
        <v>124</v>
      </c>
      <c r="E67" s="2392"/>
      <c r="F67" s="2360"/>
      <c r="G67" s="2360"/>
      <c r="H67" s="986"/>
      <c r="I67" s="985"/>
      <c r="J67" s="3294"/>
      <c r="K67" s="2388" t="s">
        <v>969</v>
      </c>
      <c r="L67" s="2388">
        <f ca="1">IF(M49&gt;=10000,(8.25+(M49-10000)*0.01%),IF(AND(M49&gt;=8000,M49&lt;10000),(7.85+(M49-8000)*0.02%),IF(AND(M49&gt;=5000,M49&lt;8000),(6.65+(M49-5000)*0.04%),IF(AND(M49&gt;=2000,M49&lt;5000),(4.25+(PM49-2000)*0.08%),IF(AND(M49&gt;=1000,M49&lt;2000),(2.75+(M49-1000)*0.15%),IF(AND(M49&gt;=100,M49&lt;1000),(0.5+(M49-100)*0.25%),IF(AND(M49&gt;0,M49&lt;100),M49*0.5%)))))))</f>
        <v>11.3261</v>
      </c>
      <c r="M67" s="1880">
        <f ca="1">ROUND(L67*0.9,1)</f>
        <v>10.199999999999999</v>
      </c>
      <c r="N67" s="2389"/>
      <c r="Z67" s="2228"/>
      <c r="AI67" s="2229"/>
    </row>
    <row r="68" spans="1:35" ht="14.25" customHeight="1">
      <c r="A68" s="2398" t="s">
        <v>970</v>
      </c>
      <c r="B68" s="2399" t="s">
        <v>971</v>
      </c>
      <c r="C68" s="2400">
        <f ca="1">IF(C67&lt;=0,0,ROUND(C67*D68,0))</f>
        <v>2174</v>
      </c>
      <c r="D68" s="749">
        <f>'数据-取费表'!B41</f>
        <v>5.6000000000000001E-2</v>
      </c>
      <c r="E68" s="2401"/>
      <c r="F68" s="2360"/>
      <c r="G68" s="2360"/>
      <c r="H68" s="986"/>
      <c r="I68" s="985"/>
      <c r="J68" s="3294"/>
      <c r="K68" s="2388" t="s">
        <v>972</v>
      </c>
      <c r="L68" s="2388">
        <f ca="1">IF(M49&gt;10000,M49*0.5%,IF(AND(M49&gt;5000,M49&lt;=10000),M49*1%,IF(AND(M49&gt;1000,M49&lt;=5000),M49*2%,IF(AND(M49&gt;200,M49&lt;=1000),M49*3%,M49*5%))))</f>
        <v>203.80500000000001</v>
      </c>
      <c r="M68" s="1880">
        <f ca="1">ROUND(L68,1)</f>
        <v>203.8</v>
      </c>
      <c r="N68" s="2389"/>
      <c r="Z68" s="2228"/>
      <c r="AI68" s="2229"/>
    </row>
    <row r="69" spans="1:35" ht="16.5" customHeight="1">
      <c r="A69" s="2402"/>
      <c r="B69" s="2403"/>
      <c r="C69" s="2404"/>
      <c r="D69" s="815"/>
      <c r="E69" s="2405"/>
      <c r="F69" s="2380"/>
      <c r="G69" s="2380"/>
      <c r="H69" s="2318"/>
      <c r="I69" s="1901"/>
      <c r="J69" s="3294"/>
      <c r="K69" s="2388" t="s">
        <v>973</v>
      </c>
      <c r="L69" s="2388"/>
      <c r="M69" s="1880">
        <f ca="1">ROUND(SUM(M63:M68),0)</f>
        <v>663</v>
      </c>
      <c r="N69" s="2406">
        <f ca="1">M69/M49</f>
        <v>1.626554795024656E-2</v>
      </c>
      <c r="Z69" s="2228"/>
      <c r="AI69" s="2229"/>
    </row>
    <row r="70" spans="1:35" s="883" customFormat="1" ht="14.25">
      <c r="A70" s="3332" t="s">
        <v>974</v>
      </c>
      <c r="B70" s="3333"/>
      <c r="C70" s="3333"/>
      <c r="D70" s="3333"/>
      <c r="E70" s="3333"/>
      <c r="F70" s="3333"/>
      <c r="G70" s="3333"/>
      <c r="H70" s="3333"/>
      <c r="I70" s="2407"/>
      <c r="J70" s="1512"/>
      <c r="K70" s="1512"/>
      <c r="L70" s="1512"/>
      <c r="M70" s="1512"/>
      <c r="N70" s="2408"/>
      <c r="O70" s="2408"/>
      <c r="P70" s="2408"/>
      <c r="Q70" s="2408"/>
      <c r="R70" s="2408"/>
      <c r="S70" s="2408"/>
      <c r="T70" s="2408"/>
      <c r="U70" s="2408"/>
      <c r="V70" s="2408"/>
      <c r="W70" s="2408"/>
      <c r="X70" s="2408"/>
      <c r="Y70" s="2408"/>
      <c r="Z70" s="2408"/>
      <c r="AA70" s="2409"/>
      <c r="AB70" s="2409"/>
      <c r="AC70" s="2409"/>
      <c r="AD70" s="2409"/>
      <c r="AE70" s="2409"/>
      <c r="AF70" s="2409"/>
      <c r="AG70" s="2409"/>
      <c r="AH70" s="2409"/>
      <c r="AI70" s="2409"/>
    </row>
    <row r="71" spans="1:35" s="883" customFormat="1" ht="14.25">
      <c r="A71" s="3308" t="s">
        <v>949</v>
      </c>
      <c r="B71" s="3309"/>
      <c r="C71" s="555"/>
      <c r="D71" s="555" t="s">
        <v>950</v>
      </c>
      <c r="E71" s="2410" t="s">
        <v>904</v>
      </c>
      <c r="F71" s="2411"/>
      <c r="G71" s="2411"/>
      <c r="H71" s="2412"/>
      <c r="I71" s="2413"/>
      <c r="J71" s="1512"/>
      <c r="K71" s="1512"/>
      <c r="L71" s="1512"/>
      <c r="M71" s="1512"/>
      <c r="N71" s="2408"/>
      <c r="O71" s="2408"/>
      <c r="P71" s="2408"/>
      <c r="Q71" s="2408"/>
      <c r="R71" s="2408"/>
      <c r="S71" s="2408"/>
      <c r="T71" s="2408"/>
      <c r="U71" s="2408"/>
      <c r="V71" s="2408"/>
      <c r="W71" s="2408"/>
      <c r="X71" s="2408"/>
      <c r="Y71" s="2408"/>
      <c r="Z71" s="2408"/>
      <c r="AA71" s="2409"/>
      <c r="AB71" s="2409"/>
      <c r="AC71" s="2409"/>
      <c r="AD71" s="2409"/>
      <c r="AE71" s="2409"/>
      <c r="AF71" s="2409"/>
      <c r="AG71" s="2409"/>
      <c r="AH71" s="2409"/>
      <c r="AI71" s="2409"/>
    </row>
    <row r="72" spans="1:35" s="883" customFormat="1" ht="14.25">
      <c r="A72" s="2385" t="s">
        <v>951</v>
      </c>
      <c r="B72" s="2394" t="s">
        <v>975</v>
      </c>
      <c r="C72" s="2397">
        <f ca="1">ROUND(D45/(1+'数据-取费表'!C42),0)</f>
        <v>38820</v>
      </c>
      <c r="D72" s="524" t="s">
        <v>124</v>
      </c>
      <c r="E72" s="1922"/>
      <c r="F72" s="1923"/>
      <c r="G72" s="1923"/>
      <c r="H72" s="2414"/>
      <c r="I72" s="2413"/>
      <c r="J72" s="1512"/>
      <c r="K72" s="1512"/>
      <c r="L72" s="1512"/>
      <c r="M72" s="1512"/>
      <c r="N72" s="2408"/>
      <c r="O72" s="2408"/>
      <c r="P72" s="2408"/>
      <c r="Q72" s="2408"/>
      <c r="R72" s="2408"/>
      <c r="S72" s="2408"/>
      <c r="T72" s="2408"/>
      <c r="U72" s="2408"/>
      <c r="V72" s="2408"/>
      <c r="W72" s="2408"/>
      <c r="X72" s="2408"/>
      <c r="Y72" s="2408"/>
      <c r="Z72" s="2408"/>
      <c r="AA72" s="2409"/>
      <c r="AB72" s="2409"/>
      <c r="AC72" s="2409"/>
      <c r="AD72" s="2409"/>
      <c r="AE72" s="2409"/>
      <c r="AF72" s="2409"/>
      <c r="AG72" s="2409"/>
      <c r="AH72" s="2409"/>
      <c r="AI72" s="2409"/>
    </row>
    <row r="73" spans="1:35" s="883" customFormat="1" ht="14.25">
      <c r="A73" s="2385" t="s">
        <v>962</v>
      </c>
      <c r="B73" s="2332" t="s">
        <v>976</v>
      </c>
      <c r="C73" s="2397">
        <f ca="1">C74+C78</f>
        <v>233</v>
      </c>
      <c r="D73" s="524" t="s">
        <v>124</v>
      </c>
      <c r="E73" s="1922"/>
      <c r="F73" s="1923"/>
      <c r="G73" s="1923"/>
      <c r="H73" s="2414"/>
      <c r="I73" s="2413"/>
      <c r="J73" s="2408"/>
      <c r="K73" s="2408"/>
      <c r="L73" s="2408"/>
      <c r="M73" s="2408"/>
      <c r="N73" s="2408"/>
      <c r="O73" s="2408"/>
      <c r="P73" s="2408"/>
      <c r="Q73" s="2408"/>
      <c r="R73" s="2408"/>
      <c r="S73" s="2408"/>
      <c r="T73" s="2408"/>
      <c r="U73" s="2408"/>
      <c r="V73" s="2408"/>
      <c r="W73" s="2408"/>
      <c r="X73" s="2408"/>
      <c r="Y73" s="2408"/>
      <c r="Z73" s="2408"/>
      <c r="AA73" s="2409"/>
      <c r="AB73" s="2409"/>
      <c r="AC73" s="2409"/>
      <c r="AD73" s="2409"/>
      <c r="AE73" s="2409"/>
      <c r="AF73" s="2409"/>
      <c r="AG73" s="2409"/>
      <c r="AH73" s="2409"/>
      <c r="AI73" s="2409"/>
    </row>
    <row r="74" spans="1:35" s="883" customFormat="1" ht="24">
      <c r="A74" s="2390" t="s">
        <v>955</v>
      </c>
      <c r="B74" s="524" t="s">
        <v>977</v>
      </c>
      <c r="C74" s="524">
        <f>ROUND(IF(G77="2016年5月1日后购买",C75/(1+'数据-取费表'!C42)+C76+C77,C75+C76+C77),0)</f>
        <v>0</v>
      </c>
      <c r="D74" s="524" t="s">
        <v>124</v>
      </c>
      <c r="E74" s="1922"/>
      <c r="F74" s="1923"/>
      <c r="G74" s="1923"/>
      <c r="H74" s="2414"/>
      <c r="I74" s="2413"/>
      <c r="J74" s="2408"/>
      <c r="K74" s="2408"/>
      <c r="L74" s="2408"/>
      <c r="M74" s="2408"/>
      <c r="N74" s="2408"/>
      <c r="O74" s="2408"/>
      <c r="P74" s="2408"/>
      <c r="Q74" s="2408"/>
      <c r="R74" s="2408"/>
      <c r="S74" s="2408"/>
      <c r="T74" s="2408"/>
      <c r="U74" s="2408"/>
      <c r="V74" s="2408"/>
      <c r="W74" s="2408"/>
      <c r="X74" s="2408"/>
      <c r="Y74" s="2408"/>
      <c r="Z74" s="2408"/>
      <c r="AA74" s="2409"/>
      <c r="AB74" s="2409"/>
      <c r="AC74" s="2409"/>
      <c r="AD74" s="2409"/>
      <c r="AE74" s="2409"/>
      <c r="AF74" s="2409"/>
      <c r="AG74" s="2409"/>
      <c r="AH74" s="2409"/>
      <c r="AI74" s="2409"/>
    </row>
    <row r="75" spans="1:35" s="883" customFormat="1" ht="14.25">
      <c r="A75" s="2390" t="s">
        <v>978</v>
      </c>
      <c r="B75" s="524" t="s">
        <v>979</v>
      </c>
      <c r="C75" s="632"/>
      <c r="D75" s="524" t="s">
        <v>124</v>
      </c>
      <c r="E75" s="2415" t="s">
        <v>980</v>
      </c>
      <c r="F75" s="2416"/>
      <c r="G75" s="2415" t="s">
        <v>981</v>
      </c>
      <c r="H75" s="2417"/>
      <c r="I75" s="799"/>
      <c r="J75" s="2408"/>
      <c r="K75" s="2408"/>
      <c r="L75" s="2408"/>
      <c r="M75" s="2408"/>
      <c r="N75" s="2408"/>
      <c r="O75" s="2408"/>
      <c r="P75" s="2408"/>
      <c r="Q75" s="2408"/>
      <c r="R75" s="2408"/>
      <c r="S75" s="2408"/>
      <c r="T75" s="2408"/>
      <c r="U75" s="2408"/>
      <c r="V75" s="2408"/>
      <c r="W75" s="2408"/>
      <c r="X75" s="2408"/>
      <c r="Y75" s="2408"/>
      <c r="Z75" s="2408"/>
      <c r="AA75" s="2409"/>
      <c r="AB75" s="2409"/>
      <c r="AC75" s="2409"/>
      <c r="AD75" s="2409"/>
      <c r="AE75" s="2409"/>
      <c r="AF75" s="2409"/>
      <c r="AG75" s="2409"/>
      <c r="AH75" s="2409"/>
      <c r="AI75" s="2409"/>
    </row>
    <row r="76" spans="1:35" s="883" customFormat="1" ht="24.75" customHeight="1">
      <c r="A76" s="2390" t="s">
        <v>982</v>
      </c>
      <c r="B76" s="2418" t="s">
        <v>983</v>
      </c>
      <c r="C76" s="524">
        <f>IF(F75="购房发票",ROUND(C75*H75*D76,0),0)</f>
        <v>0</v>
      </c>
      <c r="D76" s="2419">
        <v>0.05</v>
      </c>
      <c r="E76" s="3296" t="s">
        <v>984</v>
      </c>
      <c r="F76" s="3293"/>
      <c r="G76" s="3293"/>
      <c r="H76" s="3334"/>
      <c r="I76" s="2413"/>
      <c r="J76" s="2408"/>
      <c r="K76" s="2408"/>
      <c r="L76" s="2408"/>
      <c r="M76" s="2408"/>
      <c r="N76" s="2408"/>
      <c r="O76" s="2408"/>
      <c r="P76" s="2408"/>
      <c r="Q76" s="2408"/>
      <c r="R76" s="2408"/>
      <c r="S76" s="2408"/>
      <c r="T76" s="2408"/>
      <c r="U76" s="2408"/>
      <c r="V76" s="2408"/>
      <c r="W76" s="2408"/>
      <c r="X76" s="2408"/>
      <c r="Y76" s="2408"/>
      <c r="Z76" s="2408"/>
      <c r="AA76" s="2409"/>
      <c r="AB76" s="2409"/>
      <c r="AC76" s="2409"/>
      <c r="AD76" s="2409"/>
      <c r="AE76" s="2409"/>
      <c r="AF76" s="2409"/>
      <c r="AG76" s="2409"/>
      <c r="AH76" s="2409"/>
      <c r="AI76" s="2409"/>
    </row>
    <row r="77" spans="1:35" s="883" customFormat="1" ht="24.75" customHeight="1">
      <c r="A77" s="2390" t="s">
        <v>985</v>
      </c>
      <c r="B77" s="524" t="s">
        <v>986</v>
      </c>
      <c r="C77" s="524">
        <f>ROUND(IF(G77="个人住宅",0,IF(G77="2016年5月1日前购买",C75*D77,C75*D77/(1+'数据-取费表'!C42))),0)</f>
        <v>0</v>
      </c>
      <c r="D77" s="2421">
        <f>'数据-取费表'!B48+'数据-取费表'!B49</f>
        <v>3.0499999999999999E-2</v>
      </c>
      <c r="E77" s="1925" t="s">
        <v>987</v>
      </c>
      <c r="F77" s="2422"/>
      <c r="G77" s="2423"/>
      <c r="H77" s="2420" t="str">
        <f>IF(G77="个人买卖住房","免征印花税"," ")</f>
        <v/>
      </c>
      <c r="I77" s="2413"/>
      <c r="J77" s="2408"/>
      <c r="K77" s="2408"/>
      <c r="L77" s="2408"/>
      <c r="M77" s="2408"/>
      <c r="N77" s="2408"/>
      <c r="O77" s="2408"/>
      <c r="P77" s="2408"/>
      <c r="Q77" s="2408"/>
      <c r="R77" s="2408"/>
      <c r="S77" s="2408"/>
      <c r="T77" s="2408"/>
      <c r="U77" s="2408"/>
      <c r="V77" s="2408"/>
      <c r="W77" s="2408"/>
      <c r="X77" s="2408"/>
      <c r="Y77" s="2408"/>
      <c r="Z77" s="2408"/>
      <c r="AA77" s="2409"/>
      <c r="AB77" s="2409"/>
      <c r="AC77" s="2409"/>
      <c r="AD77" s="2409"/>
      <c r="AE77" s="2409"/>
      <c r="AF77" s="2409"/>
      <c r="AG77" s="2409"/>
      <c r="AH77" s="2409"/>
      <c r="AI77" s="2409"/>
    </row>
    <row r="78" spans="1:35" s="883" customFormat="1" ht="24.75" customHeight="1">
      <c r="A78" s="2390" t="s">
        <v>959</v>
      </c>
      <c r="B78" s="524" t="s">
        <v>988</v>
      </c>
      <c r="C78" s="2424">
        <f ca="1">ROUND(D45*D78/(1+'数据-取费表'!C42),0)</f>
        <v>233</v>
      </c>
      <c r="D78" s="2425">
        <f>'数据-取费表'!B43</f>
        <v>6.0000000000000001E-3</v>
      </c>
      <c r="E78" s="3335" t="s">
        <v>989</v>
      </c>
      <c r="F78" s="3336"/>
      <c r="G78" s="3336"/>
      <c r="H78" s="3337"/>
      <c r="I78" s="2429"/>
      <c r="J78" s="2408"/>
      <c r="K78" s="2408"/>
      <c r="L78" s="2408"/>
      <c r="M78" s="2408"/>
      <c r="N78" s="2408"/>
      <c r="O78" s="2408"/>
      <c r="P78" s="2408"/>
      <c r="Q78" s="2408"/>
      <c r="R78" s="2408"/>
      <c r="S78" s="2408"/>
      <c r="T78" s="2408"/>
      <c r="U78" s="2408"/>
      <c r="V78" s="2408"/>
      <c r="W78" s="2408"/>
      <c r="X78" s="2408"/>
      <c r="Y78" s="2408"/>
      <c r="Z78" s="2408"/>
      <c r="AA78" s="2409"/>
      <c r="AB78" s="2409"/>
      <c r="AC78" s="2409"/>
      <c r="AD78" s="2409"/>
      <c r="AE78" s="2409"/>
      <c r="AF78" s="2409"/>
      <c r="AG78" s="2409"/>
      <c r="AH78" s="2409"/>
      <c r="AI78" s="2409"/>
    </row>
    <row r="79" spans="1:35" s="883" customFormat="1" ht="14.25">
      <c r="A79" s="2385" t="s">
        <v>967</v>
      </c>
      <c r="B79" s="2394" t="s">
        <v>990</v>
      </c>
      <c r="C79" s="2397">
        <f ca="1">C72-C73</f>
        <v>38587</v>
      </c>
      <c r="D79" s="524" t="s">
        <v>124</v>
      </c>
      <c r="E79" s="1922"/>
      <c r="F79" s="1923"/>
      <c r="G79" s="1923"/>
      <c r="H79" s="2414"/>
      <c r="I79" s="2413"/>
      <c r="J79" s="2408"/>
      <c r="K79" s="2408"/>
      <c r="L79" s="2408"/>
      <c r="M79" s="2408"/>
      <c r="N79" s="2408"/>
      <c r="O79" s="2408"/>
      <c r="P79" s="2408"/>
      <c r="Q79" s="2408"/>
      <c r="R79" s="2408"/>
      <c r="S79" s="2408"/>
      <c r="T79" s="2408"/>
      <c r="U79" s="2408"/>
      <c r="V79" s="2408"/>
      <c r="W79" s="2408"/>
      <c r="X79" s="2408"/>
      <c r="Y79" s="2408"/>
      <c r="Z79" s="2408"/>
      <c r="AA79" s="2409"/>
      <c r="AB79" s="2409"/>
      <c r="AC79" s="2409"/>
      <c r="AD79" s="2409"/>
      <c r="AE79" s="2409"/>
      <c r="AF79" s="2409"/>
      <c r="AG79" s="2409"/>
      <c r="AH79" s="2409"/>
      <c r="AI79" s="2409"/>
    </row>
    <row r="80" spans="1:35" s="883" customFormat="1" ht="24">
      <c r="A80" s="2385" t="s">
        <v>970</v>
      </c>
      <c r="B80" s="2394" t="s">
        <v>991</v>
      </c>
      <c r="C80" s="2430">
        <f ca="1">IF(C79&lt;=0,0,C79/C73)</f>
        <v>165.60944206008583</v>
      </c>
      <c r="D80" s="524" t="s">
        <v>124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2414"/>
      <c r="I80" s="2413"/>
      <c r="J80" s="2408"/>
      <c r="K80" s="2408"/>
      <c r="L80" s="2408"/>
      <c r="M80" s="2408"/>
      <c r="N80" s="2408"/>
      <c r="O80" s="2408"/>
      <c r="P80" s="2408"/>
      <c r="Q80" s="2408"/>
      <c r="R80" s="2408"/>
      <c r="S80" s="2408"/>
      <c r="T80" s="2408"/>
      <c r="U80" s="2408"/>
      <c r="V80" s="2408"/>
      <c r="W80" s="2408"/>
      <c r="X80" s="2408"/>
      <c r="Y80" s="2408"/>
      <c r="Z80" s="2408"/>
      <c r="AA80" s="2409"/>
      <c r="AB80" s="2409"/>
      <c r="AC80" s="2409"/>
      <c r="AD80" s="2409"/>
      <c r="AE80" s="2409"/>
      <c r="AF80" s="2409"/>
      <c r="AG80" s="2409"/>
      <c r="AH80" s="2409"/>
      <c r="AI80" s="2409"/>
    </row>
    <row r="81" spans="1:35" s="883" customFormat="1" ht="24">
      <c r="A81" s="2398" t="s">
        <v>992</v>
      </c>
      <c r="B81" s="2399" t="s">
        <v>993</v>
      </c>
      <c r="C81" s="2431">
        <f ca="1">ROUND(IF(C79&lt;=0,0,IF(C80&gt;=200%,C79*60%-C73*35%,IF(C80&gt;=100%,C79*50%-C73*15%,IF(C80&gt;=50%,C79*40%-C73*5%,IF(C80&lt;50%,C79*30%,0))))),0)</f>
        <v>23071</v>
      </c>
      <c r="D81" s="778" t="s">
        <v>124</v>
      </c>
      <c r="E81" s="2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3"/>
      <c r="G81" s="2433"/>
      <c r="H81" s="2434"/>
      <c r="I81" s="2413"/>
      <c r="J81" s="2408"/>
      <c r="K81" s="2408"/>
      <c r="L81" s="2408"/>
      <c r="M81" s="2408"/>
      <c r="N81" s="2408"/>
      <c r="O81" s="2408"/>
      <c r="P81" s="2408"/>
      <c r="Q81" s="2408"/>
      <c r="R81" s="2408"/>
      <c r="S81" s="2408"/>
      <c r="T81" s="2408"/>
      <c r="U81" s="2408"/>
      <c r="V81" s="2408"/>
      <c r="W81" s="2408"/>
      <c r="X81" s="2408"/>
      <c r="Y81" s="2408"/>
      <c r="Z81" s="2408"/>
      <c r="AA81" s="2409"/>
      <c r="AB81" s="2409"/>
      <c r="AC81" s="2409"/>
      <c r="AD81" s="2409"/>
      <c r="AE81" s="2409"/>
      <c r="AF81" s="2409"/>
      <c r="AG81" s="2409"/>
      <c r="AH81" s="2409"/>
      <c r="AI81" s="2409"/>
    </row>
    <row r="82" spans="1:35" s="883" customFormat="1" ht="7.5" customHeight="1">
      <c r="A82" s="602"/>
      <c r="B82" s="2435"/>
      <c r="C82" s="602"/>
      <c r="D82" s="602"/>
      <c r="E82" s="2435"/>
      <c r="F82" s="2435"/>
      <c r="G82" s="2435"/>
      <c r="H82" s="2436"/>
      <c r="I82" s="2429"/>
      <c r="J82" s="2408"/>
      <c r="K82" s="2408"/>
      <c r="L82" s="2408"/>
      <c r="M82" s="2408"/>
      <c r="N82" s="2408"/>
      <c r="O82" s="2408"/>
      <c r="P82" s="2408"/>
      <c r="Q82" s="2408"/>
      <c r="R82" s="2408"/>
      <c r="S82" s="2408"/>
      <c r="T82" s="2408"/>
      <c r="U82" s="2408"/>
      <c r="V82" s="2408"/>
      <c r="W82" s="2408"/>
      <c r="X82" s="2408"/>
      <c r="Y82" s="2408"/>
      <c r="Z82" s="2408"/>
      <c r="AA82" s="2409"/>
      <c r="AB82" s="2409"/>
      <c r="AC82" s="2409"/>
      <c r="AD82" s="2409"/>
      <c r="AE82" s="2409"/>
      <c r="AF82" s="2409"/>
      <c r="AG82" s="2409"/>
      <c r="AH82" s="2409"/>
      <c r="AI82" s="2409"/>
    </row>
    <row r="83" spans="1:35" s="883" customFormat="1" ht="14.25">
      <c r="A83" s="3332" t="s">
        <v>994</v>
      </c>
      <c r="B83" s="3333"/>
      <c r="C83" s="3333"/>
      <c r="D83" s="3333"/>
      <c r="E83" s="3333"/>
      <c r="F83" s="3333"/>
      <c r="G83" s="3333"/>
      <c r="H83" s="3333"/>
      <c r="I83" s="799"/>
      <c r="J83" s="2408"/>
      <c r="K83" s="2408"/>
      <c r="L83" s="2408"/>
      <c r="M83" s="2408"/>
      <c r="N83" s="2408"/>
      <c r="O83" s="2408"/>
      <c r="P83" s="2408"/>
      <c r="Q83" s="2408"/>
      <c r="R83" s="2408"/>
      <c r="S83" s="2408"/>
      <c r="T83" s="2408"/>
      <c r="U83" s="2408"/>
      <c r="V83" s="2408"/>
      <c r="W83" s="2408"/>
      <c r="X83" s="2408"/>
      <c r="Y83" s="2408"/>
      <c r="Z83" s="2408"/>
      <c r="AA83" s="2409"/>
      <c r="AB83" s="2409"/>
      <c r="AC83" s="2409"/>
      <c r="AD83" s="2409"/>
      <c r="AE83" s="2409"/>
      <c r="AF83" s="2409"/>
      <c r="AG83" s="2409"/>
      <c r="AH83" s="2409"/>
      <c r="AI83" s="2409"/>
    </row>
    <row r="84" spans="1:35" s="883" customFormat="1" ht="14.25">
      <c r="A84" s="3308" t="s">
        <v>949</v>
      </c>
      <c r="B84" s="3309"/>
      <c r="C84" s="555"/>
      <c r="D84" s="555" t="s">
        <v>950</v>
      </c>
      <c r="E84" s="2410" t="s">
        <v>904</v>
      </c>
      <c r="F84" s="2411"/>
      <c r="G84" s="2411"/>
      <c r="H84" s="2437"/>
      <c r="I84" s="799"/>
      <c r="J84" s="2408"/>
      <c r="K84" s="2408"/>
      <c r="L84" s="2408"/>
      <c r="M84" s="2408"/>
      <c r="N84" s="2408"/>
      <c r="O84" s="2408"/>
      <c r="P84" s="2408"/>
      <c r="Q84" s="2408"/>
      <c r="R84" s="2408"/>
      <c r="S84" s="2408"/>
      <c r="T84" s="2408"/>
      <c r="U84" s="2408"/>
      <c r="V84" s="2408"/>
      <c r="W84" s="2408"/>
      <c r="X84" s="2408"/>
      <c r="Y84" s="2408"/>
      <c r="Z84" s="2408"/>
      <c r="AA84" s="2409"/>
      <c r="AB84" s="2409"/>
      <c r="AC84" s="2409"/>
      <c r="AD84" s="2409"/>
      <c r="AE84" s="2409"/>
      <c r="AF84" s="2409"/>
      <c r="AG84" s="2409"/>
      <c r="AH84" s="2409"/>
      <c r="AI84" s="2409"/>
    </row>
    <row r="85" spans="1:35" s="883" customFormat="1" ht="14.25">
      <c r="A85" s="2385" t="s">
        <v>951</v>
      </c>
      <c r="B85" s="2394" t="s">
        <v>975</v>
      </c>
      <c r="C85" s="2397">
        <f ca="1">ROUND(D45/(1+'数据-取费表'!C42),0)</f>
        <v>38820</v>
      </c>
      <c r="D85" s="524" t="s">
        <v>124</v>
      </c>
      <c r="E85" s="1922"/>
      <c r="F85" s="1923"/>
      <c r="G85" s="1923"/>
      <c r="H85" s="2438"/>
      <c r="I85" s="799"/>
      <c r="J85" s="2408"/>
      <c r="K85" s="2408"/>
      <c r="L85" s="2408"/>
      <c r="M85" s="2408"/>
      <c r="N85" s="2408"/>
      <c r="O85" s="2408"/>
      <c r="P85" s="2408"/>
      <c r="Q85" s="2408"/>
      <c r="R85" s="2408"/>
      <c r="S85" s="2408"/>
      <c r="T85" s="2408"/>
      <c r="U85" s="2408"/>
      <c r="V85" s="2408"/>
      <c r="W85" s="2408"/>
      <c r="X85" s="2408"/>
      <c r="Y85" s="2408"/>
      <c r="Z85" s="2408"/>
      <c r="AA85" s="2409"/>
      <c r="AB85" s="2409"/>
      <c r="AC85" s="2409"/>
      <c r="AD85" s="2409"/>
      <c r="AE85" s="2409"/>
      <c r="AF85" s="2409"/>
      <c r="AG85" s="2409"/>
      <c r="AH85" s="2409"/>
      <c r="AI85" s="2409"/>
    </row>
    <row r="86" spans="1:35" s="883" customFormat="1" ht="14.25">
      <c r="A86" s="2385" t="s">
        <v>962</v>
      </c>
      <c r="B86" s="2332" t="s">
        <v>976</v>
      </c>
      <c r="C86" s="2397">
        <f ca="1">IF(H88="仅含出让金",C87+C90+C91+C92+C93+C94,C87+C91+C92+C93+C94)</f>
        <v>233</v>
      </c>
      <c r="D86" s="2439"/>
      <c r="E86" s="1922"/>
      <c r="F86" s="1923"/>
      <c r="G86" s="1923"/>
      <c r="H86" s="2438"/>
      <c r="I86" s="799"/>
      <c r="J86" s="2408"/>
      <c r="K86" s="2408"/>
      <c r="L86" s="2408"/>
      <c r="M86" s="2408"/>
      <c r="N86" s="2408"/>
      <c r="O86" s="2408"/>
      <c r="P86" s="2408"/>
      <c r="Q86" s="2408"/>
      <c r="R86" s="2408"/>
      <c r="S86" s="2408"/>
      <c r="T86" s="2408"/>
      <c r="U86" s="2408"/>
      <c r="V86" s="2408"/>
      <c r="W86" s="2408"/>
      <c r="X86" s="2408"/>
      <c r="Y86" s="2408"/>
      <c r="Z86" s="2408"/>
      <c r="AA86" s="2409"/>
      <c r="AB86" s="2409"/>
      <c r="AC86" s="2409"/>
      <c r="AD86" s="2409"/>
      <c r="AE86" s="2409"/>
      <c r="AF86" s="2409"/>
      <c r="AG86" s="2409"/>
      <c r="AH86" s="2409"/>
      <c r="AI86" s="2409"/>
    </row>
    <row r="87" spans="1:35" s="883" customFormat="1" ht="14.25">
      <c r="A87" s="2390" t="s">
        <v>955</v>
      </c>
      <c r="B87" s="524" t="s">
        <v>995</v>
      </c>
      <c r="C87" s="2424">
        <f>C88+C89</f>
        <v>0</v>
      </c>
      <c r="D87" s="2425"/>
      <c r="E87" s="2426"/>
      <c r="F87" s="2427"/>
      <c r="G87" s="2427"/>
      <c r="H87" s="2428"/>
      <c r="I87" s="799"/>
      <c r="J87" s="2408"/>
      <c r="K87" s="2408"/>
      <c r="L87" s="2408"/>
      <c r="M87" s="2408"/>
      <c r="N87" s="2408"/>
      <c r="O87" s="2408"/>
      <c r="P87" s="2408"/>
      <c r="Q87" s="2408"/>
      <c r="R87" s="2408"/>
      <c r="S87" s="2408"/>
      <c r="T87" s="2408"/>
      <c r="U87" s="2408"/>
      <c r="V87" s="2408"/>
      <c r="W87" s="2408"/>
      <c r="X87" s="2408"/>
      <c r="Y87" s="2408"/>
      <c r="Z87" s="2408"/>
      <c r="AA87" s="2409"/>
      <c r="AB87" s="2409"/>
      <c r="AC87" s="2409"/>
      <c r="AD87" s="2409"/>
      <c r="AE87" s="2409"/>
      <c r="AF87" s="2409"/>
      <c r="AG87" s="2409"/>
      <c r="AH87" s="2409"/>
      <c r="AI87" s="2409"/>
    </row>
    <row r="88" spans="1:35" s="883" customFormat="1" ht="14.25">
      <c r="A88" s="2390" t="s">
        <v>978</v>
      </c>
      <c r="B88" s="524" t="s">
        <v>996</v>
      </c>
      <c r="C88" s="2440"/>
      <c r="D88" s="2425"/>
      <c r="E88" s="2441" t="s">
        <v>997</v>
      </c>
      <c r="F88" s="2427"/>
      <c r="G88" s="2442" t="s">
        <v>998</v>
      </c>
      <c r="H88" s="2443"/>
      <c r="I88" s="799"/>
      <c r="J88" s="2444" t="s">
        <v>999</v>
      </c>
      <c r="K88" s="2408"/>
      <c r="L88" s="2408"/>
      <c r="M88" s="2408"/>
      <c r="N88" s="2408"/>
      <c r="O88" s="2408"/>
      <c r="P88" s="2408"/>
      <c r="Q88" s="2408"/>
      <c r="R88" s="2408"/>
      <c r="S88" s="2408"/>
      <c r="T88" s="2408"/>
      <c r="U88" s="2408"/>
      <c r="V88" s="2408"/>
      <c r="W88" s="2408"/>
      <c r="X88" s="2408"/>
      <c r="Y88" s="2408"/>
      <c r="Z88" s="2408"/>
      <c r="AA88" s="2409"/>
      <c r="AB88" s="2409"/>
      <c r="AC88" s="2409"/>
      <c r="AD88" s="2409"/>
      <c r="AE88" s="2409"/>
      <c r="AF88" s="2409"/>
      <c r="AG88" s="2409"/>
      <c r="AH88" s="2409"/>
      <c r="AI88" s="2409"/>
    </row>
    <row r="89" spans="1:35" s="883" customFormat="1" ht="14.25">
      <c r="A89" s="2390" t="s">
        <v>982</v>
      </c>
      <c r="B89" s="524" t="s">
        <v>986</v>
      </c>
      <c r="C89" s="2424">
        <f>ROUND(C88*D89,0)</f>
        <v>0</v>
      </c>
      <c r="D89" s="2425">
        <f>'数据-取费表'!B48+'数据-取费表'!B49</f>
        <v>3.0499999999999999E-2</v>
      </c>
      <c r="E89" s="2441" t="s">
        <v>1000</v>
      </c>
      <c r="F89" s="2427"/>
      <c r="G89" s="2427"/>
      <c r="H89" s="2428"/>
      <c r="I89" s="799"/>
      <c r="J89" s="2408"/>
      <c r="K89" s="2408"/>
      <c r="L89" s="2408"/>
      <c r="M89" s="2408"/>
      <c r="N89" s="2408"/>
      <c r="O89" s="2408"/>
      <c r="P89" s="2408"/>
      <c r="Q89" s="2408"/>
      <c r="R89" s="2408"/>
      <c r="S89" s="2408"/>
      <c r="T89" s="2408"/>
      <c r="U89" s="2408"/>
      <c r="V89" s="2408"/>
      <c r="W89" s="2408"/>
      <c r="X89" s="2408"/>
      <c r="Y89" s="2408"/>
      <c r="Z89" s="2408"/>
      <c r="AA89" s="2409"/>
      <c r="AB89" s="2409"/>
      <c r="AC89" s="2409"/>
      <c r="AD89" s="2409"/>
      <c r="AE89" s="2409"/>
      <c r="AF89" s="2409"/>
      <c r="AG89" s="2409"/>
      <c r="AH89" s="2409"/>
      <c r="AI89" s="2409"/>
    </row>
    <row r="90" spans="1:35" s="883" customFormat="1" ht="14.25">
      <c r="A90" s="2390" t="s">
        <v>959</v>
      </c>
      <c r="B90" s="524" t="s">
        <v>1001</v>
      </c>
      <c r="C90" s="2440"/>
      <c r="D90" s="2425"/>
      <c r="E90" s="2441" t="str">
        <f>IF(H88="-","土地取得成本中已包含该笔费用"," ")</f>
        <v/>
      </c>
      <c r="F90" s="2427"/>
      <c r="G90" s="3344" t="s">
        <v>1002</v>
      </c>
      <c r="H90" s="3345"/>
      <c r="I90" s="799"/>
      <c r="J90" s="2444" t="s">
        <v>1003</v>
      </c>
      <c r="K90" s="2408"/>
      <c r="L90" s="2408"/>
      <c r="M90" s="2408"/>
      <c r="N90" s="2408"/>
      <c r="O90" s="2408"/>
      <c r="P90" s="2408"/>
      <c r="Q90" s="2408"/>
      <c r="R90" s="2408"/>
      <c r="S90" s="2408"/>
      <c r="T90" s="2408"/>
      <c r="U90" s="2408"/>
      <c r="V90" s="2408"/>
      <c r="W90" s="2408"/>
      <c r="X90" s="2408"/>
      <c r="Y90" s="2408"/>
      <c r="Z90" s="2408"/>
      <c r="AA90" s="2409"/>
      <c r="AB90" s="2409"/>
      <c r="AC90" s="2409"/>
      <c r="AD90" s="2409"/>
      <c r="AE90" s="2409"/>
      <c r="AF90" s="2409"/>
      <c r="AG90" s="2409"/>
      <c r="AH90" s="2409"/>
      <c r="AI90" s="2409"/>
    </row>
    <row r="91" spans="1:35" s="883" customFormat="1" ht="27.75" customHeight="1">
      <c r="A91" s="2390" t="s">
        <v>1004</v>
      </c>
      <c r="B91" s="524" t="s">
        <v>1005</v>
      </c>
      <c r="C91" s="2424">
        <f>IF(H91="——",成本法!C33,I91)</f>
        <v>0</v>
      </c>
      <c r="D91" s="2425"/>
      <c r="E91" s="3335" t="s">
        <v>1006</v>
      </c>
      <c r="F91" s="3336"/>
      <c r="G91" s="3336"/>
      <c r="H91" s="2445"/>
      <c r="I91" s="2446"/>
      <c r="J91" s="2408"/>
      <c r="K91" s="2408"/>
      <c r="L91" s="2408"/>
      <c r="M91" s="2408"/>
      <c r="N91" s="2408"/>
      <c r="O91" s="2408"/>
      <c r="P91" s="2408"/>
      <c r="Q91" s="2408"/>
      <c r="R91" s="2408"/>
      <c r="S91" s="2408"/>
      <c r="T91" s="2408"/>
      <c r="U91" s="2408"/>
      <c r="V91" s="2408"/>
      <c r="W91" s="2408"/>
      <c r="X91" s="2408"/>
      <c r="Y91" s="2408"/>
      <c r="Z91" s="2408"/>
      <c r="AA91" s="2409"/>
      <c r="AB91" s="2409"/>
      <c r="AC91" s="2409"/>
      <c r="AD91" s="2409"/>
      <c r="AE91" s="2409"/>
      <c r="AF91" s="2409"/>
      <c r="AG91" s="2409"/>
      <c r="AH91" s="2409"/>
      <c r="AI91" s="2409"/>
    </row>
    <row r="92" spans="1:35" s="883" customFormat="1" ht="25.5" customHeight="1">
      <c r="A92" s="2390" t="s">
        <v>1007</v>
      </c>
      <c r="B92" s="524" t="s">
        <v>1008</v>
      </c>
      <c r="C92" s="2424">
        <f>ROUND((C87+C90+C91)*D92,0)</f>
        <v>0</v>
      </c>
      <c r="D92" s="2447"/>
      <c r="E92" s="3335" t="s">
        <v>1009</v>
      </c>
      <c r="F92" s="3336"/>
      <c r="G92" s="3336"/>
      <c r="H92" s="3337"/>
      <c r="I92" s="799"/>
      <c r="J92" s="2448" t="s">
        <v>1010</v>
      </c>
      <c r="K92" s="2408"/>
      <c r="L92" s="2408"/>
      <c r="M92" s="2408"/>
      <c r="N92" s="2408"/>
      <c r="O92" s="2408"/>
      <c r="P92" s="2408"/>
      <c r="Q92" s="2408"/>
      <c r="R92" s="2408"/>
      <c r="S92" s="2408"/>
      <c r="T92" s="2408"/>
      <c r="U92" s="2408"/>
      <c r="V92" s="2408"/>
      <c r="W92" s="2408"/>
      <c r="X92" s="2408"/>
      <c r="Y92" s="2408"/>
      <c r="Z92" s="2408"/>
      <c r="AA92" s="2409"/>
      <c r="AB92" s="2409"/>
      <c r="AC92" s="2409"/>
      <c r="AD92" s="2409"/>
      <c r="AE92" s="2409"/>
      <c r="AF92" s="2409"/>
      <c r="AG92" s="2409"/>
      <c r="AH92" s="2409"/>
      <c r="AI92" s="2409"/>
    </row>
    <row r="93" spans="1:35" s="883" customFormat="1" ht="25.5" customHeight="1">
      <c r="A93" s="2390" t="s">
        <v>1011</v>
      </c>
      <c r="B93" s="524" t="s">
        <v>988</v>
      </c>
      <c r="C93" s="2424">
        <f ca="1">ROUND(D45*D93/(1+'数据-取费表'!C42),0)</f>
        <v>233</v>
      </c>
      <c r="D93" s="2425">
        <f>'数据-取费表'!B43</f>
        <v>6.0000000000000001E-3</v>
      </c>
      <c r="E93" s="3335" t="s">
        <v>989</v>
      </c>
      <c r="F93" s="3336"/>
      <c r="G93" s="3336"/>
      <c r="H93" s="3337"/>
      <c r="I93" s="799"/>
      <c r="J93" s="2408"/>
      <c r="K93" s="2408"/>
      <c r="L93" s="2408"/>
      <c r="M93" s="2408"/>
      <c r="N93" s="2408"/>
      <c r="O93" s="2408"/>
      <c r="P93" s="2408"/>
      <c r="Q93" s="2408"/>
      <c r="R93" s="2408"/>
      <c r="S93" s="2408"/>
      <c r="T93" s="2408"/>
      <c r="U93" s="2408"/>
      <c r="V93" s="2408"/>
      <c r="W93" s="2408"/>
      <c r="X93" s="2408"/>
      <c r="Y93" s="2408"/>
      <c r="Z93" s="2408"/>
      <c r="AA93" s="2409"/>
      <c r="AB93" s="2409"/>
      <c r="AC93" s="2409"/>
      <c r="AD93" s="2409"/>
      <c r="AE93" s="2409"/>
      <c r="AF93" s="2409"/>
      <c r="AG93" s="2409"/>
      <c r="AH93" s="2409"/>
      <c r="AI93" s="2409"/>
    </row>
    <row r="94" spans="1:35" s="883" customFormat="1" ht="36.75" customHeight="1">
      <c r="A94" s="2390" t="s">
        <v>1012</v>
      </c>
      <c r="B94" s="524" t="s">
        <v>1013</v>
      </c>
      <c r="C94" s="2440">
        <f>ROUND((C87+C90+C91)*D94,0)</f>
        <v>0</v>
      </c>
      <c r="D94" s="2425">
        <v>0.2</v>
      </c>
      <c r="E94" s="3357" t="s">
        <v>1014</v>
      </c>
      <c r="F94" s="3358"/>
      <c r="G94" s="3358"/>
      <c r="H94" s="3359"/>
      <c r="I94" s="799"/>
      <c r="J94" s="2408"/>
      <c r="K94" s="2408"/>
      <c r="L94" s="2408"/>
      <c r="M94" s="2408"/>
      <c r="N94" s="2408"/>
      <c r="O94" s="2408"/>
      <c r="P94" s="2408"/>
      <c r="Q94" s="2408"/>
      <c r="R94" s="2408"/>
      <c r="S94" s="2408"/>
      <c r="T94" s="2408"/>
      <c r="U94" s="2408"/>
      <c r="V94" s="2408"/>
      <c r="W94" s="2408"/>
      <c r="X94" s="2408"/>
      <c r="Y94" s="2408"/>
      <c r="Z94" s="2408"/>
      <c r="AA94" s="2409"/>
      <c r="AB94" s="2409"/>
      <c r="AC94" s="2409"/>
      <c r="AD94" s="2409"/>
      <c r="AE94" s="2409"/>
      <c r="AF94" s="2409"/>
      <c r="AG94" s="2409"/>
      <c r="AH94" s="2409"/>
      <c r="AI94" s="2409"/>
    </row>
    <row r="95" spans="1:35" s="883" customFormat="1" ht="14.25">
      <c r="A95" s="2385" t="s">
        <v>967</v>
      </c>
      <c r="B95" s="2394" t="s">
        <v>990</v>
      </c>
      <c r="C95" s="2397">
        <f ca="1">ROUND(C85-C86,0)</f>
        <v>38587</v>
      </c>
      <c r="D95" s="524" t="s">
        <v>124</v>
      </c>
      <c r="E95" s="1922"/>
      <c r="F95" s="1923"/>
      <c r="G95" s="1923"/>
      <c r="H95" s="2438"/>
      <c r="I95" s="799"/>
      <c r="J95" s="2408"/>
      <c r="K95" s="2408"/>
      <c r="L95" s="2408"/>
      <c r="M95" s="2408"/>
      <c r="N95" s="2408"/>
      <c r="O95" s="2408"/>
      <c r="P95" s="2408"/>
      <c r="Q95" s="2408"/>
      <c r="R95" s="2408"/>
      <c r="S95" s="2408"/>
      <c r="T95" s="2408"/>
      <c r="U95" s="2408"/>
      <c r="V95" s="2408"/>
      <c r="W95" s="2408"/>
      <c r="X95" s="2408"/>
      <c r="Y95" s="2408"/>
      <c r="Z95" s="2408"/>
      <c r="AA95" s="2409"/>
      <c r="AB95" s="2409"/>
      <c r="AC95" s="2409"/>
      <c r="AD95" s="2409"/>
      <c r="AE95" s="2409"/>
      <c r="AF95" s="2409"/>
      <c r="AG95" s="2409"/>
      <c r="AH95" s="2409"/>
      <c r="AI95" s="2409"/>
    </row>
    <row r="96" spans="1:35" s="883" customFormat="1" ht="24">
      <c r="A96" s="2385" t="s">
        <v>970</v>
      </c>
      <c r="B96" s="2394" t="s">
        <v>991</v>
      </c>
      <c r="C96" s="2430">
        <f ca="1">IF(C95&lt;=0,0,C95/C86)</f>
        <v>165.60944206008583</v>
      </c>
      <c r="D96" s="524" t="s">
        <v>124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2438"/>
      <c r="I96" s="799"/>
      <c r="J96" s="2408"/>
      <c r="K96" s="2408"/>
      <c r="L96" s="2408"/>
      <c r="M96" s="2408"/>
      <c r="N96" s="2408"/>
      <c r="O96" s="2408"/>
      <c r="P96" s="2408"/>
      <c r="Q96" s="2408"/>
      <c r="R96" s="2408"/>
      <c r="S96" s="2408"/>
      <c r="T96" s="2408"/>
      <c r="U96" s="2408"/>
      <c r="V96" s="2408"/>
      <c r="W96" s="2408"/>
      <c r="X96" s="2408"/>
      <c r="Y96" s="2408"/>
      <c r="Z96" s="2408"/>
      <c r="AA96" s="2409"/>
      <c r="AB96" s="2409"/>
      <c r="AC96" s="2409"/>
      <c r="AD96" s="2409"/>
      <c r="AE96" s="2409"/>
      <c r="AF96" s="2409"/>
      <c r="AG96" s="2409"/>
      <c r="AH96" s="2409"/>
      <c r="AI96" s="2409"/>
    </row>
    <row r="97" spans="1:35" s="883" customFormat="1" ht="24">
      <c r="A97" s="2398" t="s">
        <v>992</v>
      </c>
      <c r="B97" s="2399" t="s">
        <v>993</v>
      </c>
      <c r="C97" s="2431">
        <f ca="1">ROUND(IF(C95&lt;=0,0,IF(C96&gt;=200%,C95*60%-C86*35%,IF(C96&gt;=100%,C95*50%-C86*15%,IF(C96&gt;=50%,C95*40%-C86*5%,IF(C96&lt;50%,C95*30%,0))))),0)</f>
        <v>23071</v>
      </c>
      <c r="D97" s="778" t="s">
        <v>124</v>
      </c>
      <c r="E97" s="2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3"/>
      <c r="G97" s="2433"/>
      <c r="H97" s="2449"/>
      <c r="I97" s="799"/>
      <c r="J97" s="2408"/>
      <c r="K97" s="2408"/>
      <c r="L97" s="2408"/>
      <c r="M97" s="2408"/>
      <c r="N97" s="2408"/>
      <c r="O97" s="2408"/>
      <c r="P97" s="2408"/>
      <c r="Q97" s="2408"/>
      <c r="R97" s="2408"/>
      <c r="S97" s="2408"/>
      <c r="T97" s="2408"/>
      <c r="U97" s="2408"/>
      <c r="V97" s="2408"/>
      <c r="W97" s="2408"/>
      <c r="X97" s="2408"/>
      <c r="Y97" s="2408"/>
      <c r="Z97" s="2408"/>
      <c r="AA97" s="2409"/>
      <c r="AB97" s="2409"/>
      <c r="AC97" s="2409"/>
      <c r="AD97" s="2409"/>
      <c r="AE97" s="2409"/>
      <c r="AF97" s="2409"/>
      <c r="AG97" s="2409"/>
      <c r="AH97" s="2409"/>
      <c r="AI97" s="2409"/>
    </row>
    <row r="98" spans="1:35" ht="21.75" customHeight="1">
      <c r="A98" s="2379"/>
      <c r="B98" s="1901"/>
      <c r="C98" s="1901"/>
      <c r="D98" s="1901"/>
      <c r="E98" s="2380"/>
      <c r="F98" s="2380"/>
      <c r="G98" s="2380"/>
      <c r="H98" s="2318"/>
      <c r="I98" s="985"/>
    </row>
    <row r="99" spans="1:35" ht="21.75" customHeight="1">
      <c r="A99" s="2321" t="s">
        <v>1015</v>
      </c>
      <c r="B99" s="1901"/>
      <c r="C99" s="1901"/>
      <c r="D99" s="1901"/>
      <c r="E99" s="2380"/>
      <c r="F99" s="2380"/>
      <c r="G99" s="2380"/>
      <c r="H99" s="2318"/>
      <c r="I99" s="985"/>
    </row>
    <row r="100" spans="1:35" ht="18.75" customHeight="1">
      <c r="A100" s="3260" t="s">
        <v>1016</v>
      </c>
      <c r="B100" s="3261"/>
      <c r="C100" s="3261"/>
      <c r="D100" s="3320"/>
      <c r="E100" s="3261" t="s">
        <v>1017</v>
      </c>
      <c r="F100" s="3261"/>
      <c r="G100" s="3261"/>
      <c r="H100" s="3320"/>
      <c r="I100" s="985"/>
    </row>
    <row r="101" spans="1:35" ht="18.75" customHeight="1">
      <c r="A101" s="3321" t="s">
        <v>1018</v>
      </c>
      <c r="B101" s="3322"/>
      <c r="C101" s="2451" t="str">
        <f>C4</f>
        <v>收益法（汇总）</v>
      </c>
      <c r="D101" s="2452" t="str">
        <f>D4</f>
        <v>收益法（汇总）</v>
      </c>
      <c r="E101" s="3338" t="s">
        <v>1019</v>
      </c>
      <c r="F101" s="3339"/>
      <c r="G101" s="2454" t="s">
        <v>1020</v>
      </c>
      <c r="H101" s="2455">
        <f ca="1">H118</f>
        <v>40761</v>
      </c>
      <c r="I101" s="985"/>
    </row>
    <row r="102" spans="1:35" ht="18.75" customHeight="1">
      <c r="A102" s="3352" t="s">
        <v>1021</v>
      </c>
      <c r="B102" s="2456" t="s">
        <v>1020</v>
      </c>
      <c r="C102" s="2451">
        <f ca="1">IF(D32="楼面单价",ROUND(C19,0),C19)</f>
        <v>40761</v>
      </c>
      <c r="D102" s="2452">
        <f ca="1">IF(D32="楼面单价",ROUND(D19,0),D19)</f>
        <v>40761</v>
      </c>
      <c r="E102" s="3338"/>
      <c r="F102" s="3339"/>
      <c r="G102" s="2454" t="s">
        <v>99</v>
      </c>
      <c r="H102" s="2349">
        <f ca="1">I118</f>
        <v>8058</v>
      </c>
      <c r="I102" s="985"/>
    </row>
    <row r="103" spans="1:35" ht="42.75" customHeight="1">
      <c r="A103" s="3352"/>
      <c r="B103" s="2456" t="s">
        <v>99</v>
      </c>
      <c r="C103" s="2457">
        <f ca="1">C20</f>
        <v>8058</v>
      </c>
      <c r="D103" s="2458">
        <f ca="1">D20</f>
        <v>8058</v>
      </c>
      <c r="E103" s="3323" t="s">
        <v>1022</v>
      </c>
      <c r="F103" s="3324"/>
      <c r="G103" s="2459" t="s">
        <v>102</v>
      </c>
      <c r="H103" s="2455">
        <f>IF(D36="正常操作",H104+H105+H106,H105+H106)</f>
        <v>0</v>
      </c>
      <c r="I103" s="985"/>
    </row>
    <row r="104" spans="1:35" ht="18.75" customHeight="1">
      <c r="A104" s="3352" t="s">
        <v>1023</v>
      </c>
      <c r="B104" s="2460" t="s">
        <v>1020</v>
      </c>
      <c r="C104" s="2461">
        <f ca="1">H118</f>
        <v>40761</v>
      </c>
      <c r="D104" s="2462"/>
      <c r="E104" s="2303" t="s">
        <v>1024</v>
      </c>
      <c r="F104" s="2463"/>
      <c r="G104" s="2459" t="s">
        <v>102</v>
      </c>
      <c r="H104" s="2464">
        <f>IF(D36="同一抵押权人同一抵押物续贷",C36&amp;"（续贷，未扣减，详见特别提示）",C36)</f>
        <v>0</v>
      </c>
      <c r="I104" s="985"/>
    </row>
    <row r="105" spans="1:35" ht="18.75" customHeight="1">
      <c r="A105" s="3353"/>
      <c r="B105" s="2465" t="s">
        <v>99</v>
      </c>
      <c r="C105" s="2466">
        <f ca="1">I118</f>
        <v>8058</v>
      </c>
      <c r="D105" s="2467"/>
      <c r="E105" s="2303" t="s">
        <v>1025</v>
      </c>
      <c r="F105" s="2463"/>
      <c r="G105" s="2459" t="s">
        <v>102</v>
      </c>
      <c r="H105" s="2468">
        <f>C37</f>
        <v>0</v>
      </c>
      <c r="I105" s="985"/>
    </row>
    <row r="106" spans="1:35" ht="18.75" customHeight="1">
      <c r="A106" s="1901" t="s">
        <v>1026</v>
      </c>
      <c r="B106" s="1901"/>
      <c r="C106" s="1901"/>
      <c r="D106" s="1901"/>
      <c r="E106" s="2469" t="s">
        <v>1027</v>
      </c>
      <c r="F106" s="2463"/>
      <c r="G106" s="2459" t="s">
        <v>102</v>
      </c>
      <c r="H106" s="2468">
        <f>C38</f>
        <v>0</v>
      </c>
      <c r="I106" s="985"/>
    </row>
    <row r="107" spans="1:35" ht="18.75" customHeight="1">
      <c r="A107" s="985"/>
      <c r="B107" s="985"/>
      <c r="C107" s="985"/>
      <c r="D107" s="985"/>
      <c r="E107" s="3340" t="str">
        <f>IF(项目基本情况!E8="已注销","——","3.房地产抵押价值")</f>
        <v>3.房地产抵押价值</v>
      </c>
      <c r="F107" s="3339"/>
      <c r="G107" s="2454" t="s">
        <v>1020</v>
      </c>
      <c r="H107" s="2455">
        <f ca="1">IF(E107="——","——",H101-H103)</f>
        <v>40761</v>
      </c>
      <c r="I107" s="985"/>
    </row>
    <row r="108" spans="1:35" ht="18.75" customHeight="1">
      <c r="A108" s="985"/>
      <c r="B108" s="985"/>
      <c r="C108" s="985"/>
      <c r="D108" s="985"/>
      <c r="E108" s="3340"/>
      <c r="F108" s="3339"/>
      <c r="G108" s="2454" t="s">
        <v>99</v>
      </c>
      <c r="H108" s="2349">
        <f ca="1">IF(H107=H101,H102,ROUND(H107*10000/'数据-汇总表'!E3,0))</f>
        <v>8058</v>
      </c>
      <c r="I108" s="985"/>
    </row>
    <row r="109" spans="1:35" ht="18.75" customHeight="1">
      <c r="A109" s="985"/>
      <c r="B109" s="985"/>
      <c r="C109" s="985"/>
      <c r="D109" s="985"/>
      <c r="E109" s="3340" t="str">
        <f>IF(项目基本情况!E8="已注销及未注销","4.抵押担保权已注销时的房地产抵押价值",IF(项目基本情况!E8="已注销","3.抵押担保权已注销时的房地产抵押价值","——"))</f>
        <v>——</v>
      </c>
      <c r="F109" s="3339"/>
      <c r="G109" s="2454" t="s">
        <v>1020</v>
      </c>
      <c r="H109" s="2470" t="str">
        <f>IF(E109="——","——",H101-H105-H106)</f>
        <v>——</v>
      </c>
      <c r="I109" s="985"/>
    </row>
    <row r="110" spans="1:35" ht="18.75" customHeight="1">
      <c r="A110" s="985"/>
      <c r="B110" s="985"/>
      <c r="C110" s="985"/>
      <c r="D110" s="985"/>
      <c r="E110" s="3340"/>
      <c r="F110" s="3339"/>
      <c r="G110" s="2454" t="s">
        <v>99</v>
      </c>
      <c r="H110" s="2349" t="str">
        <f>IF(H109="——","——",ROUND(H109*10000/'数据-汇总表'!E3,0))</f>
        <v>——</v>
      </c>
      <c r="I110" s="985"/>
    </row>
    <row r="111" spans="1:35" ht="18.75" customHeight="1">
      <c r="A111" s="985"/>
      <c r="B111" s="985"/>
      <c r="C111" s="985"/>
      <c r="D111" s="985"/>
      <c r="E111" s="3341" t="str">
        <f>IF(项目基本情况!E9="抵押净值",IF(OR(项目基本情况!E8="已注销",项目基本情况!E8="房地产抵押价值"),"4.抵押净值","5.抵押净值"),"——")</f>
        <v>——</v>
      </c>
      <c r="F111" s="3312"/>
      <c r="G111" s="2454" t="s">
        <v>1020</v>
      </c>
      <c r="H111" s="2455" t="str">
        <f>IF(E111="——","——",N59)</f>
        <v>——</v>
      </c>
      <c r="I111" s="985"/>
    </row>
    <row r="112" spans="1:35" ht="18.75" customHeight="1">
      <c r="A112" s="985"/>
      <c r="B112" s="985"/>
      <c r="C112" s="985"/>
      <c r="D112" s="985"/>
      <c r="E112" s="3342"/>
      <c r="F112" s="3343"/>
      <c r="G112" s="2471" t="s">
        <v>99</v>
      </c>
      <c r="H112" s="2472" t="str">
        <f>IF(E111="——","——",N61)</f>
        <v>——</v>
      </c>
      <c r="I112" s="985"/>
    </row>
    <row r="113" spans="1:27" ht="18.75" customHeight="1">
      <c r="A113" s="985"/>
      <c r="B113" s="985"/>
      <c r="C113" s="985"/>
      <c r="D113" s="985"/>
      <c r="E113" s="3325" t="s">
        <v>1026</v>
      </c>
      <c r="F113" s="3325"/>
      <c r="G113" s="3325"/>
      <c r="H113" s="3325"/>
      <c r="I113" s="985"/>
    </row>
    <row r="114" spans="1:27" ht="3.75" customHeight="1">
      <c r="A114" s="1901"/>
      <c r="B114" s="1901"/>
      <c r="C114" s="1901"/>
      <c r="D114" s="1901"/>
      <c r="E114" s="2379"/>
      <c r="F114" s="2379"/>
      <c r="G114" s="2379"/>
      <c r="H114" s="2379"/>
      <c r="I114" s="1901"/>
    </row>
    <row r="115" spans="1:27" ht="18.75" customHeight="1">
      <c r="A115" s="3326" t="s">
        <v>1028</v>
      </c>
      <c r="B115" s="3327"/>
      <c r="C115" s="3327"/>
      <c r="D115" s="3327"/>
      <c r="E115" s="3327"/>
      <c r="F115" s="3327"/>
      <c r="G115" s="3327"/>
      <c r="H115" s="3327"/>
      <c r="I115" s="3328"/>
    </row>
    <row r="116" spans="1:27" ht="27" customHeight="1">
      <c r="A116" s="3316" t="s">
        <v>1029</v>
      </c>
      <c r="B116" s="3355" t="s">
        <v>1030</v>
      </c>
      <c r="C116" s="3355" t="s">
        <v>1031</v>
      </c>
      <c r="D116" s="3329" t="s">
        <v>1032</v>
      </c>
      <c r="E116" s="3330"/>
      <c r="F116" s="3331" t="s">
        <v>1033</v>
      </c>
      <c r="G116" s="3331"/>
      <c r="H116" s="3316" t="s">
        <v>1034</v>
      </c>
      <c r="I116" s="3316"/>
    </row>
    <row r="117" spans="1:27" ht="18.75" customHeight="1">
      <c r="A117" s="3316"/>
      <c r="B117" s="3356"/>
      <c r="C117" s="3356"/>
      <c r="D117" s="846" t="s">
        <v>1035</v>
      </c>
      <c r="E117" s="846" t="s">
        <v>862</v>
      </c>
      <c r="F117" s="846" t="s">
        <v>1035</v>
      </c>
      <c r="G117" s="846" t="s">
        <v>862</v>
      </c>
      <c r="H117" s="846" t="s">
        <v>1035</v>
      </c>
      <c r="I117" s="846" t="s">
        <v>862</v>
      </c>
    </row>
    <row r="118" spans="1:27" ht="24.75" customHeight="1">
      <c r="A118" s="2473" t="str">
        <f>项目基本情况!S2</f>
        <v>北京市房地产</v>
      </c>
      <c r="B118" s="846">
        <f>M18</f>
        <v>50585.8</v>
      </c>
      <c r="C118" s="846">
        <f>M19</f>
        <v>11435.33</v>
      </c>
      <c r="D118" s="846">
        <f ca="1">ROUND(IF(D32="总价",C34,E118*B118/10000),0)</f>
        <v>40761</v>
      </c>
      <c r="E118" s="846">
        <f ca="1">ROUND(IF(C33="自定义",IF(D32="楼面单价",C34,D118*10000/B118),I118-G118),0)</f>
        <v>8058</v>
      </c>
      <c r="F118" s="846">
        <f ca="1">ROUND(IF(D32="总价",C35,G118*B118/10000),0)</f>
        <v>0</v>
      </c>
      <c r="G118" s="846">
        <f ca="1">ROUND(IF(D32="楼面单价",C35,F118*10000/B118),0)</f>
        <v>0</v>
      </c>
      <c r="H118" s="846">
        <f ca="1">ROUND(IF(D32="总价",C32,I118*B118/10000),0)</f>
        <v>40761</v>
      </c>
      <c r="I118" s="846">
        <f ca="1">ROUND(IF(D32="楼面单价",C32,H118*10000/B118),0)</f>
        <v>8058</v>
      </c>
    </row>
    <row r="119" spans="1:27" ht="18.75" customHeight="1">
      <c r="A119" s="3316" t="s">
        <v>1036</v>
      </c>
      <c r="B119" s="3316"/>
      <c r="C119" s="3316"/>
      <c r="D119" s="3317" t="str">
        <f ca="1">NUMBERSTRING(INT(D118*10000),2)&amp;"元整"</f>
        <v>肆亿零柒佰陆拾壹万元整</v>
      </c>
      <c r="E119" s="3319"/>
      <c r="F119" s="3317" t="str">
        <f ca="1">NUMBERSTRING(INT(F118*10000),2)&amp;"元整"</f>
        <v>零元整</v>
      </c>
      <c r="G119" s="3319"/>
      <c r="H119" s="3317" t="str">
        <f ca="1">NUMBERSTRING(INT(H118*10000),2)&amp;"元整"</f>
        <v>肆亿零柒佰陆拾壹万元整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17" t="s">
        <v>1036</v>
      </c>
      <c r="B121" s="3318"/>
      <c r="C121" s="3319"/>
      <c r="D121" s="3317" t="str">
        <f>IF(D120=0,"零元整",NUMBERSTRING(INT(D120*10000),2)&amp;"元整")</f>
        <v>零元整</v>
      </c>
      <c r="E121" s="3318"/>
      <c r="F121" s="3318"/>
      <c r="G121" s="3318"/>
      <c r="H121" s="3318"/>
      <c r="I121" s="3319"/>
      <c r="AA121" s="901"/>
    </row>
    <row r="122" spans="1:27" ht="18.75" customHeight="1">
      <c r="A122" s="3312" t="str">
        <f>IF(项目基本情况!B9="房地产市场价值","",MID(E107,3,LEN(E107)-2))</f>
        <v>房地产抵押价值</v>
      </c>
      <c r="B122" s="3312"/>
      <c r="C122" s="3312"/>
      <c r="D122" s="3313">
        <f ca="1">H107</f>
        <v>40761</v>
      </c>
      <c r="E122" s="3314"/>
      <c r="F122" s="3314"/>
      <c r="G122" s="3314"/>
      <c r="H122" s="3314"/>
      <c r="I122" s="3315"/>
      <c r="AA122" s="901"/>
    </row>
    <row r="123" spans="1:27" ht="18.75" customHeight="1">
      <c r="A123" s="3316" t="s">
        <v>1036</v>
      </c>
      <c r="B123" s="3316"/>
      <c r="C123" s="3316"/>
      <c r="D123" s="3317" t="str">
        <f ca="1">NUMBERSTRING(INT(D122*10000),2)&amp;"元整"</f>
        <v>肆亿零柒佰陆拾壹万元整</v>
      </c>
      <c r="E123" s="3318"/>
      <c r="F123" s="3318"/>
      <c r="G123" s="3318"/>
      <c r="H123" s="3318"/>
      <c r="I123" s="3319"/>
      <c r="AA123" s="901"/>
    </row>
    <row r="124" spans="1:27" ht="18.75" customHeight="1">
      <c r="A124" s="3312" t="str">
        <f>IF(项目基本情况!B9="房地产市场价值","",MID(E109,3,LEN(E109)-2))</f>
        <v/>
      </c>
      <c r="B124" s="3312"/>
      <c r="C124" s="3312"/>
      <c r="D124" s="3313" t="str">
        <f>H109</f>
        <v>——</v>
      </c>
      <c r="E124" s="3314"/>
      <c r="F124" s="3314"/>
      <c r="G124" s="3314"/>
      <c r="H124" s="3314"/>
      <c r="I124" s="3315"/>
      <c r="AA124" s="901"/>
    </row>
    <row r="125" spans="1:27" ht="18.75" customHeight="1">
      <c r="A125" s="3316" t="s">
        <v>1036</v>
      </c>
      <c r="B125" s="3316"/>
      <c r="C125" s="3316"/>
      <c r="D125" s="3317" t="e">
        <f>NUMBERSTRING(INT(D124*10000),2)&amp;"元整"</f>
        <v>#VALUE!</v>
      </c>
      <c r="E125" s="3318"/>
      <c r="F125" s="3318"/>
      <c r="G125" s="3318"/>
      <c r="H125" s="3318"/>
      <c r="I125" s="3319"/>
      <c r="AA125" s="901"/>
    </row>
    <row r="126" spans="1:27" ht="18.75" customHeight="1">
      <c r="A126" s="3312" t="str">
        <f>IF(项目基本情况!B9="房地产市场价值","",MID(E111,3,LEN(E111)-2))</f>
        <v/>
      </c>
      <c r="B126" s="3312"/>
      <c r="C126" s="3312"/>
      <c r="D126" s="3313" t="str">
        <f>H111</f>
        <v>——</v>
      </c>
      <c r="E126" s="3314"/>
      <c r="F126" s="3314"/>
      <c r="G126" s="3314"/>
      <c r="H126" s="3314"/>
      <c r="I126" s="3315"/>
      <c r="AA126" s="901"/>
    </row>
    <row r="127" spans="1:27" ht="18.75" customHeight="1">
      <c r="A127" s="3316" t="s">
        <v>1036</v>
      </c>
      <c r="B127" s="3316"/>
      <c r="C127" s="3316"/>
      <c r="D127" s="3317" t="e">
        <f>NUMBERSTRING(INT(D126*10000),2)&amp;"元整"</f>
        <v>#VALUE!</v>
      </c>
      <c r="E127" s="3318"/>
      <c r="F127" s="3318"/>
      <c r="G127" s="3318"/>
      <c r="H127" s="3318"/>
      <c r="I127" s="3319"/>
      <c r="AA127" s="901"/>
    </row>
    <row r="128" spans="1:27" ht="21.75" customHeight="1">
      <c r="A128" s="3346" t="s">
        <v>113</v>
      </c>
      <c r="B128" s="3346"/>
      <c r="C128" s="3346"/>
      <c r="D128" s="3346"/>
      <c r="E128" s="3346"/>
      <c r="F128" s="3346"/>
      <c r="G128" s="3346"/>
      <c r="H128" s="3346"/>
      <c r="I128" s="3346"/>
      <c r="AA128" s="901"/>
    </row>
    <row r="129" spans="1:35" ht="21.75" customHeight="1">
      <c r="A129" s="2474" t="s">
        <v>1037</v>
      </c>
      <c r="B129" s="2475"/>
      <c r="C129" s="2476" t="s">
        <v>1038</v>
      </c>
      <c r="D129" s="2477"/>
      <c r="E129" s="2477"/>
      <c r="F129" s="2477"/>
      <c r="G129" s="2477"/>
      <c r="H129" s="2478"/>
      <c r="I129" s="2479"/>
      <c r="AA129" s="901"/>
    </row>
    <row r="130" spans="1:35" ht="21.75" customHeight="1">
      <c r="A130" s="2480">
        <v>1</v>
      </c>
      <c r="B130" s="2481"/>
      <c r="C130" s="2481"/>
      <c r="D130" s="1001"/>
      <c r="E130" s="1001"/>
      <c r="F130" s="1001"/>
      <c r="G130" s="1001"/>
      <c r="H130" s="936"/>
      <c r="I130" s="2482"/>
      <c r="AA130" s="901"/>
    </row>
    <row r="131" spans="1:35" ht="21.75" customHeight="1">
      <c r="A131" s="2480">
        <v>2</v>
      </c>
      <c r="B131" s="2481"/>
      <c r="C131" s="2481"/>
      <c r="D131" s="1001"/>
      <c r="E131" s="1001"/>
      <c r="F131" s="1001"/>
      <c r="G131" s="1001"/>
      <c r="H131" s="936"/>
      <c r="I131" s="2482"/>
      <c r="AA131" s="901"/>
    </row>
    <row r="132" spans="1:35" ht="21.75" customHeight="1">
      <c r="A132" s="2480">
        <v>3</v>
      </c>
      <c r="B132" s="2481"/>
      <c r="C132" s="2481"/>
      <c r="D132" s="1001"/>
      <c r="E132" s="1001"/>
      <c r="F132" s="1001"/>
      <c r="G132" s="1001"/>
      <c r="H132" s="936"/>
      <c r="I132" s="2482"/>
      <c r="AA132" s="901"/>
    </row>
    <row r="133" spans="1:35" ht="21.75" customHeight="1">
      <c r="A133" s="2483"/>
      <c r="B133" s="2484"/>
      <c r="C133" s="2484"/>
      <c r="D133" s="2485"/>
      <c r="E133" s="2485"/>
      <c r="F133" s="2485"/>
      <c r="G133" s="2485"/>
      <c r="H133" s="2486"/>
      <c r="I133" s="2487"/>
    </row>
    <row r="134" spans="1:35" ht="21.75" customHeight="1">
      <c r="A134" s="2481"/>
      <c r="B134" s="2481"/>
      <c r="C134" s="2481"/>
      <c r="D134" s="1001"/>
      <c r="E134" s="1001"/>
      <c r="F134" s="1001"/>
      <c r="G134" s="1001"/>
      <c r="H134" s="936"/>
      <c r="I134" s="901"/>
    </row>
    <row r="135" spans="1:35" ht="21.75" customHeight="1">
      <c r="A135" s="901"/>
      <c r="B135" s="901"/>
      <c r="C135" s="901"/>
      <c r="D135" s="901"/>
      <c r="E135" s="901"/>
      <c r="F135" s="2488" t="s">
        <v>1039</v>
      </c>
      <c r="G135" s="2489"/>
      <c r="H135" s="2489"/>
      <c r="I135" s="2490" t="s">
        <v>1040</v>
      </c>
    </row>
    <row r="136" spans="1:35" ht="21.75" customHeight="1">
      <c r="A136" s="901"/>
      <c r="B136" s="2491" t="s">
        <v>1041</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9"/>
      <c r="C138" s="2489"/>
      <c r="D138" s="2489"/>
      <c r="E138" s="2489"/>
      <c r="F138" s="2489"/>
      <c r="G138" s="2489"/>
      <c r="H138" s="2489"/>
      <c r="I138" s="2490" t="s">
        <v>1042</v>
      </c>
    </row>
    <row r="139" spans="1:35" ht="21.75" customHeight="1">
      <c r="A139" s="901"/>
      <c r="B139" s="2491" t="s">
        <v>1043</v>
      </c>
      <c r="C139" s="901"/>
      <c r="D139" s="901"/>
      <c r="E139" s="901"/>
      <c r="F139" s="901"/>
      <c r="G139" s="901"/>
      <c r="H139" s="901"/>
      <c r="I139" s="901"/>
    </row>
    <row r="140" spans="1:35" ht="21.75" customHeight="1">
      <c r="A140" s="901"/>
      <c r="B140" s="2491"/>
      <c r="C140" s="901"/>
      <c r="D140" s="901"/>
      <c r="E140" s="901"/>
      <c r="F140" s="901"/>
      <c r="G140" s="901"/>
      <c r="H140" s="901"/>
      <c r="I140" s="901"/>
    </row>
    <row r="141" spans="1:35" ht="21.75" customHeight="1">
      <c r="A141" s="901"/>
      <c r="B141" s="2489"/>
      <c r="C141" s="2489"/>
      <c r="D141" s="2489"/>
      <c r="E141" s="2489"/>
      <c r="F141" s="2489"/>
      <c r="G141" s="2489"/>
      <c r="H141" s="2489"/>
      <c r="I141" s="2490" t="s">
        <v>1042</v>
      </c>
    </row>
    <row r="142" spans="1:35" ht="21.75" customHeight="1">
      <c r="A142" s="901"/>
      <c r="B142" s="2491"/>
      <c r="C142" s="2492"/>
      <c r="D142" s="2493"/>
      <c r="E142" s="2493"/>
      <c r="F142" s="2494"/>
      <c r="G142" s="901"/>
      <c r="H142" s="901"/>
      <c r="I142" s="901"/>
    </row>
    <row r="143" spans="1:35" s="900" customFormat="1" ht="21.75" customHeight="1">
      <c r="A143" s="901"/>
      <c r="B143" s="2491"/>
      <c r="C143" s="2492"/>
      <c r="D143" s="2493"/>
      <c r="E143" s="2493"/>
      <c r="F143" s="2494"/>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8"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8"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8"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8"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8"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8"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8"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8"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8"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8"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8"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8"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8"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8"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8"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8"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8"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8"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8"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8"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8"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8"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8"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8"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8"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8"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8"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8"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8"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8"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8"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8"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8"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8"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8"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8"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8"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8"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8"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8"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8"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8"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8"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8"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8"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8"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8"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8"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8"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8"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8"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8"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8"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8"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8"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8"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8"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8"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8"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8"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8"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8"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8"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8"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8"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8"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8"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8"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8"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8"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8"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8"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8"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8"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8"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8"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8"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8"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8"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8"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8"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8"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8"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8"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8"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8"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8"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8"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8"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8"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8"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8"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8"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8"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8"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8"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8"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8"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8"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8"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8"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8"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8"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8"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1044</v>
      </c>
      <c r="B1" s="2215"/>
      <c r="C1" s="343"/>
      <c r="D1" s="343"/>
      <c r="E1" s="343"/>
      <c r="F1" s="343"/>
      <c r="G1" s="2217">
        <f>MATCH(B1,'数据-取费表'!A6:A16,0)+5</f>
        <v>9</v>
      </c>
    </row>
    <row r="2" spans="1:9" s="333" customFormat="1" ht="18" customHeight="1">
      <c r="A2" s="345" t="s">
        <v>1045</v>
      </c>
      <c r="B2" s="346">
        <f ca="1">IF(D2="——",C52,C52-E2)</f>
        <v>32679</v>
      </c>
      <c r="C2" s="344" t="s">
        <v>1046</v>
      </c>
      <c r="D2" s="2219" t="s">
        <v>124</v>
      </c>
      <c r="E2" s="2220" t="e">
        <f ca="1">SUMIF(INDIRECT("'"&amp;G2&amp;"'"&amp;"!A:A"),"承租人权益价值",INDIRECT("'"&amp;G2&amp;"'"&amp;"!c:c"))</f>
        <v>#REF!</v>
      </c>
      <c r="F2" s="2221" t="s">
        <v>1046</v>
      </c>
      <c r="G2" s="2222"/>
    </row>
    <row r="3" spans="1:9" s="333" customFormat="1" ht="18" customHeight="1">
      <c r="A3" s="348" t="s">
        <v>1047</v>
      </c>
      <c r="B3" s="349">
        <f ca="1">ROUND(B2*10000/(IF(B1="",'数据-汇总表'!E3,INDIRECT("'数据-取费表'!k"&amp;$G$1))),0)</f>
        <v>6460</v>
      </c>
      <c r="C3" s="344" t="s">
        <v>1048</v>
      </c>
      <c r="D3" s="344"/>
      <c r="E3" s="344"/>
      <c r="F3" s="344"/>
      <c r="G3" s="344"/>
    </row>
    <row r="4" spans="1:9" s="334" customFormat="1" ht="15.75">
      <c r="A4" s="350" t="s">
        <v>1049</v>
      </c>
      <c r="B4" s="351"/>
      <c r="C4" s="351"/>
      <c r="D4" s="351"/>
      <c r="E4" s="351"/>
      <c r="F4" s="351"/>
      <c r="G4" s="352"/>
    </row>
    <row r="5" spans="1:9" s="335" customFormat="1" ht="13.5" customHeight="1">
      <c r="A5" s="353" t="s">
        <v>1050</v>
      </c>
      <c r="B5" s="354" t="s">
        <v>1051</v>
      </c>
      <c r="C5" s="355">
        <f ca="1">C6+C7+C8</f>
        <v>1012</v>
      </c>
      <c r="D5" s="355" t="s">
        <v>1052</v>
      </c>
      <c r="E5" s="356" t="s">
        <v>1053</v>
      </c>
      <c r="F5" s="356" t="s">
        <v>950</v>
      </c>
      <c r="G5" s="357"/>
    </row>
    <row r="6" spans="1:9" s="335" customFormat="1" ht="13.5" customHeight="1">
      <c r="A6" s="358" t="s">
        <v>1054</v>
      </c>
      <c r="B6" s="359" t="s">
        <v>1055</v>
      </c>
      <c r="C6" s="360"/>
      <c r="D6" s="361"/>
      <c r="E6" s="362"/>
      <c r="F6" s="362"/>
      <c r="G6" s="363"/>
    </row>
    <row r="7" spans="1:9" s="335" customFormat="1" ht="13.5" customHeight="1">
      <c r="A7" s="358" t="s">
        <v>1056</v>
      </c>
      <c r="B7" s="359" t="s">
        <v>1057</v>
      </c>
      <c r="C7" s="364">
        <f>ROUND(C6*F7,0)</f>
        <v>0</v>
      </c>
      <c r="D7" s="364"/>
      <c r="E7" s="362"/>
      <c r="F7" s="365">
        <f>IF(项目基本情况!B8="出让",0,'数据-取费表'!B48+'数据-取费表'!B49)</f>
        <v>3.0499999999999999E-2</v>
      </c>
      <c r="G7" s="363"/>
    </row>
    <row r="8" spans="1:9" s="336" customFormat="1">
      <c r="A8" s="358" t="s">
        <v>1058</v>
      </c>
      <c r="B8" s="359" t="s">
        <v>1059</v>
      </c>
      <c r="C8" s="364">
        <f ca="1">IF(G8="已包含在土地购买价格中","0",IF(B1="",'数据-取费表'!B29,IF(G9="全部缴纳",C9+C10,H9)))</f>
        <v>1012</v>
      </c>
      <c r="D8" s="366"/>
      <c r="E8" s="364"/>
      <c r="F8" s="365"/>
      <c r="G8" s="2223"/>
    </row>
    <row r="9" spans="1:9" s="335" customFormat="1" ht="13.5" customHeight="1">
      <c r="A9" s="368" t="s">
        <v>1060</v>
      </c>
      <c r="B9" s="369" t="s">
        <v>1061</v>
      </c>
      <c r="C9" s="370">
        <f ca="1">ROUND(D9*E9/10000,0)</f>
        <v>0</v>
      </c>
      <c r="D9" s="371">
        <f ca="1">IF(B1="",'数据-汇总表'!E5,IF(INDIRECT("'数据-取费表'!c"&amp;$G$1)="住宅",INDIRECT("'数据-取费表'!k"&amp;$G$1),0))</f>
        <v>0</v>
      </c>
      <c r="E9" s="370">
        <f>'数据-取费表'!B27</f>
        <v>0</v>
      </c>
      <c r="F9" s="365"/>
      <c r="G9" s="2224"/>
      <c r="H9" s="2225"/>
      <c r="I9" s="2226" t="s">
        <v>1062</v>
      </c>
    </row>
    <row r="10" spans="1:9" s="335" customFormat="1" ht="13.5" customHeight="1">
      <c r="A10" s="368" t="s">
        <v>1063</v>
      </c>
      <c r="B10" s="369" t="s">
        <v>1064</v>
      </c>
      <c r="C10" s="370">
        <f ca="1">ROUND(D10*E10/10000,0)</f>
        <v>1012</v>
      </c>
      <c r="D10" s="371">
        <f ca="1">IF(B1="",'数据-汇总表'!E6,IF(INDIRECT("'数据-取费表'!c"&amp;$G$1)="住宅",INDIRECT("'数据-取费表'!s"&amp;$G$1),INDIRECT("'数据-取费表'!k"&amp;$G$1)+INDIRECT("'数据-取费表'!s"&amp;$G$1)))</f>
        <v>50585.8</v>
      </c>
      <c r="E10" s="370">
        <f>'数据-取费表'!B28</f>
        <v>200</v>
      </c>
      <c r="F10" s="365"/>
      <c r="G10" s="372"/>
    </row>
    <row r="11" spans="1:9" s="335" customFormat="1" ht="13.5" hidden="1" customHeight="1">
      <c r="A11" s="373" t="s">
        <v>1065</v>
      </c>
      <c r="B11" s="359" t="s">
        <v>1066</v>
      </c>
      <c r="C11" s="355"/>
      <c r="D11" s="362"/>
      <c r="E11" s="362"/>
      <c r="F11" s="362"/>
      <c r="G11" s="363"/>
    </row>
    <row r="12" spans="1:9" s="335" customFormat="1" ht="13.5" hidden="1" customHeight="1">
      <c r="A12" s="373" t="s">
        <v>1067</v>
      </c>
      <c r="B12" s="359" t="s">
        <v>986</v>
      </c>
      <c r="C12" s="355">
        <v>0</v>
      </c>
      <c r="D12" s="362"/>
      <c r="E12" s="374"/>
      <c r="F12" s="365">
        <v>3.0499999999999999E-2</v>
      </c>
      <c r="G12" s="363"/>
    </row>
    <row r="13" spans="1:9" s="335" customFormat="1" ht="13.5" hidden="1" customHeight="1">
      <c r="A13" s="373" t="s">
        <v>1068</v>
      </c>
      <c r="B13" s="359" t="s">
        <v>1069</v>
      </c>
      <c r="C13" s="355"/>
      <c r="D13" s="362"/>
      <c r="E13" s="362"/>
      <c r="F13" s="362"/>
      <c r="G13" s="363"/>
    </row>
    <row r="14" spans="1:9" s="335" customFormat="1" ht="13.5" hidden="1" customHeight="1">
      <c r="A14" s="373" t="s">
        <v>1070</v>
      </c>
      <c r="B14" s="359" t="s">
        <v>1059</v>
      </c>
      <c r="C14" s="355"/>
      <c r="D14" s="362"/>
      <c r="E14" s="362"/>
      <c r="F14" s="362"/>
      <c r="G14" s="363" t="s">
        <v>1071</v>
      </c>
    </row>
    <row r="15" spans="1:9" s="335" customFormat="1" ht="13.5" hidden="1" customHeight="1">
      <c r="A15" s="373" t="s">
        <v>1072</v>
      </c>
      <c r="B15" s="359" t="s">
        <v>1073</v>
      </c>
      <c r="C15" s="364"/>
      <c r="D15" s="362"/>
      <c r="E15" s="362"/>
      <c r="F15" s="362"/>
      <c r="G15" s="363" t="s">
        <v>1074</v>
      </c>
    </row>
    <row r="16" spans="1:9"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IF(G19="已包含在土地取得成本中","0",ROUND(D19*E19/10000,0))</f>
        <v>1012</v>
      </c>
      <c r="D19" s="356">
        <f ca="1">D9+D10</f>
        <v>50585.8</v>
      </c>
      <c r="E19" s="355">
        <f>'数据-取费表'!B31</f>
        <v>200</v>
      </c>
      <c r="F19" s="377"/>
      <c r="G19" s="2223"/>
    </row>
    <row r="20" spans="1:7" s="335" customFormat="1" ht="13.5" customHeight="1">
      <c r="A20" s="353" t="s">
        <v>1083</v>
      </c>
      <c r="B20" s="354" t="s">
        <v>1084</v>
      </c>
      <c r="C20" s="378">
        <f ca="1">ROUND((C5+C19)*F20,0)</f>
        <v>40</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84">
        <f ca="1">ROUND(SUM(C23:C25),0)</f>
        <v>129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7">
        <f ca="1">ROUND(IF('数据-取费表'!B22&lt;=1,C5*F22*'数据-取费表'!B23,C5*(POWER((1+F22),'数据-取费表'!B23)-1)),0)</f>
        <v>64</v>
      </c>
      <c r="D23" s="388"/>
      <c r="E23" s="388"/>
      <c r="F23" s="389"/>
      <c r="G23" s="390" t="s">
        <v>1093</v>
      </c>
    </row>
    <row r="24" spans="1:7" s="335" customFormat="1" ht="13.5" customHeight="1">
      <c r="A24" s="386" t="s">
        <v>1056</v>
      </c>
      <c r="B24" s="359" t="s">
        <v>1094</v>
      </c>
      <c r="C24" s="387">
        <f ca="1">ROUND(IF('数据-取费表'!B22&lt;=1,C19*F22*('数据-取费表'!B19/2+'数据-取费表'!B21),C19*(POWER((1+F22),('数据-取费表'!B19/2+'数据-取费表'!B21))-1)),0)</f>
        <v>64</v>
      </c>
      <c r="D24" s="388"/>
      <c r="E24" s="388"/>
      <c r="F24" s="389"/>
      <c r="G24" s="390" t="s">
        <v>1095</v>
      </c>
    </row>
    <row r="25" spans="1:7" s="335" customFormat="1" ht="24">
      <c r="A25" s="386" t="s">
        <v>1058</v>
      </c>
      <c r="B25" s="359" t="s">
        <v>1096</v>
      </c>
      <c r="C25" s="387">
        <f ca="1">ROUND(IF('数据-取费表'!B22&lt;=1,C20*F22*'数据-取费表'!B23/2,C20*(POWER((1+F22),'数据-取费表'!B23/2)-1)),0)</f>
        <v>1</v>
      </c>
      <c r="D25" s="388"/>
      <c r="E25" s="391"/>
      <c r="F25" s="389"/>
      <c r="G25" s="392" t="s">
        <v>1097</v>
      </c>
    </row>
    <row r="26" spans="1:7" s="335" customFormat="1">
      <c r="A26" s="386" t="s">
        <v>1098</v>
      </c>
      <c r="B26" s="359" t="s">
        <v>1099</v>
      </c>
      <c r="C26" s="388">
        <f ca="1">ROUND(IF('数据-取费表'!B22&lt;=1,F21*F22*'数据-取费表'!B23/2,F21*(POWER((1+F22),'数据-取费表'!B23/2)-1)),4)</f>
        <v>5.9999999999999995E-4</v>
      </c>
      <c r="D26" s="388"/>
      <c r="E26" s="391"/>
      <c r="F26" s="389"/>
      <c r="G26" s="393"/>
    </row>
    <row r="27" spans="1:7" s="335" customFormat="1" ht="24.75">
      <c r="A27" s="353" t="s">
        <v>1100</v>
      </c>
      <c r="B27" s="394" t="s">
        <v>1101</v>
      </c>
      <c r="C27" s="395">
        <f ca="1">C28</f>
        <v>372</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ROUND((C5+C19+C20)*F27*'数据-取费表'!B21/'数据-取费表'!B20,0)</f>
        <v>372</v>
      </c>
      <c r="D28" s="381"/>
      <c r="E28" s="382"/>
      <c r="F28" s="396"/>
      <c r="G28" s="397"/>
    </row>
    <row r="29" spans="1:7" s="335" customFormat="1" ht="13.5" customHeight="1">
      <c r="A29" s="386" t="s">
        <v>1056</v>
      </c>
      <c r="B29" s="398" t="s">
        <v>1104</v>
      </c>
      <c r="C29" s="388">
        <f ca="1">ROUND(C21*F27*'数据-取费表'!B21/'数据-取费表'!B20,4)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v>
      </c>
      <c r="D31" s="401"/>
      <c r="E31" s="355"/>
      <c r="F31" s="402"/>
      <c r="G31" s="383" t="s">
        <v>1109</v>
      </c>
    </row>
    <row r="32" spans="1:7" s="334" customFormat="1" ht="15.75">
      <c r="A32" s="403" t="s">
        <v>1110</v>
      </c>
      <c r="B32" s="404"/>
      <c r="C32" s="404"/>
      <c r="D32" s="404"/>
      <c r="E32" s="404"/>
      <c r="F32" s="404"/>
      <c r="G32" s="405"/>
    </row>
    <row r="33" spans="1:7" s="335" customFormat="1" ht="13.5" customHeight="1">
      <c r="A33" s="353" t="s">
        <v>1050</v>
      </c>
      <c r="B33" s="354" t="s">
        <v>1111</v>
      </c>
      <c r="C33" s="406">
        <f ca="1">SUM(C34:C38)</f>
        <v>25368</v>
      </c>
      <c r="D33" s="378"/>
      <c r="E33" s="356"/>
      <c r="F33" s="391"/>
      <c r="G33" s="383"/>
    </row>
    <row r="34" spans="1:7" s="337" customFormat="1" ht="13.5" customHeight="1">
      <c r="A34" s="386" t="s">
        <v>1054</v>
      </c>
      <c r="B34" s="359" t="s">
        <v>1112</v>
      </c>
      <c r="C34" s="364">
        <f ca="1">IF(B1="",IF(F34=100%,'数据-取费表'!M16,'数据-取费表'!O16),IF(F34=100%,INDIRECT("'数据-取费表'!m"&amp;$G$1)+INDIRECT("'数据-取费表'!t"&amp;$G$1),INDIRECT("'数据-取费表'!o"&amp;$G$1)+INDIRECT("'数据-取费表'!aq"&amp;$G$1)))</f>
        <v>22763</v>
      </c>
      <c r="D34" s="361"/>
      <c r="E34" s="364"/>
      <c r="F34" s="407">
        <f ca="1">IF('数据-取费表'!B24=0,1,IF(B1="",'数据-取费表'!N16,INDIRECT("'数据-取费表'!n"&amp;$G$1)))</f>
        <v>1</v>
      </c>
      <c r="G34" s="363" t="s">
        <v>1113</v>
      </c>
    </row>
    <row r="35" spans="1:7" ht="13.5" customHeight="1">
      <c r="A35" s="386" t="s">
        <v>1056</v>
      </c>
      <c r="B35" s="359" t="s">
        <v>1114</v>
      </c>
      <c r="C35" s="364">
        <f ca="1">ROUND(C34*F35,0)</f>
        <v>1138</v>
      </c>
      <c r="D35" s="364"/>
      <c r="E35" s="364"/>
      <c r="F35" s="408">
        <f>'数据-取费表'!B33</f>
        <v>0.05</v>
      </c>
      <c r="G35" s="363" t="s">
        <v>1115</v>
      </c>
    </row>
    <row r="36" spans="1:7" ht="24">
      <c r="A36" s="386" t="s">
        <v>1058</v>
      </c>
      <c r="B36" s="359" t="s">
        <v>1116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1117</v>
      </c>
    </row>
    <row r="37" spans="1:7" s="337" customFormat="1" ht="13.5" customHeight="1">
      <c r="A37" s="386" t="s">
        <v>1098</v>
      </c>
      <c r="B37" s="359" t="s">
        <v>1118</v>
      </c>
      <c r="C37" s="399">
        <f ca="1">ROUND(E37*D37*F34/10000,0)</f>
        <v>1012</v>
      </c>
      <c r="D37" s="361">
        <f ca="1">D19</f>
        <v>50585.8</v>
      </c>
      <c r="E37" s="399">
        <f>'数据-取费表'!B35</f>
        <v>200</v>
      </c>
      <c r="F37" s="408"/>
      <c r="G37" s="410" t="s">
        <v>1119</v>
      </c>
    </row>
    <row r="38" spans="1:7" ht="13.5" customHeight="1">
      <c r="A38" s="386" t="s">
        <v>1120</v>
      </c>
      <c r="B38" s="359" t="s">
        <v>986</v>
      </c>
      <c r="C38" s="364">
        <f ca="1">ROUND(C34*F38,0)</f>
        <v>455</v>
      </c>
      <c r="D38" s="364"/>
      <c r="E38" s="364"/>
      <c r="F38" s="408">
        <f>'数据-取费表'!B36</f>
        <v>0.02</v>
      </c>
      <c r="G38" s="363" t="s">
        <v>1115</v>
      </c>
    </row>
    <row r="39" spans="1:7" s="335" customFormat="1" ht="13.5" customHeight="1">
      <c r="A39" s="353" t="s">
        <v>1081</v>
      </c>
      <c r="B39" s="354" t="s">
        <v>1084</v>
      </c>
      <c r="C39" s="378">
        <f ca="1">ROUND(C33*F20,0)</f>
        <v>507</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810</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ROUND(IF('数据-取费表'!B22&lt;=1,C33*F22*'数据-取费表'!B21/2,C33*(POWER((1+F22),'数据-取费表'!B21/2)-1)),0)</f>
        <v>794</v>
      </c>
      <c r="D42" s="388"/>
      <c r="E42" s="388"/>
      <c r="F42" s="389"/>
      <c r="G42" s="3360" t="s">
        <v>1124</v>
      </c>
    </row>
    <row r="43" spans="1:7" ht="13.5" customHeight="1">
      <c r="A43" s="386" t="s">
        <v>1056</v>
      </c>
      <c r="B43" s="359" t="s">
        <v>1094</v>
      </c>
      <c r="C43" s="388">
        <f ca="1">ROUND(IF('数据-取费表'!B22&lt;=1,C39*F22*'数据-取费表'!B21/2,C39*(POWER((1+F22),'数据-取费表'!B21/2)-1)),0)</f>
        <v>16</v>
      </c>
      <c r="D43" s="388"/>
      <c r="E43" s="388"/>
      <c r="F43" s="389"/>
      <c r="G43" s="3361"/>
    </row>
    <row r="44" spans="1:7" ht="13.5" customHeight="1">
      <c r="A44" s="386" t="s">
        <v>1058</v>
      </c>
      <c r="B44" s="359" t="s">
        <v>1096</v>
      </c>
      <c r="C44" s="388">
        <f ca="1">ROUND(IF('数据-取费表'!B22&lt;=1,C40*F22*'数据-取费表'!B21/2,C40*(POWER((1+F22),'数据-取费表'!B21/2)-1)),4)</f>
        <v>5.9999999999999995E-4</v>
      </c>
      <c r="D44" s="388"/>
      <c r="E44" s="388"/>
      <c r="F44" s="389"/>
      <c r="G44" s="3362"/>
    </row>
    <row r="45" spans="1:7" s="335" customFormat="1" ht="13.5" customHeight="1">
      <c r="A45" s="353" t="s">
        <v>1090</v>
      </c>
      <c r="B45" s="394" t="s">
        <v>1101</v>
      </c>
      <c r="C45" s="395">
        <f ca="1">C46</f>
        <v>4658</v>
      </c>
      <c r="D45" s="381">
        <f ca="1">C47</f>
        <v>3.5999999999999999E-3</v>
      </c>
      <c r="E45" s="382" t="s">
        <v>1122</v>
      </c>
      <c r="F45" s="396">
        <f ca="1">F27</f>
        <v>0.18</v>
      </c>
      <c r="G45" s="397" t="s">
        <v>1125</v>
      </c>
    </row>
    <row r="46" spans="1:7" s="335" customFormat="1" ht="13.5" customHeight="1">
      <c r="A46" s="386" t="s">
        <v>1054</v>
      </c>
      <c r="B46" s="398" t="s">
        <v>1126</v>
      </c>
      <c r="C46" s="399">
        <f ca="1">ROUND((C33+C39)*F27,0)</f>
        <v>4658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381">
        <f>ROUND(F30/(1+'数据-取费表'!C42),4)</f>
        <v>5.33E-2</v>
      </c>
      <c r="D48" s="382" t="s">
        <v>1122</v>
      </c>
      <c r="E48" s="378"/>
      <c r="F48" s="385">
        <f>F30</f>
        <v>5.6000000000000001E-2</v>
      </c>
      <c r="G48" s="383" t="s">
        <v>1128</v>
      </c>
    </row>
    <row r="49" spans="1:7" ht="16.5" customHeight="1">
      <c r="A49" s="353" t="s">
        <v>1105</v>
      </c>
      <c r="B49" s="354" t="s">
        <v>1129</v>
      </c>
      <c r="C49" s="378">
        <f ca="1">ROUND((C33+C39+C41+C45)/(1-C40-D41-D45-C48),0)</f>
        <v>33976</v>
      </c>
      <c r="D49" s="378"/>
      <c r="E49" s="378"/>
      <c r="F49" s="413"/>
      <c r="G49" s="383" t="s">
        <v>1130</v>
      </c>
    </row>
    <row r="50" spans="1:7" s="337" customFormat="1" ht="24">
      <c r="A50" s="353" t="s">
        <v>1131</v>
      </c>
      <c r="B50" s="354" t="s">
        <v>1132</v>
      </c>
      <c r="C50" s="378"/>
      <c r="D50" s="378"/>
      <c r="E50" s="378"/>
      <c r="F50" s="413">
        <f>IF('数据-取费表'!B24=0,'数据-取费表'!N16,1)</f>
        <v>0.88</v>
      </c>
      <c r="G50" s="397" t="s">
        <v>1133</v>
      </c>
    </row>
    <row r="51" spans="1:7" ht="16.5" customHeight="1">
      <c r="A51" s="353" t="s">
        <v>1134</v>
      </c>
      <c r="B51" s="354" t="s">
        <v>1135</v>
      </c>
      <c r="C51" s="378">
        <f ca="1">ROUND(C49*F50,0)</f>
        <v>29899</v>
      </c>
      <c r="D51" s="378"/>
      <c r="E51" s="378"/>
      <c r="F51" s="413"/>
      <c r="G51" s="383" t="s">
        <v>1136</v>
      </c>
    </row>
    <row r="52" spans="1:7" s="334" customFormat="1" ht="15.75">
      <c r="A52" s="414" t="s">
        <v>1137</v>
      </c>
      <c r="B52" s="415"/>
      <c r="C52" s="416">
        <f ca="1">C31+C51</f>
        <v>32679</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1044</v>
      </c>
      <c r="B1" s="2215"/>
      <c r="C1" s="2216" t="s">
        <v>1141</v>
      </c>
      <c r="D1" s="343"/>
      <c r="E1" s="343"/>
      <c r="F1" s="343"/>
      <c r="G1" s="2217">
        <f>MATCH(B1,'数据-取费表'!A6:A16,0)+5</f>
        <v>9</v>
      </c>
      <c r="H1" s="1571" t="str">
        <f>IF(ISERROR(FIND("住宅",B1)),"非住宅","住宅")</f>
        <v>非住宅</v>
      </c>
    </row>
    <row r="2" spans="1:8" s="333" customFormat="1" ht="18" customHeight="1">
      <c r="A2" s="345" t="s">
        <v>1045</v>
      </c>
      <c r="B2" s="2218">
        <f ca="1">ROUND(IF(D2="——",C52/10000,C52/10000-E2),4)</f>
        <v>32680.596399999999</v>
      </c>
      <c r="C2" s="344" t="s">
        <v>1046</v>
      </c>
      <c r="D2" s="2219" t="s">
        <v>124</v>
      </c>
      <c r="E2" s="2220" t="e">
        <f ca="1">SUMIF(INDIRECT("'"&amp;G2&amp;"'"&amp;"!A:A"),"承租人权益价值",INDIRECT("'"&amp;G2&amp;"'"&amp;"!c:c"))</f>
        <v>#REF!</v>
      </c>
      <c r="F2" s="2221" t="s">
        <v>1046</v>
      </c>
      <c r="G2" s="2222"/>
    </row>
    <row r="3" spans="1:8" s="333" customFormat="1" ht="18" customHeight="1">
      <c r="A3" s="348" t="s">
        <v>1047</v>
      </c>
      <c r="B3" s="349">
        <f ca="1">ROUND(B2*10000/(IF(B1="",'数据-汇总表'!E3,INDIRECT("'数据-取费表'!k"&amp;$G$1))),0)</f>
        <v>6460</v>
      </c>
      <c r="C3" s="344" t="s">
        <v>1048</v>
      </c>
      <c r="D3" s="344"/>
      <c r="E3" s="344"/>
      <c r="F3" s="344"/>
      <c r="G3" s="344"/>
    </row>
    <row r="4" spans="1:8" s="334" customFormat="1" ht="15.75">
      <c r="A4" s="350" t="s">
        <v>1049</v>
      </c>
      <c r="B4" s="351"/>
      <c r="C4" s="351"/>
      <c r="D4" s="351"/>
      <c r="E4" s="351"/>
      <c r="F4" s="351"/>
      <c r="G4" s="352"/>
    </row>
    <row r="5" spans="1:8" s="335" customFormat="1" ht="13.5" customHeight="1">
      <c r="A5" s="353" t="s">
        <v>1050</v>
      </c>
      <c r="B5" s="354" t="s">
        <v>1051</v>
      </c>
      <c r="C5" s="355">
        <f ca="1">C6+C7+C8</f>
        <v>10117160</v>
      </c>
      <c r="D5" s="355" t="s">
        <v>1052</v>
      </c>
      <c r="E5" s="356" t="s">
        <v>1053</v>
      </c>
      <c r="F5" s="356" t="s">
        <v>950</v>
      </c>
      <c r="G5" s="357"/>
    </row>
    <row r="6" spans="1:8" s="335" customFormat="1" ht="13.5" customHeight="1">
      <c r="A6" s="358" t="s">
        <v>1054</v>
      </c>
      <c r="B6" s="359" t="s">
        <v>1055</v>
      </c>
      <c r="C6" s="360"/>
      <c r="D6" s="361"/>
      <c r="E6" s="362"/>
      <c r="F6" s="362"/>
      <c r="G6" s="363"/>
    </row>
    <row r="7" spans="1:8" s="335" customFormat="1" ht="13.5" customHeight="1">
      <c r="A7" s="358" t="s">
        <v>1056</v>
      </c>
      <c r="B7" s="359" t="s">
        <v>1057</v>
      </c>
      <c r="C7" s="364">
        <f>ROUND(C6*F7,0)</f>
        <v>0</v>
      </c>
      <c r="D7" s="364"/>
      <c r="E7" s="362"/>
      <c r="F7" s="365">
        <f>IF(项目基本情况!B8="出让",0,'数据-取费表'!B48+'数据-取费表'!B49)</f>
        <v>3.0499999999999999E-2</v>
      </c>
      <c r="G7" s="363"/>
    </row>
    <row r="8" spans="1:8" s="336" customFormat="1">
      <c r="A8" s="358" t="s">
        <v>1058</v>
      </c>
      <c r="B8" s="359" t="s">
        <v>1059</v>
      </c>
      <c r="C8" s="364">
        <f ca="1">IF(G8="已包含在土地购买价格中",0,C9+C10)</f>
        <v>10117160</v>
      </c>
      <c r="D8" s="366"/>
      <c r="E8" s="364"/>
      <c r="F8" s="365"/>
      <c r="G8" s="2223"/>
    </row>
    <row r="9" spans="1:8" s="335" customFormat="1" ht="13.5" customHeight="1">
      <c r="A9" s="368" t="s">
        <v>1060</v>
      </c>
      <c r="B9" s="369" t="s">
        <v>1061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1063</v>
      </c>
      <c r="B10" s="369" t="s">
        <v>1064</v>
      </c>
      <c r="C10" s="370">
        <f ca="1">ROUND(D10*E10,0)</f>
        <v>10117160</v>
      </c>
      <c r="D10" s="371">
        <f ca="1">IF(B1="",'数据-汇总表'!E6,IF(INDIRECT("'数据-取费表'!c"&amp;$G$1)="住宅",INDIRECT("'数据-取费表'!s"&amp;$G$1),INDIRECT("'数据-取费表'!k"&amp;$G$1)+INDIRECT("'数据-取费表'!s"&amp;$G$1)))</f>
        <v>50585.8</v>
      </c>
      <c r="E10" s="370">
        <f>'数据-取费表'!B28</f>
        <v>200</v>
      </c>
      <c r="F10" s="365"/>
      <c r="G10" s="372"/>
    </row>
    <row r="11" spans="1:8" s="335" customFormat="1" ht="13.5" hidden="1" customHeight="1">
      <c r="A11" s="373" t="s">
        <v>1065</v>
      </c>
      <c r="B11" s="359" t="s">
        <v>1066</v>
      </c>
      <c r="C11" s="355"/>
      <c r="D11" s="362"/>
      <c r="E11" s="362"/>
      <c r="F11" s="362"/>
      <c r="G11" s="363"/>
    </row>
    <row r="12" spans="1:8" s="335" customFormat="1" ht="13.5" hidden="1" customHeight="1">
      <c r="A12" s="373" t="s">
        <v>1067</v>
      </c>
      <c r="B12" s="359" t="s">
        <v>986</v>
      </c>
      <c r="C12" s="355">
        <v>0</v>
      </c>
      <c r="D12" s="362"/>
      <c r="E12" s="374"/>
      <c r="F12" s="365">
        <v>3.0499999999999999E-2</v>
      </c>
      <c r="G12" s="363"/>
    </row>
    <row r="13" spans="1:8" s="335" customFormat="1" ht="13.5" hidden="1" customHeight="1">
      <c r="A13" s="373" t="s">
        <v>1068</v>
      </c>
      <c r="B13" s="359" t="s">
        <v>1069</v>
      </c>
      <c r="C13" s="355"/>
      <c r="D13" s="362"/>
      <c r="E13" s="362"/>
      <c r="F13" s="362"/>
      <c r="G13" s="363"/>
    </row>
    <row r="14" spans="1:8" s="335" customFormat="1" ht="13.5" hidden="1" customHeight="1">
      <c r="A14" s="373" t="s">
        <v>1070</v>
      </c>
      <c r="B14" s="359" t="s">
        <v>1059</v>
      </c>
      <c r="C14" s="355"/>
      <c r="D14" s="362"/>
      <c r="E14" s="362"/>
      <c r="F14" s="362"/>
      <c r="G14" s="363" t="s">
        <v>1071</v>
      </c>
    </row>
    <row r="15" spans="1:8" s="335" customFormat="1" ht="13.5" hidden="1" customHeight="1">
      <c r="A15" s="373" t="s">
        <v>1072</v>
      </c>
      <c r="B15" s="359" t="s">
        <v>1073</v>
      </c>
      <c r="C15" s="364"/>
      <c r="D15" s="362"/>
      <c r="E15" s="362"/>
      <c r="F15" s="362"/>
      <c r="G15" s="363" t="s">
        <v>1074</v>
      </c>
    </row>
    <row r="16" spans="1:8"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IF(G19="已包含在土地取得成本中","0",ROUND(D19*E19,0))</f>
        <v>10117160</v>
      </c>
      <c r="D19" s="356">
        <f ca="1">D9+D10</f>
        <v>50585.8</v>
      </c>
      <c r="E19" s="355">
        <f>'数据-取费表'!B31</f>
        <v>200</v>
      </c>
      <c r="F19" s="377"/>
      <c r="G19" s="2223"/>
    </row>
    <row r="20" spans="1:7" s="335" customFormat="1" ht="13.5" customHeight="1">
      <c r="A20" s="353" t="s">
        <v>1083</v>
      </c>
      <c r="B20" s="354" t="s">
        <v>1084</v>
      </c>
      <c r="C20" s="378">
        <f ca="1">ROUND((C5+C19)*F20,0)</f>
        <v>404686</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78">
        <f ca="1">ROUND(SUM(C23:C25),0)</f>
        <v>1299159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8">
        <f ca="1">ROUND(IF('数据-取费表'!B22&lt;=1,C5*F22*'数据-取费表'!B22,C5*(POWER((1+F22),'数据-取费表'!B22)-1)),0)</f>
        <v>643246</v>
      </c>
      <c r="D23" s="388"/>
      <c r="E23" s="388"/>
      <c r="F23" s="389"/>
      <c r="G23" s="390" t="s">
        <v>1093</v>
      </c>
    </row>
    <row r="24" spans="1:7" s="335" customFormat="1" ht="13.5" customHeight="1">
      <c r="A24" s="386" t="s">
        <v>1056</v>
      </c>
      <c r="B24" s="359" t="s">
        <v>1094</v>
      </c>
      <c r="C24" s="388">
        <f ca="1">ROUND(IF('数据-取费表'!B22&lt;=1,C19*F22*('数据-取费表'!B19/2+'数据-取费表'!B20),C19*(POWER((1+F22),('数据-取费表'!B19/2+'数据-取费表'!B20))-1)),0)</f>
        <v>643246</v>
      </c>
      <c r="D24" s="388"/>
      <c r="E24" s="388"/>
      <c r="F24" s="389"/>
      <c r="G24" s="390" t="s">
        <v>1095</v>
      </c>
    </row>
    <row r="25" spans="1:7" s="335" customFormat="1" ht="24">
      <c r="A25" s="386" t="s">
        <v>1058</v>
      </c>
      <c r="B25" s="359" t="s">
        <v>1096</v>
      </c>
      <c r="C25" s="388">
        <f ca="1">ROUND(IF('数据-取费表'!B22&lt;=1,C20*F22*'数据-取费表'!B22/2,C20*(POWER((1+F22),'数据-取费表'!B22/2)-1)),0)</f>
        <v>12667</v>
      </c>
      <c r="D25" s="388"/>
      <c r="E25" s="391"/>
      <c r="F25" s="389"/>
      <c r="G25" s="392" t="s">
        <v>1097</v>
      </c>
    </row>
    <row r="26" spans="1:7" s="335" customFormat="1">
      <c r="A26" s="386" t="s">
        <v>1098</v>
      </c>
      <c r="B26" s="359" t="s">
        <v>1099</v>
      </c>
      <c r="C26" s="388">
        <f ca="1">ROUND(IF('数据-取费表'!B22&lt;=1,F21*F22*'数据-取费表'!B22/2,F21*(POWER((1+F22),'数据-取费表'!B22/2)-1)),4)</f>
        <v>5.9999999999999995E-4</v>
      </c>
      <c r="D26" s="388"/>
      <c r="E26" s="391"/>
      <c r="F26" s="389"/>
      <c r="G26" s="393"/>
    </row>
    <row r="27" spans="1:7" s="335" customFormat="1" ht="24.75">
      <c r="A27" s="353" t="s">
        <v>1100</v>
      </c>
      <c r="B27" s="394" t="s">
        <v>1101</v>
      </c>
      <c r="C27" s="395">
        <f ca="1">C28</f>
        <v>3715021</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ROUND((C5+C19+C20)*F27,0)</f>
        <v>3715021</v>
      </c>
      <c r="D28" s="381"/>
      <c r="E28" s="382"/>
      <c r="F28" s="396"/>
      <c r="G28" s="397"/>
    </row>
    <row r="29" spans="1:7" s="335" customFormat="1" ht="13.5" customHeight="1">
      <c r="A29" s="386" t="s">
        <v>1056</v>
      </c>
      <c r="B29" s="398" t="s">
        <v>1104</v>
      </c>
      <c r="C29" s="388">
        <f ca="1">ROUND(C21*F27,4)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27808332</v>
      </c>
      <c r="D31" s="401"/>
      <c r="E31" s="355"/>
      <c r="F31" s="402"/>
      <c r="G31" s="383" t="s">
        <v>1109</v>
      </c>
    </row>
    <row r="32" spans="1:7" s="334" customFormat="1" ht="15.75">
      <c r="A32" s="403" t="s">
        <v>1142</v>
      </c>
      <c r="B32" s="404"/>
      <c r="C32" s="404"/>
      <c r="D32" s="404"/>
      <c r="E32" s="404"/>
      <c r="F32" s="404"/>
      <c r="G32" s="405"/>
    </row>
    <row r="33" spans="1:7" s="335" customFormat="1" ht="13.5" customHeight="1">
      <c r="A33" s="353" t="s">
        <v>1050</v>
      </c>
      <c r="B33" s="354" t="s">
        <v>1143</v>
      </c>
      <c r="C33" s="406">
        <f ca="1">SUM(C34:C38)</f>
        <v>253687787</v>
      </c>
      <c r="D33" s="378"/>
      <c r="E33" s="356"/>
      <c r="F33" s="391"/>
      <c r="G33" s="383"/>
    </row>
    <row r="34" spans="1:7" s="337" customFormat="1" ht="13.5" customHeight="1">
      <c r="A34" s="386" t="s">
        <v>1054</v>
      </c>
      <c r="B34" s="359" t="s">
        <v>1112</v>
      </c>
      <c r="C34" s="364">
        <f ca="1">ROUND(IF(B1="",SUMPRODUCT('数据-取费表'!K6:K14,'数据-取费表'!L6:L14),INDIRECT("'数据-取费表'!l"&amp;$G$1)*INDIRECT("'数据-取费表'!k"&amp;$G$1)+'数据-取费表'!L14*INDIRECT("'数据-取费表'!S"&amp;$G$1)),0)</f>
        <v>227636100</v>
      </c>
      <c r="D34" s="361"/>
      <c r="E34" s="364"/>
      <c r="F34" s="407"/>
      <c r="G34" s="363"/>
    </row>
    <row r="35" spans="1:7" ht="13.5" customHeight="1">
      <c r="A35" s="386" t="s">
        <v>1056</v>
      </c>
      <c r="B35" s="359" t="s">
        <v>1114</v>
      </c>
      <c r="C35" s="364">
        <f ca="1">ROUND(C34*F35,0)</f>
        <v>11381805</v>
      </c>
      <c r="D35" s="364"/>
      <c r="E35" s="364"/>
      <c r="F35" s="408">
        <f>'数据-取费表'!B33</f>
        <v>0.05</v>
      </c>
      <c r="G35" s="363" t="s">
        <v>1115</v>
      </c>
    </row>
    <row r="36" spans="1:7" ht="24">
      <c r="A36" s="386" t="s">
        <v>1058</v>
      </c>
      <c r="B36" s="359" t="s">
        <v>1116</v>
      </c>
      <c r="C36" s="364">
        <f ca="1">ROUND(IF(B1="",SUM('数据-取费表'!AP6:AP13)*F36,IF(INDIRECT("'数据-取费表'!c"&amp;$G$1)="住宅",INDIRECT("'数据-取费表'!k"&amp;$G$1)*INDIRECT("'数据-取费表'!l"&amp;$G$1)*F36,0)),0)</f>
        <v>0</v>
      </c>
      <c r="D36" s="364"/>
      <c r="E36" s="364"/>
      <c r="F36" s="408">
        <f>'数据-取费表'!B34</f>
        <v>0</v>
      </c>
      <c r="G36" s="409" t="s">
        <v>1117</v>
      </c>
    </row>
    <row r="37" spans="1:7" s="337" customFormat="1" ht="13.5" customHeight="1">
      <c r="A37" s="386" t="s">
        <v>1098</v>
      </c>
      <c r="B37" s="359" t="s">
        <v>1118</v>
      </c>
      <c r="C37" s="399">
        <f ca="1">ROUND(E37*D37,0)</f>
        <v>10117160</v>
      </c>
      <c r="D37" s="361">
        <f ca="1">D19</f>
        <v>50585.8</v>
      </c>
      <c r="E37" s="399">
        <f>'数据-取费表'!B35</f>
        <v>200</v>
      </c>
      <c r="F37" s="408"/>
      <c r="G37" s="410"/>
    </row>
    <row r="38" spans="1:7" ht="13.5" customHeight="1">
      <c r="A38" s="386" t="s">
        <v>1120</v>
      </c>
      <c r="B38" s="359" t="s">
        <v>986</v>
      </c>
      <c r="C38" s="364">
        <f ca="1">ROUND(C34*F38,0)</f>
        <v>4552722</v>
      </c>
      <c r="D38" s="364"/>
      <c r="E38" s="364"/>
      <c r="F38" s="408">
        <f>'数据-取费表'!B36</f>
        <v>0.02</v>
      </c>
      <c r="G38" s="363" t="s">
        <v>1115</v>
      </c>
    </row>
    <row r="39" spans="1:7" s="335" customFormat="1" ht="13.5" customHeight="1">
      <c r="A39" s="353" t="s">
        <v>1081</v>
      </c>
      <c r="B39" s="354" t="s">
        <v>1084</v>
      </c>
      <c r="C39" s="378">
        <f ca="1">ROUND(C33*F20,0)</f>
        <v>5073756</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8099237</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ROUND(IF('数据-取费表'!B22&lt;=1,C33*F22*'数据-取费表'!B20/2,C33*(POWER((1+F22),'数据-取费表'!B20/2)-1)),0)</f>
        <v>7940428</v>
      </c>
      <c r="D42" s="388"/>
      <c r="E42" s="388"/>
      <c r="F42" s="389"/>
      <c r="G42" s="3360" t="s">
        <v>1144</v>
      </c>
    </row>
    <row r="43" spans="1:7" ht="13.5" customHeight="1">
      <c r="A43" s="386" t="s">
        <v>1056</v>
      </c>
      <c r="B43" s="359" t="s">
        <v>1094</v>
      </c>
      <c r="C43" s="388">
        <f ca="1">ROUND(IF('数据-取费表'!B22&lt;=1,C39*F22*'数据-取费表'!B20/2,C39*(POWER((1+F22),'数据-取费表'!B20/2)-1)),0)</f>
        <v>158809</v>
      </c>
      <c r="D43" s="388"/>
      <c r="E43" s="388"/>
      <c r="F43" s="389"/>
      <c r="G43" s="3361"/>
    </row>
    <row r="44" spans="1:7" ht="13.5" customHeight="1">
      <c r="A44" s="386" t="s">
        <v>1058</v>
      </c>
      <c r="B44" s="359" t="s">
        <v>1096</v>
      </c>
      <c r="C44" s="388">
        <f ca="1">ROUND(IF('数据-取费表'!B22&lt;=1,C40*F22*'数据-取费表'!B20/2,C40*(POWER((1+F22),'数据-取费表'!B20/2)-1)),4)</f>
        <v>5.9999999999999995E-4</v>
      </c>
      <c r="D44" s="388"/>
      <c r="E44" s="388"/>
      <c r="F44" s="389"/>
      <c r="G44" s="3362"/>
    </row>
    <row r="45" spans="1:7" s="335" customFormat="1" ht="13.5" customHeight="1">
      <c r="A45" s="353" t="s">
        <v>1090</v>
      </c>
      <c r="B45" s="394" t="s">
        <v>1101</v>
      </c>
      <c r="C45" s="395">
        <f ca="1">C46</f>
        <v>46577078</v>
      </c>
      <c r="D45" s="381">
        <f ca="1">C47</f>
        <v>3.5999999999999999E-3</v>
      </c>
      <c r="E45" s="382" t="s">
        <v>1122</v>
      </c>
      <c r="F45" s="396">
        <f ca="1">F27</f>
        <v>0.18</v>
      </c>
      <c r="G45" s="397" t="s">
        <v>1125</v>
      </c>
    </row>
    <row r="46" spans="1:7" s="335" customFormat="1" ht="13.5" customHeight="1">
      <c r="A46" s="386" t="s">
        <v>1054</v>
      </c>
      <c r="B46" s="398" t="s">
        <v>1126</v>
      </c>
      <c r="C46" s="399">
        <f ca="1">ROUND((C33+C39)*F27,0)</f>
        <v>46577078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411">
        <f>ROUND(F30/(1+'数据-取费表'!C42),4)</f>
        <v>5.33E-2</v>
      </c>
      <c r="D48" s="382" t="s">
        <v>1122</v>
      </c>
      <c r="E48" s="378"/>
      <c r="F48" s="385">
        <f>F30</f>
        <v>5.6000000000000001E-2</v>
      </c>
      <c r="G48" s="383" t="s">
        <v>1128</v>
      </c>
    </row>
    <row r="49" spans="1:7" ht="16.5" customHeight="1">
      <c r="A49" s="353" t="s">
        <v>1105</v>
      </c>
      <c r="B49" s="354" t="s">
        <v>1145</v>
      </c>
      <c r="C49" s="378">
        <f ca="1">ROUND((C33+C39+C41+C45)/(1-C40-D41-D45-C48),0)</f>
        <v>339770036</v>
      </c>
      <c r="D49" s="378"/>
      <c r="E49" s="378"/>
      <c r="F49" s="413"/>
      <c r="G49" s="383" t="s">
        <v>1130</v>
      </c>
    </row>
    <row r="50" spans="1:7" s="337" customFormat="1">
      <c r="A50" s="353" t="s">
        <v>1131</v>
      </c>
      <c r="B50" s="354" t="s">
        <v>1132</v>
      </c>
      <c r="C50" s="378"/>
      <c r="D50" s="378"/>
      <c r="E50" s="378"/>
      <c r="F50" s="413">
        <f>IF('数据-取费表'!B24=0,'数据-取费表'!N16,1)</f>
        <v>0.88</v>
      </c>
      <c r="G50" s="397"/>
    </row>
    <row r="51" spans="1:7" ht="16.5" customHeight="1">
      <c r="A51" s="353" t="s">
        <v>1134</v>
      </c>
      <c r="B51" s="354" t="s">
        <v>1146</v>
      </c>
      <c r="C51" s="378">
        <f ca="1">ROUND(C49*F50,0)</f>
        <v>298997632</v>
      </c>
      <c r="D51" s="378"/>
      <c r="E51" s="378"/>
      <c r="F51" s="413"/>
      <c r="G51" s="383" t="s">
        <v>1136</v>
      </c>
    </row>
    <row r="52" spans="1:7" s="334" customFormat="1" ht="15.75">
      <c r="A52" s="414" t="s">
        <v>1137</v>
      </c>
      <c r="B52" s="415"/>
      <c r="C52" s="416">
        <f ca="1">C31+C51</f>
        <v>326805964</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6" customWidth="1"/>
    <col min="2" max="2" width="25.75" style="2131" customWidth="1"/>
    <col min="3" max="3" width="10.375" style="2132" customWidth="1"/>
    <col min="4" max="4" width="9.875" style="2131" customWidth="1"/>
    <col min="5" max="5" width="9.5" style="936"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41" t="s">
        <v>1147</v>
      </c>
      <c r="B1" s="985"/>
      <c r="C1" s="2133"/>
      <c r="D1" s="2134"/>
      <c r="E1" s="2135"/>
      <c r="F1" s="2135"/>
      <c r="G1" s="2136"/>
      <c r="H1" s="2135"/>
      <c r="I1" s="2135"/>
      <c r="J1" s="2135"/>
      <c r="K1" s="2137">
        <f>MATCH(C1,'数据-取费表'!A6:A16,0)+5</f>
        <v>9</v>
      </c>
    </row>
    <row r="2" spans="1:33" ht="18" customHeight="1">
      <c r="A2" s="345" t="s">
        <v>1045</v>
      </c>
      <c r="B2" s="349">
        <f ca="1">C32</f>
        <v>0</v>
      </c>
      <c r="C2" s="2138" t="s">
        <v>1148</v>
      </c>
      <c r="D2" s="2138"/>
      <c r="E2" s="2135"/>
      <c r="F2" s="2135"/>
      <c r="G2" s="2135"/>
      <c r="H2" s="2135"/>
      <c r="I2" s="2135"/>
      <c r="J2" s="2135"/>
      <c r="K2" s="2135"/>
    </row>
    <row r="3" spans="1:33" ht="18" customHeight="1">
      <c r="A3" s="348" t="s">
        <v>1047</v>
      </c>
      <c r="B3" s="349">
        <f ca="1">ROUND(B2*10000/IF(C1="",'数据-汇总表'!E3,INDIRECT("'数据-取费表'!K"&amp;$K$1)),0)</f>
        <v>0</v>
      </c>
      <c r="C3" s="2138" t="s">
        <v>1149</v>
      </c>
      <c r="D3" s="2138"/>
      <c r="E3" s="2135"/>
      <c r="F3" s="2135"/>
      <c r="G3" s="2135"/>
      <c r="H3" s="2135"/>
      <c r="I3" s="2135"/>
      <c r="J3" s="2135"/>
      <c r="K3" s="2135"/>
    </row>
    <row r="4" spans="1:33" s="2123" customFormat="1" ht="16.5" customHeight="1">
      <c r="A4" s="2139" t="s">
        <v>1150</v>
      </c>
      <c r="B4" s="2140"/>
      <c r="C4" s="2141">
        <f>SUM(C8:K8)</f>
        <v>0</v>
      </c>
      <c r="D4" s="2140"/>
      <c r="E4" s="2140"/>
      <c r="F4" s="2140"/>
      <c r="G4" s="2140"/>
      <c r="H4" s="2140"/>
      <c r="I4" s="2140"/>
      <c r="J4" s="2140"/>
      <c r="K4" s="2142"/>
    </row>
    <row r="5" spans="1:33" s="2124" customFormat="1" ht="15">
      <c r="A5" s="2143" t="s">
        <v>1151</v>
      </c>
      <c r="B5" s="2144" t="s">
        <v>1152</v>
      </c>
      <c r="C5" s="2145"/>
      <c r="D5" s="2145"/>
      <c r="E5" s="2145"/>
      <c r="F5" s="2145"/>
      <c r="G5" s="2145"/>
      <c r="H5" s="2145"/>
      <c r="I5" s="2145"/>
      <c r="J5" s="2145"/>
      <c r="K5" s="2145"/>
      <c r="L5" s="2146"/>
      <c r="M5" s="2146"/>
      <c r="N5" s="2146"/>
      <c r="O5" s="2146"/>
      <c r="P5" s="2146"/>
      <c r="Q5" s="2146"/>
      <c r="R5" s="2146"/>
      <c r="S5" s="2146"/>
      <c r="T5" s="2146"/>
      <c r="U5" s="2146"/>
      <c r="V5" s="2146"/>
      <c r="W5" s="2146"/>
      <c r="X5" s="2146"/>
      <c r="Y5" s="2146"/>
      <c r="Z5" s="2146"/>
      <c r="AA5" s="2146"/>
      <c r="AB5" s="2146"/>
      <c r="AC5" s="2146"/>
      <c r="AD5" s="2146"/>
      <c r="AE5" s="2146"/>
      <c r="AF5" s="2146"/>
      <c r="AG5" s="2146"/>
    </row>
    <row r="6" spans="1:33" s="900" customFormat="1" ht="13.5" customHeight="1">
      <c r="A6" s="2147" t="s">
        <v>955</v>
      </c>
      <c r="B6" s="1941" t="s">
        <v>1153</v>
      </c>
      <c r="C6" s="2148"/>
      <c r="D6" s="2148"/>
      <c r="E6" s="2148"/>
      <c r="F6" s="2148"/>
      <c r="G6" s="2148"/>
      <c r="H6" s="2148"/>
      <c r="I6" s="2148"/>
      <c r="J6" s="2148"/>
      <c r="K6" s="2149"/>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7" t="s">
        <v>959</v>
      </c>
      <c r="B7" s="1941" t="s">
        <v>508</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151">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52" t="s">
        <v>1004</v>
      </c>
      <c r="B8" s="2153" t="s">
        <v>1154</v>
      </c>
      <c r="C8" s="2154"/>
      <c r="D8" s="2154"/>
      <c r="E8" s="2154"/>
      <c r="F8" s="2155"/>
      <c r="G8" s="2155"/>
      <c r="H8" s="2155"/>
      <c r="I8" s="2155"/>
      <c r="J8" s="2155"/>
      <c r="K8" s="2156"/>
      <c r="L8" s="901"/>
      <c r="M8" s="901"/>
      <c r="N8" s="901"/>
      <c r="O8" s="901"/>
      <c r="P8" s="901"/>
      <c r="Q8" s="901"/>
      <c r="R8" s="901"/>
      <c r="S8" s="901"/>
      <c r="T8" s="901"/>
      <c r="U8" s="901"/>
      <c r="V8" s="901"/>
      <c r="W8" s="901"/>
      <c r="X8" s="901"/>
      <c r="Y8" s="901"/>
      <c r="Z8" s="901"/>
      <c r="AA8" s="901"/>
      <c r="AB8" s="901"/>
      <c r="AC8" s="901"/>
      <c r="AD8" s="901"/>
      <c r="AE8" s="901"/>
      <c r="AF8" s="901"/>
      <c r="AG8" s="901"/>
    </row>
    <row r="9" spans="1:33" s="2123" customFormat="1" ht="16.5" customHeight="1">
      <c r="A9" s="2139" t="s">
        <v>1155</v>
      </c>
      <c r="B9" s="2140"/>
      <c r="C9" s="2140"/>
      <c r="D9" s="2140"/>
      <c r="E9" s="2140"/>
      <c r="F9" s="2140"/>
      <c r="G9" s="2140"/>
      <c r="H9" s="2140"/>
      <c r="I9" s="2140"/>
      <c r="J9" s="2140"/>
      <c r="K9" s="2142"/>
    </row>
    <row r="10" spans="1:33" s="2125" customFormat="1" ht="13.5" customHeight="1">
      <c r="A10" s="2143" t="s">
        <v>1151</v>
      </c>
      <c r="B10" s="2157" t="s">
        <v>1152</v>
      </c>
      <c r="C10" s="2158" t="s">
        <v>1156</v>
      </c>
      <c r="D10" s="2159" t="s">
        <v>1157</v>
      </c>
      <c r="E10" s="2159" t="s">
        <v>1158</v>
      </c>
      <c r="F10" s="2159" t="s">
        <v>1159</v>
      </c>
      <c r="G10" s="2157"/>
      <c r="H10" s="2160"/>
      <c r="I10" s="2160"/>
      <c r="J10" s="2160"/>
      <c r="K10" s="2161"/>
    </row>
    <row r="11" spans="1:33" s="2126" customFormat="1" ht="13.5" customHeight="1">
      <c r="A11" s="2162" t="s">
        <v>1060</v>
      </c>
      <c r="B11" s="2163" t="s">
        <v>1160</v>
      </c>
      <c r="C11" s="2164">
        <f ca="1">IF(C1="",'数据-取费表'!P16,INDIRECT("'数据-取费表'!p"&amp;$K$1)+INDIRECT("'数据-取费表'!ar"&amp;$K$1))</f>
        <v>0</v>
      </c>
      <c r="D11" s="2165"/>
      <c r="E11" s="902"/>
      <c r="F11" s="2166">
        <f ca="1">1-IF('数据-取费表'!B24=0,1,IF(C1="",'数据-取费表'!N16,INDIRECT("'数据-取费表'!n"&amp;$K$1)))</f>
        <v>0</v>
      </c>
      <c r="G11" s="2157"/>
      <c r="H11" s="2160"/>
      <c r="I11" s="2160"/>
      <c r="J11" s="2160"/>
      <c r="K11" s="2161"/>
    </row>
    <row r="12" spans="1:33" s="2126" customFormat="1" ht="13.5" customHeight="1">
      <c r="A12" s="2162" t="s">
        <v>1063</v>
      </c>
      <c r="B12" s="2163" t="s">
        <v>1161</v>
      </c>
      <c r="C12" s="996">
        <f ca="1">ROUND(C11*F12,0)</f>
        <v>0</v>
      </c>
      <c r="D12" s="2165"/>
      <c r="E12" s="902"/>
      <c r="F12" s="2166">
        <f>'数据-取费表'!B33</f>
        <v>0.05</v>
      </c>
      <c r="G12" s="2157" t="s">
        <v>1162</v>
      </c>
      <c r="H12" s="2160"/>
      <c r="I12" s="2160"/>
      <c r="J12" s="2160"/>
      <c r="K12" s="2161"/>
    </row>
    <row r="13" spans="1:33" s="2126" customFormat="1" ht="13.5" customHeight="1">
      <c r="A13" s="2162" t="s">
        <v>1163</v>
      </c>
      <c r="B13" s="2163" t="s">
        <v>1164</v>
      </c>
      <c r="C13" s="996">
        <f ca="1">ROUND(IF(C1="",SUMIF('数据-取费表'!C:C,"住宅",'数据-取费表'!P:P)*F13,IF(INDIRECT("'数据-取费表'!c"&amp;$K$1)="住宅",INDIRECT("'数据-取费表'!P"&amp;$K$1)*F13,0)),0)</f>
        <v>0</v>
      </c>
      <c r="D13" s="2167"/>
      <c r="E13" s="902"/>
      <c r="F13" s="2166">
        <f>'数据-取费表'!B34</f>
        <v>0</v>
      </c>
      <c r="G13" s="2157" t="s">
        <v>1165</v>
      </c>
      <c r="H13" s="2160"/>
      <c r="I13" s="2160"/>
      <c r="J13" s="2160"/>
      <c r="K13" s="2161"/>
    </row>
    <row r="14" spans="1:33" s="2127" customFormat="1" ht="13.5" customHeight="1">
      <c r="A14" s="2162" t="s">
        <v>1166</v>
      </c>
      <c r="B14" s="2163" t="s">
        <v>1167</v>
      </c>
      <c r="C14" s="996">
        <f ca="1">ROUND(D14*E14*F11/10000,0)</f>
        <v>0</v>
      </c>
      <c r="D14" s="2167">
        <f ca="1">IF(C1="",'数据-汇总表'!E3,INDIRECT("'数据-取费表'!K"&amp;$K$1)+INDIRECT("'数据-取费表'!S"&amp;$K$1))</f>
        <v>50585.8</v>
      </c>
      <c r="E14" s="996">
        <f>'数据-取费表'!B35</f>
        <v>200</v>
      </c>
      <c r="F14" s="2168"/>
      <c r="G14" s="2157" t="s">
        <v>1168</v>
      </c>
      <c r="H14" s="2160"/>
      <c r="I14" s="2160"/>
      <c r="J14" s="2160"/>
      <c r="K14" s="2161"/>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62" t="s">
        <v>1169</v>
      </c>
      <c r="B15" s="2163" t="s">
        <v>1170</v>
      </c>
      <c r="C15" s="2169">
        <f ca="1">ROUND(C11*F15,0)</f>
        <v>0</v>
      </c>
      <c r="D15" s="2170"/>
      <c r="E15" s="2169"/>
      <c r="F15" s="2166">
        <f>'数据-取费表'!B36</f>
        <v>0.02</v>
      </c>
      <c r="G15" s="1941" t="s">
        <v>1171</v>
      </c>
      <c r="H15" s="1926"/>
      <c r="I15" s="1926"/>
      <c r="J15" s="1926"/>
      <c r="K15" s="192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62" t="s">
        <v>978</v>
      </c>
      <c r="B16" s="2163" t="s">
        <v>1172</v>
      </c>
      <c r="C16" s="2169">
        <f ca="1">SUM(C11:C15)</f>
        <v>0</v>
      </c>
      <c r="D16" s="2170"/>
      <c r="E16" s="2169"/>
      <c r="F16" s="2166"/>
      <c r="G16" s="1941"/>
      <c r="H16" s="2171"/>
      <c r="I16" s="1926"/>
      <c r="J16" s="1926"/>
      <c r="K16" s="192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62" t="s">
        <v>982</v>
      </c>
      <c r="B17" s="2163" t="s">
        <v>1173</v>
      </c>
      <c r="C17" s="996">
        <f ca="1">ROUND(D17*E17/10000,0)</f>
        <v>0</v>
      </c>
      <c r="D17" s="2167">
        <f ca="1">D14</f>
        <v>50585.8</v>
      </c>
      <c r="E17" s="996">
        <f>'数据-取费表'!B32</f>
        <v>0</v>
      </c>
      <c r="F17" s="2170"/>
      <c r="G17" s="1941" t="s">
        <v>1174</v>
      </c>
      <c r="H17" s="2171"/>
      <c r="I17" s="1926"/>
      <c r="J17" s="1926"/>
      <c r="K17" s="192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62" t="s">
        <v>1175</v>
      </c>
      <c r="B18" s="2163" t="s">
        <v>1176</v>
      </c>
      <c r="C18" s="996">
        <f ca="1">C19+C20-IF(C1="",'数据-取费表'!B29,IF(G18="已全部缴纳",C19+C20,H18))</f>
        <v>0</v>
      </c>
      <c r="D18" s="2167"/>
      <c r="E18" s="996"/>
      <c r="F18" s="2168"/>
      <c r="G18" s="2172"/>
      <c r="H18" s="2173"/>
      <c r="I18" s="2174" t="s">
        <v>1177</v>
      </c>
      <c r="J18" s="1926"/>
      <c r="K18" s="1927"/>
    </row>
    <row r="19" spans="1:33" s="2126" customFormat="1" ht="13.5" customHeight="1">
      <c r="A19" s="2162" t="s">
        <v>1060</v>
      </c>
      <c r="B19" s="2163" t="s">
        <v>495</v>
      </c>
      <c r="C19" s="996">
        <f ca="1">ROUND(D19*E19/10000,0)</f>
        <v>0</v>
      </c>
      <c r="D19" s="2167">
        <f ca="1">IF(C1="",'数据-汇总表'!E5,IF(INDIRECT("'数据-取费表'!c"&amp;$K$1)="住宅",INDIRECT("'数据-取费表'!k"&amp;$K$1),0))</f>
        <v>0</v>
      </c>
      <c r="E19" s="996">
        <f>'数据-取费表'!B27</f>
        <v>0</v>
      </c>
      <c r="F19" s="2168"/>
      <c r="G19" s="1925"/>
      <c r="H19" s="2175"/>
      <c r="I19" s="2176"/>
      <c r="J19" s="2176"/>
      <c r="K19" s="2177"/>
    </row>
    <row r="20" spans="1:33" s="2126" customFormat="1" ht="13.5" customHeight="1">
      <c r="A20" s="2162" t="s">
        <v>1063</v>
      </c>
      <c r="B20" s="2163" t="s">
        <v>1178</v>
      </c>
      <c r="C20" s="996">
        <f ca="1">ROUND(D20*E20/10000,0)</f>
        <v>1012</v>
      </c>
      <c r="D20" s="2167">
        <f ca="1">IF(C1="",'数据-汇总表'!E6,IF(INDIRECT("'数据-取费表'!c"&amp;$K$1)="住宅",INDIRECT("'数据-取费表'!s"&amp;$K$1),INDIRECT("'数据-取费表'!k"&amp;$K$1)+INDIRECT("'数据-取费表'!s"&amp;$K$1)))</f>
        <v>50585.8</v>
      </c>
      <c r="E20" s="996">
        <f>'数据-取费表'!B28</f>
        <v>200</v>
      </c>
      <c r="F20" s="2168"/>
      <c r="G20" s="1925"/>
      <c r="H20" s="2176"/>
      <c r="I20" s="2176"/>
      <c r="J20" s="2176"/>
      <c r="K20" s="2177"/>
    </row>
    <row r="21" spans="1:33" s="2126" customFormat="1" ht="13.5" customHeight="1">
      <c r="A21" s="2147" t="s">
        <v>955</v>
      </c>
      <c r="B21" s="2178" t="s">
        <v>1179</v>
      </c>
      <c r="C21" s="2179">
        <f ca="1">C16+C17+C18</f>
        <v>0</v>
      </c>
      <c r="D21" s="2180"/>
      <c r="E21" s="2181"/>
      <c r="F21" s="2181"/>
      <c r="G21" s="1941" t="s">
        <v>1180</v>
      </c>
      <c r="H21" s="1926"/>
      <c r="I21" s="1926"/>
      <c r="J21" s="1926"/>
      <c r="K21" s="1927"/>
    </row>
    <row r="22" spans="1:33" s="2126" customFormat="1" ht="13.5" customHeight="1">
      <c r="A22" s="2147" t="s">
        <v>959</v>
      </c>
      <c r="B22" s="2178" t="s">
        <v>1181</v>
      </c>
      <c r="C22" s="2179">
        <f ca="1">ROUND(C21*F22,0)</f>
        <v>0</v>
      </c>
      <c r="D22" s="2181"/>
      <c r="E22" s="2181"/>
      <c r="F22" s="2182">
        <f>'数据-取费表'!B37</f>
        <v>0.02</v>
      </c>
      <c r="G22" s="2157" t="s">
        <v>1182</v>
      </c>
      <c r="H22" s="2160"/>
      <c r="I22" s="2160"/>
      <c r="J22" s="2160"/>
      <c r="K22" s="2161"/>
    </row>
    <row r="23" spans="1:33" s="2126" customFormat="1" ht="13.5" customHeight="1">
      <c r="A23" s="2147" t="s">
        <v>1004</v>
      </c>
      <c r="B23" s="2178" t="s">
        <v>1183</v>
      </c>
      <c r="C23" s="2179">
        <f ca="1">ROUND(C4*F23*F11,0)</f>
        <v>0</v>
      </c>
      <c r="D23" s="2181"/>
      <c r="E23" s="2181"/>
      <c r="F23" s="2182">
        <f>'数据-取费表'!B38</f>
        <v>0.02</v>
      </c>
      <c r="G23" s="2157" t="s">
        <v>1184</v>
      </c>
      <c r="H23" s="2160"/>
      <c r="I23" s="2160"/>
      <c r="J23" s="2160"/>
      <c r="K23" s="2161"/>
    </row>
    <row r="24" spans="1:33" s="2126" customFormat="1" ht="13.5" customHeight="1">
      <c r="A24" s="2147" t="s">
        <v>1007</v>
      </c>
      <c r="B24" s="2178" t="s">
        <v>1185</v>
      </c>
      <c r="C24" s="2183">
        <f>ROUND(F24/(1+'数据-取费表'!C42),4)</f>
        <v>2.9000000000000001E-2</v>
      </c>
      <c r="D24" s="2181" t="s">
        <v>1186</v>
      </c>
      <c r="E24" s="2181"/>
      <c r="F24" s="2182">
        <f>IF(项目基本情况!B8="出让",0,'数据-取费表'!B48+'数据-取费表'!B49)</f>
        <v>3.0499999999999999E-2</v>
      </c>
      <c r="G24" s="2157" t="s">
        <v>1187</v>
      </c>
      <c r="H24" s="2184"/>
      <c r="I24" s="2184"/>
      <c r="J24" s="2184"/>
      <c r="K24" s="2185"/>
    </row>
    <row r="25" spans="1:33" s="2126" customFormat="1" ht="13.5" customHeight="1">
      <c r="A25" s="2147" t="s">
        <v>1011</v>
      </c>
      <c r="B25" s="2180" t="s">
        <v>1188</v>
      </c>
      <c r="C25" s="2186">
        <f ca="1">C27</f>
        <v>0</v>
      </c>
      <c r="D25" s="2183">
        <f ca="1">C26</f>
        <v>0</v>
      </c>
      <c r="E25" s="2187" t="s">
        <v>1186</v>
      </c>
      <c r="F25" s="2188">
        <f ca="1">'数据-取费表'!B40</f>
        <v>3.1300000000000001E-2</v>
      </c>
      <c r="G25" s="1941" t="str">
        <f>IF('数据-取费表'!B22&lt;=1,"单利计息。","复利计息。")&amp;"后续开发成本、管理费用及销售费用产生的利息。"</f>
        <v>复利计息。后续开发成本、管理费用及销售费用产生的利息。</v>
      </c>
      <c r="H25" s="2184"/>
      <c r="I25" s="2184"/>
      <c r="J25" s="2184"/>
      <c r="K25" s="2185"/>
    </row>
    <row r="26" spans="1:33" s="2128" customFormat="1" ht="13.5" customHeight="1">
      <c r="A26" s="2162" t="s">
        <v>978</v>
      </c>
      <c r="B26" s="2189" t="s">
        <v>1189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1926"/>
      <c r="I26" s="1926"/>
      <c r="J26" s="1926"/>
      <c r="K26" s="1927"/>
    </row>
    <row r="27" spans="1:33" s="2128" customFormat="1" ht="13.5" customHeight="1">
      <c r="A27" s="2162" t="s">
        <v>982</v>
      </c>
      <c r="B27" s="2189" t="s">
        <v>1190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1926"/>
      <c r="I27" s="1926"/>
      <c r="J27" s="1926"/>
      <c r="K27" s="1927"/>
    </row>
    <row r="28" spans="1:33" s="2129" customFormat="1" ht="13.5" customHeight="1">
      <c r="A28" s="2147" t="s">
        <v>1012</v>
      </c>
      <c r="B28" s="2196" t="s">
        <v>1191</v>
      </c>
      <c r="C28" s="2197">
        <f ca="1">C30</f>
        <v>0</v>
      </c>
      <c r="D28" s="2183">
        <f ca="1">C29</f>
        <v>0</v>
      </c>
      <c r="E28" s="2187" t="s">
        <v>1186</v>
      </c>
      <c r="F28" s="1246">
        <f ca="1">IF(C1="",'数据-取费表'!Q16,INDIRECT("'数据-取费表'!q"&amp;$K$1))</f>
        <v>0.18</v>
      </c>
      <c r="G28" s="2198"/>
      <c r="H28" s="2184"/>
      <c r="I28" s="2184"/>
      <c r="J28" s="2184"/>
      <c r="K28" s="2185"/>
    </row>
    <row r="29" spans="1:33" s="2130" customFormat="1" ht="13.5" customHeight="1">
      <c r="A29" s="2162" t="s">
        <v>978</v>
      </c>
      <c r="B29" s="2199" t="s">
        <v>1192</v>
      </c>
      <c r="C29" s="2191">
        <f ca="1">ROUND((1+C24)*F28*'数据-取费表'!B24/'数据-取费表'!B20,4)</f>
        <v>0</v>
      </c>
      <c r="D29" s="2191"/>
      <c r="E29" s="2192"/>
      <c r="F29" s="2200"/>
      <c r="G29" s="1941" t="s">
        <v>1193</v>
      </c>
      <c r="H29" s="1926"/>
      <c r="I29" s="1926"/>
      <c r="J29" s="1926"/>
      <c r="K29" s="1927"/>
    </row>
    <row r="30" spans="1:33" s="2130" customFormat="1" ht="13.5" customHeight="1">
      <c r="A30" s="2162" t="s">
        <v>982</v>
      </c>
      <c r="B30" s="2199" t="s">
        <v>1194</v>
      </c>
      <c r="C30" s="2201">
        <f ca="1">ROUND((C21+C22+C23)*F28,0)</f>
        <v>0</v>
      </c>
      <c r="D30" s="2191"/>
      <c r="E30" s="2192"/>
      <c r="F30" s="2200"/>
      <c r="G30" s="1941"/>
      <c r="H30" s="1926"/>
      <c r="I30" s="1926"/>
      <c r="J30" s="1926"/>
      <c r="K30" s="1927"/>
    </row>
    <row r="31" spans="1:33" s="2126" customFormat="1" ht="13.5" customHeight="1">
      <c r="A31" s="2202" t="s">
        <v>1195</v>
      </c>
      <c r="B31" s="2203" t="s">
        <v>1196</v>
      </c>
      <c r="C31" s="2204">
        <f>ROUND(C4*F31/(1+'数据-取费表'!C42),0)</f>
        <v>0</v>
      </c>
      <c r="D31" s="2205"/>
      <c r="E31" s="2206"/>
      <c r="F31" s="2207">
        <f>'数据-取费表'!B41</f>
        <v>5.6000000000000001E-2</v>
      </c>
      <c r="G31" s="2208" t="s">
        <v>1197</v>
      </c>
      <c r="H31" s="2209"/>
      <c r="I31" s="2209"/>
      <c r="J31" s="2209"/>
      <c r="K31" s="2210"/>
    </row>
    <row r="32" spans="1:33" s="2125" customFormat="1" ht="13.5" customHeight="1">
      <c r="A32" s="1249" t="s">
        <v>1198</v>
      </c>
      <c r="B32" s="2211"/>
      <c r="C32" s="2212">
        <f ca="1">ROUND((C4-C21-C22-C23-C25-C28-C31)/(1+C24+D25+D28),0)</f>
        <v>0</v>
      </c>
      <c r="D32" s="2211"/>
      <c r="E32" s="2211"/>
      <c r="F32" s="2211"/>
      <c r="G32" s="2213" t="s">
        <v>1199</v>
      </c>
      <c r="H32" s="2211"/>
      <c r="I32" s="2211"/>
      <c r="J32" s="2211"/>
      <c r="K32" s="221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Normal="70" workbookViewId="0">
      <selection activeCell="H38" sqref="H3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664</v>
      </c>
      <c r="D1" s="1846" t="s">
        <v>124</v>
      </c>
      <c r="E1" s="1847" t="s">
        <v>1201</v>
      </c>
      <c r="F1" s="1848">
        <f ca="1">J53</f>
        <v>12</v>
      </c>
      <c r="G1" s="1849">
        <f>MATCH(C1,'数据-取费表'!A6:A16,0)+5</f>
        <v>6</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29186</v>
      </c>
      <c r="C2" s="1855" t="s">
        <v>1203</v>
      </c>
      <c r="D2" s="1855"/>
      <c r="E2" s="1857"/>
      <c r="F2" s="1858"/>
      <c r="G2" s="1859"/>
      <c r="H2" s="1860"/>
      <c r="I2" s="1860"/>
      <c r="J2" s="1860"/>
      <c r="K2" s="1861"/>
      <c r="L2" s="1860"/>
      <c r="M2" s="1860"/>
    </row>
    <row r="3" spans="1:37" ht="18" customHeight="1">
      <c r="A3" s="1862" t="s">
        <v>1204</v>
      </c>
      <c r="B3" s="1863">
        <f ca="1">IF(ISERROR(B2*10000/F43),0,ROUND(B2*10000/F43,0))</f>
        <v>11612</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4574</v>
      </c>
      <c r="D5" s="1874" t="s">
        <v>1213</v>
      </c>
      <c r="E5" s="1875"/>
      <c r="F5" s="1876"/>
      <c r="G5" s="553"/>
      <c r="H5" s="1871">
        <v>1</v>
      </c>
      <c r="I5" s="1872" t="s">
        <v>1212</v>
      </c>
      <c r="J5" s="1873">
        <f ca="1">J6+J10+J12</f>
        <v>4270</v>
      </c>
      <c r="K5" s="1874" t="s">
        <v>1213</v>
      </c>
      <c r="L5" s="1875"/>
      <c r="M5" s="1876"/>
    </row>
    <row r="6" spans="1:37" ht="18" customHeight="1">
      <c r="A6" s="1877" t="s">
        <v>955</v>
      </c>
      <c r="B6" s="3365" t="s">
        <v>1214</v>
      </c>
      <c r="C6" s="1878">
        <f ca="1">ROUND(F6*F8*F7*(1-F9)/10000,0)</f>
        <v>4568</v>
      </c>
      <c r="D6" s="1879" t="s">
        <v>1215</v>
      </c>
      <c r="E6" s="1880" t="s">
        <v>1216</v>
      </c>
      <c r="F6" s="1881">
        <f ca="1">INDIRECT("'数据-取费表'!u"&amp;$G$1)</f>
        <v>4.9800000000000004</v>
      </c>
      <c r="G6" s="553"/>
      <c r="H6" s="1877" t="s">
        <v>955</v>
      </c>
      <c r="I6" s="3365" t="s">
        <v>1214</v>
      </c>
      <c r="J6" s="1882">
        <f ca="1">ROUND(M6*M8*M7*(1-M9)/10000,0)</f>
        <v>4265</v>
      </c>
      <c r="K6" s="1879" t="s">
        <v>1217</v>
      </c>
      <c r="L6" s="1880" t="s">
        <v>1216</v>
      </c>
      <c r="M6" s="1881">
        <f ca="1">INDIRECT("'数据-取费表'!z"&amp;$G$1)</f>
        <v>5.47</v>
      </c>
    </row>
    <row r="7" spans="1:37" ht="18" customHeight="1">
      <c r="A7" s="1884"/>
      <c r="B7" s="3366"/>
      <c r="C7" s="1885"/>
      <c r="D7" s="1886"/>
      <c r="E7" s="1887" t="s">
        <v>1218</v>
      </c>
      <c r="F7" s="1881">
        <f ca="1">IF(INDIRECT("'数据-取费表'!ah"&amp;$G$1)="",INDIRECT("'数据-取费表'!k"&amp;$G$1),INDIRECT("'数据-取费表'!ah"&amp;$G$1))</f>
        <v>25133.34</v>
      </c>
      <c r="G7" s="553"/>
      <c r="H7" s="1888"/>
      <c r="I7" s="3366"/>
      <c r="J7" s="1889"/>
      <c r="K7" s="1886"/>
      <c r="L7" s="1880" t="s">
        <v>1218</v>
      </c>
      <c r="M7" s="1881">
        <f ca="1">F7</f>
        <v>25133.34</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0.15</v>
      </c>
    </row>
    <row r="10" spans="1:37" ht="18" customHeight="1">
      <c r="A10" s="1877" t="s">
        <v>959</v>
      </c>
      <c r="B10" s="1893" t="s">
        <v>1221</v>
      </c>
      <c r="C10" s="995">
        <f ca="1">ROUND(IF(F10="押一",C6/12*F11,IF(F10="押二",C6/12*2*F11,IF(F10="押三",C6/12*3*F11,C11*F11))),0)</f>
        <v>6</v>
      </c>
      <c r="D10" s="1894" t="s">
        <v>1222</v>
      </c>
      <c r="E10" s="1891" t="s">
        <v>1223</v>
      </c>
      <c r="F10" s="2122" t="s">
        <v>2927</v>
      </c>
      <c r="G10" s="553"/>
      <c r="H10" s="1877" t="s">
        <v>959</v>
      </c>
      <c r="I10" s="1893" t="s">
        <v>1221</v>
      </c>
      <c r="J10" s="1882">
        <f ca="1">ROUND(IF(M10="押一",J6/12*M11,IF(M10="押二",J6/12*2*M11,IF(M10="押三",J6/12*3*M11,J11*M11))),0)</f>
        <v>5</v>
      </c>
      <c r="K10" s="1894" t="s">
        <v>1222</v>
      </c>
      <c r="L10" s="1891" t="s">
        <v>1223</v>
      </c>
      <c r="M10" s="2122" t="s">
        <v>2927</v>
      </c>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16275</v>
      </c>
      <c r="D13" s="1914" t="s">
        <v>1228</v>
      </c>
      <c r="E13" s="1914" t="s">
        <v>1229</v>
      </c>
      <c r="F13" s="1915">
        <f ca="1">INDIRECT("'数据-取费表'!y"&amp;$G$1)</f>
        <v>0.88</v>
      </c>
      <c r="G13" s="553"/>
      <c r="H13" s="1911">
        <v>2</v>
      </c>
      <c r="I13" s="1912" t="s">
        <v>1227</v>
      </c>
      <c r="J13" s="1916">
        <f ca="1">ROUND(J14*J15,0)</f>
        <v>14795</v>
      </c>
      <c r="K13" s="1917" t="s">
        <v>1228</v>
      </c>
      <c r="L13" s="1918"/>
      <c r="M13" s="1919"/>
    </row>
    <row r="14" spans="1:37" ht="18" customHeight="1">
      <c r="A14" s="1920" t="s">
        <v>978</v>
      </c>
      <c r="B14" s="1880" t="s">
        <v>1230</v>
      </c>
      <c r="C14" s="1921">
        <f ca="1">INDIRECT("'数据-取费表'!m"&amp;$G$1)+INDIRECT("'数据-取费表'!t"&amp;$G$1)</f>
        <v>12183</v>
      </c>
      <c r="D14" s="1922" t="s">
        <v>1231</v>
      </c>
      <c r="E14" s="1923"/>
      <c r="F14" s="1924"/>
      <c r="G14" s="553"/>
      <c r="H14" s="1920" t="s">
        <v>955</v>
      </c>
      <c r="I14" s="1880" t="s">
        <v>1232</v>
      </c>
      <c r="J14" s="996">
        <f ca="1">C29</f>
        <v>18494</v>
      </c>
      <c r="K14" s="1925"/>
      <c r="L14" s="1926"/>
      <c r="M14" s="1927"/>
    </row>
    <row r="15" spans="1:37" s="1842" customFormat="1" ht="18" customHeight="1">
      <c r="A15" s="1920" t="s">
        <v>982</v>
      </c>
      <c r="B15" s="1880" t="s">
        <v>1161</v>
      </c>
      <c r="C15" s="996">
        <f ca="1">ROUND(C14*F15,0)</f>
        <v>609</v>
      </c>
      <c r="D15" s="1928" t="s">
        <v>1233</v>
      </c>
      <c r="E15" s="1928" t="s">
        <v>1234</v>
      </c>
      <c r="F15" s="1929">
        <f>'数据-取费表'!B33</f>
        <v>0.05</v>
      </c>
      <c r="G15" s="1930"/>
      <c r="H15" s="1931" t="s">
        <v>959</v>
      </c>
      <c r="I15" s="1907" t="s">
        <v>1229</v>
      </c>
      <c r="J15" s="1910">
        <f ca="1">INDIRECT("'数据-取费表'!ad"&amp;$G$1)</f>
        <v>0.8</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1007</v>
      </c>
      <c r="K16" s="1917" t="s">
        <v>1237</v>
      </c>
      <c r="L16" s="1936"/>
      <c r="M16" s="1876"/>
    </row>
    <row r="17" spans="1:37" s="1842" customFormat="1" ht="18" customHeight="1">
      <c r="A17" s="1920" t="s">
        <v>1238</v>
      </c>
      <c r="B17" s="1880" t="s">
        <v>1239</v>
      </c>
      <c r="C17" s="996">
        <f ca="1">ROUND(F17*(F43+INDIRECT("'数据-取费表'!S"&amp;$G$1))/10000,0)</f>
        <v>541</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714.9</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244</v>
      </c>
      <c r="D18" s="1880" t="s">
        <v>1233</v>
      </c>
      <c r="E18" s="1880" t="s">
        <v>1234</v>
      </c>
      <c r="F18" s="1935">
        <f>'数据-取费表'!B36</f>
        <v>0.02</v>
      </c>
      <c r="G18" s="1930"/>
      <c r="H18" s="1920" t="s">
        <v>978</v>
      </c>
      <c r="I18" s="1880" t="s">
        <v>1246</v>
      </c>
      <c r="J18" s="996">
        <f ca="1">ROUND(J6*M18/(1+'数据-取费表'!C42),2)</f>
        <v>227.47</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13577</v>
      </c>
      <c r="D19" s="1941" t="s">
        <v>1249</v>
      </c>
      <c r="E19" s="998"/>
      <c r="F19" s="1937"/>
      <c r="G19" s="553"/>
      <c r="H19" s="1920" t="s">
        <v>982</v>
      </c>
      <c r="I19" s="1880" t="s">
        <v>1250</v>
      </c>
      <c r="J19" s="996">
        <f ca="1">IF(K19="按租金收入计税",ROUND(J6*M19/(1+'数据-取费表'!C42),2),ROUND(C29*M19*0.7,2))</f>
        <v>487.43</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272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6120.33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184.94</v>
      </c>
      <c r="K22" s="1939" t="s">
        <v>1263</v>
      </c>
      <c r="L22" s="1880" t="s">
        <v>1234</v>
      </c>
      <c r="M22" s="1951">
        <f ca="1">INDIRECT("'数据-取费表'!Ak"&amp;$G$1)</f>
        <v>0.01</v>
      </c>
    </row>
    <row r="23" spans="1:37" s="1842" customFormat="1" ht="18" customHeight="1">
      <c r="A23" s="1920" t="s">
        <v>978</v>
      </c>
      <c r="B23" s="1880" t="s">
        <v>1264</v>
      </c>
      <c r="C23" s="996">
        <f ca="1">IF('数据-取费表'!B22&lt;=1,ROUND(C19*F24*F23/2,0)+ROUND(C20*F24*F23/2,0),ROUND(C19*(POWER((1+F24),F23/2)-1),0)+ROUND(C20*(POWER((1+F24),F23/2)-1),0))</f>
        <v>434</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22.19</v>
      </c>
      <c r="K23" s="1939" t="s">
        <v>1267</v>
      </c>
      <c r="L23" s="1880" t="s">
        <v>1234</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85.4</v>
      </c>
      <c r="K24" s="1955" t="s">
        <v>1270</v>
      </c>
      <c r="L24" s="1907" t="s">
        <v>1234</v>
      </c>
      <c r="M24" s="1908">
        <f ca="1">INDIRECT("'数据-取费表'!Am"&amp;$G$1)</f>
        <v>0.02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3263</v>
      </c>
      <c r="K25" s="1957" t="s">
        <v>1275</v>
      </c>
      <c r="L25" s="1958"/>
      <c r="M25" s="1959"/>
    </row>
    <row r="26" spans="1:37">
      <c r="A26" s="1920" t="s">
        <v>978</v>
      </c>
      <c r="B26" s="1880" t="s">
        <v>1276</v>
      </c>
      <c r="C26" s="996">
        <f ca="1">ROUND((C19+C20)*F26,0)</f>
        <v>2770</v>
      </c>
      <c r="D26" s="1943" t="s">
        <v>1277</v>
      </c>
      <c r="E26" s="1891" t="s">
        <v>1278</v>
      </c>
      <c r="F26" s="1890">
        <f ca="1">INDIRECT("'数据-取费表'!q"&amp;$G$1)</f>
        <v>0.2</v>
      </c>
      <c r="G26" s="553"/>
      <c r="H26" s="1871" t="s">
        <v>1279</v>
      </c>
      <c r="I26" s="1872" t="s">
        <v>1280</v>
      </c>
      <c r="J26" s="1882">
        <f ca="1">IF(J5&lt;&gt;0,ROUND(J25*(1-((1+M28)/(1+M26))^M27)/(M26-M28),0),0)</f>
        <v>19877</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7.26</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0.02</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18494</v>
      </c>
      <c r="D29" s="1955"/>
      <c r="E29" s="1907"/>
      <c r="F29" s="1964"/>
      <c r="G29" s="1930"/>
      <c r="H29" s="1965" t="s">
        <v>1291</v>
      </c>
      <c r="I29" s="1966" t="s">
        <v>1292</v>
      </c>
      <c r="J29" s="1967">
        <f ca="1">ROUND(J26/(1+F40)^F41,0)</f>
        <v>15080</v>
      </c>
      <c r="K29" s="1968" t="s">
        <v>1293</v>
      </c>
      <c r="L29" s="1969"/>
      <c r="M29" s="1970">
        <f ca="1">INDIRECT("'数据-取费表'!k"&amp;$G$1)</f>
        <v>25133.34</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1067</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765.69</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243.63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522.05999999999995</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6120.33</v>
      </c>
      <c r="G35" s="553"/>
      <c r="H35" s="1971"/>
      <c r="I35" s="1972"/>
      <c r="J35" s="1973"/>
      <c r="K35" s="1978"/>
      <c r="L35" s="1977"/>
      <c r="M35" s="1977"/>
    </row>
    <row r="36" spans="1:18" ht="18" customHeight="1">
      <c r="A36" s="1983" t="s">
        <v>959</v>
      </c>
      <c r="B36" s="1880" t="s">
        <v>1262</v>
      </c>
      <c r="C36" s="996">
        <f ca="1">ROUND(C29*F36,2)</f>
        <v>184.94</v>
      </c>
      <c r="D36" s="1939" t="s">
        <v>1295</v>
      </c>
      <c r="E36" s="1880" t="s">
        <v>1234</v>
      </c>
      <c r="F36" s="1951">
        <f ca="1">INDIRECT("'数据-取费表'!Ak"&amp;$G$1)</f>
        <v>0.01</v>
      </c>
      <c r="G36" s="553"/>
      <c r="H36" s="1977"/>
      <c r="I36" s="1972"/>
      <c r="J36" s="1973"/>
      <c r="K36" s="1984"/>
      <c r="L36" s="1977"/>
      <c r="M36" s="1977"/>
    </row>
    <row r="37" spans="1:18" ht="18" customHeight="1">
      <c r="A37" s="1920" t="s">
        <v>1004</v>
      </c>
      <c r="B37" s="1880" t="s">
        <v>1266</v>
      </c>
      <c r="C37" s="996">
        <f ca="1">ROUND(C13*F37,2)</f>
        <v>24.41</v>
      </c>
      <c r="D37" s="1939" t="s">
        <v>1267</v>
      </c>
      <c r="E37" s="1880" t="s">
        <v>1234</v>
      </c>
      <c r="F37" s="1952">
        <f ca="1">INDIRECT("'数据-取费表'!Al"&amp;$G$1)</f>
        <v>1.5E-3</v>
      </c>
      <c r="G37" s="553"/>
      <c r="H37" s="1977"/>
      <c r="I37" s="1972"/>
      <c r="J37" s="1973"/>
      <c r="K37" s="1984"/>
      <c r="L37" s="1977"/>
      <c r="M37" s="1977"/>
    </row>
    <row r="38" spans="1:18" ht="18" customHeight="1">
      <c r="A38" s="1931" t="s">
        <v>1007</v>
      </c>
      <c r="B38" s="1907" t="s">
        <v>1252</v>
      </c>
      <c r="C38" s="1954">
        <f ca="1">ROUND(C5*F38,2)</f>
        <v>91.48</v>
      </c>
      <c r="D38" s="1955" t="s">
        <v>1270</v>
      </c>
      <c r="E38" s="1907" t="s">
        <v>1234</v>
      </c>
      <c r="F38" s="1908">
        <f ca="1">INDIRECT("'数据-取费表'!Am"&amp;$G$1)</f>
        <v>0.02</v>
      </c>
      <c r="G38" s="553"/>
      <c r="H38" s="1977">
        <f ca="1">C39/C6</f>
        <v>0.76773204903677761</v>
      </c>
      <c r="I38" s="1972"/>
      <c r="J38" s="1973"/>
      <c r="K38" s="1974"/>
      <c r="L38" s="1977"/>
      <c r="M38" s="1977"/>
    </row>
    <row r="39" spans="1:18" ht="24.6" customHeight="1">
      <c r="A39" s="1911" t="s">
        <v>1273</v>
      </c>
      <c r="B39" s="1956" t="s">
        <v>1274</v>
      </c>
      <c r="C39" s="1913">
        <f ca="1">C5-C30</f>
        <v>3507</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14106</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4.74</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f ca="1">ROUND(C40*10000/F43,0)</f>
        <v>5612</v>
      </c>
      <c r="D43" s="1968" t="s">
        <v>1298</v>
      </c>
      <c r="E43" s="1969" t="s">
        <v>1299</v>
      </c>
      <c r="F43" s="1970">
        <f ca="1">INDIRECT("'数据-取费表'!k"&amp;$G$1)</f>
        <v>25133.34</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-14947</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29186</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12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18494</v>
      </c>
      <c r="R49" s="2014" t="s">
        <v>1311</v>
      </c>
    </row>
    <row r="50" spans="1:18" s="553" customFormat="1">
      <c r="A50" s="2033"/>
      <c r="B50" s="927"/>
      <c r="C50" s="2118"/>
      <c r="D50" s="2035"/>
      <c r="E50" s="2036" t="s">
        <v>1218</v>
      </c>
      <c r="F50" s="2037">
        <f ca="1">F7</f>
        <v>25133.34</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41317</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12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12</v>
      </c>
      <c r="K53" s="3363" t="s">
        <v>1340</v>
      </c>
      <c r="L53" s="3364"/>
      <c r="O53" s="2012" t="s">
        <v>1163</v>
      </c>
      <c r="P53" s="2013" t="s">
        <v>1341</v>
      </c>
      <c r="Q53" s="2014">
        <f ca="1">Q47+Q48</f>
        <v>29186</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16275</v>
      </c>
      <c r="D56" s="2064"/>
      <c r="E56" s="2065"/>
      <c r="F56" s="2055"/>
      <c r="I56" s="2066" t="s">
        <v>1346</v>
      </c>
      <c r="J56" s="2067" t="s">
        <v>609</v>
      </c>
      <c r="K56" s="2020" t="s">
        <v>1347</v>
      </c>
      <c r="L56" s="2023" t="str">
        <f ca="1">IF(L48&lt;J51,"——",L48-J53)</f>
        <v>——</v>
      </c>
      <c r="O56" s="2012" t="s">
        <v>1060</v>
      </c>
      <c r="P56" s="2013" t="s">
        <v>1310</v>
      </c>
      <c r="Q56" s="2014">
        <f ca="1">C40+J29</f>
        <v>29186</v>
      </c>
      <c r="R56" s="2014" t="s">
        <v>1311</v>
      </c>
    </row>
    <row r="57" spans="1:18" s="553" customFormat="1" ht="24">
      <c r="A57" s="2068"/>
      <c r="B57" s="2069" t="s">
        <v>1290</v>
      </c>
      <c r="C57" s="388">
        <f ca="1">C29</f>
        <v>18494</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209</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29186</v>
      </c>
      <c r="R62" s="2014" t="s">
        <v>1342</v>
      </c>
    </row>
    <row r="63" spans="1:18" s="553" customFormat="1">
      <c r="A63" s="1947"/>
      <c r="B63" s="2088"/>
      <c r="C63" s="1949"/>
      <c r="D63" s="2089"/>
      <c r="E63" s="2069" t="s">
        <v>1260</v>
      </c>
      <c r="F63" s="1881">
        <f t="shared" ca="1" si="0"/>
        <v>6120.33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184.94</v>
      </c>
      <c r="D64" s="2080" t="s">
        <v>1295</v>
      </c>
      <c r="E64" s="2069" t="s">
        <v>1234</v>
      </c>
      <c r="F64" s="1951">
        <f t="shared" ca="1" si="0"/>
        <v>0.01</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24.41</v>
      </c>
      <c r="D65" s="2080" t="s">
        <v>1267</v>
      </c>
      <c r="E65" s="2069" t="s">
        <v>1234</v>
      </c>
      <c r="F65" s="1952">
        <f t="shared" ca="1" si="0"/>
        <v>1.5E-3</v>
      </c>
      <c r="I65" s="2086" t="s">
        <v>1370</v>
      </c>
      <c r="J65" s="1207">
        <v>40</v>
      </c>
      <c r="K65" s="1207">
        <v>30</v>
      </c>
      <c r="L65" s="1207">
        <v>50</v>
      </c>
      <c r="M65" s="2090">
        <v>0.02</v>
      </c>
      <c r="O65" s="2012" t="s">
        <v>1060</v>
      </c>
      <c r="P65" s="2013" t="s">
        <v>1310</v>
      </c>
      <c r="Q65" s="2014">
        <f ca="1">C40+J29</f>
        <v>29186</v>
      </c>
      <c r="R65" s="2014" t="s">
        <v>1311</v>
      </c>
    </row>
    <row r="66" spans="1:18" s="553" customFormat="1" ht="15.75">
      <c r="A66" s="1920" t="s">
        <v>1007</v>
      </c>
      <c r="B66" s="2069" t="s">
        <v>1252</v>
      </c>
      <c r="C66" s="996">
        <f ca="1">ROUND(C48*F66,2)</f>
        <v>0</v>
      </c>
      <c r="D66" s="2080" t="s">
        <v>1270</v>
      </c>
      <c r="E66" s="2069" t="s">
        <v>1234</v>
      </c>
      <c r="F66" s="1890">
        <f t="shared" ca="1" si="0"/>
        <v>0.02</v>
      </c>
      <c r="O66" s="2012" t="s">
        <v>1063</v>
      </c>
      <c r="P66" s="2013" t="s">
        <v>1350</v>
      </c>
      <c r="Q66" s="2014">
        <f ca="1">L60</f>
        <v>0</v>
      </c>
      <c r="R66" s="2014" t="s">
        <v>1351</v>
      </c>
    </row>
    <row r="67" spans="1:18" s="553" customFormat="1" ht="15.75">
      <c r="A67" s="2062" t="s">
        <v>1273</v>
      </c>
      <c r="B67" s="2091" t="s">
        <v>1274</v>
      </c>
      <c r="C67" s="995">
        <f ca="1">C48-C58</f>
        <v>-209</v>
      </c>
      <c r="D67" s="2079" t="s">
        <v>1275</v>
      </c>
      <c r="E67" s="2092"/>
      <c r="F67" s="2093"/>
      <c r="O67" s="2032" t="s">
        <v>1323</v>
      </c>
      <c r="P67" s="2013" t="s">
        <v>1354</v>
      </c>
      <c r="Q67" s="2094">
        <f ca="1">L51</f>
        <v>41317</v>
      </c>
      <c r="R67" s="2014" t="s">
        <v>1371</v>
      </c>
    </row>
    <row r="68" spans="1:18" s="553" customFormat="1" ht="15.75">
      <c r="A68" s="2095" t="s">
        <v>1279</v>
      </c>
      <c r="B68" s="2096" t="s">
        <v>1296</v>
      </c>
      <c r="C68" s="1882">
        <f ca="1">ROUND(C67*(1-((1+F70)/(1+F68))^F69)/(F68-F70),0)</f>
        <v>-841</v>
      </c>
      <c r="D68" s="2085" t="s">
        <v>1281</v>
      </c>
      <c r="E68" s="2069" t="s">
        <v>1282</v>
      </c>
      <c r="F68" s="1890">
        <f ca="1">F40</f>
        <v>0.06</v>
      </c>
      <c r="O68" s="2032" t="s">
        <v>1327</v>
      </c>
      <c r="P68" s="2097" t="s">
        <v>1372</v>
      </c>
      <c r="Q68" s="2014">
        <f ca="1">ROUND(Q69-Q70*Q71,0)</f>
        <v>2368</v>
      </c>
      <c r="R68" s="2014" t="s">
        <v>1373</v>
      </c>
    </row>
    <row r="69" spans="1:18" s="553" customFormat="1">
      <c r="A69" s="2098"/>
      <c r="B69" s="2099"/>
      <c r="C69" s="1889"/>
      <c r="D69" s="2100" t="s">
        <v>1285</v>
      </c>
      <c r="E69" s="2069" t="s">
        <v>1286</v>
      </c>
      <c r="F69" s="1962">
        <f ca="1">F41</f>
        <v>4.74</v>
      </c>
      <c r="O69" s="2032" t="s">
        <v>1374</v>
      </c>
      <c r="P69" s="2097" t="s">
        <v>1375</v>
      </c>
      <c r="Q69" s="2014">
        <f ca="1">C39</f>
        <v>3507</v>
      </c>
      <c r="R69" s="2014" t="s">
        <v>1311</v>
      </c>
    </row>
    <row r="70" spans="1:18" s="553" customFormat="1">
      <c r="A70" s="2101"/>
      <c r="B70" s="2102"/>
      <c r="C70" s="1913"/>
      <c r="D70" s="2089"/>
      <c r="E70" s="2069" t="s">
        <v>1289</v>
      </c>
      <c r="F70" s="2047"/>
      <c r="O70" s="2032" t="s">
        <v>1376</v>
      </c>
      <c r="P70" s="2097" t="s">
        <v>1377</v>
      </c>
      <c r="Q70" s="2014">
        <f ca="1">C13</f>
        <v>16275</v>
      </c>
      <c r="R70" s="2014" t="s">
        <v>1311</v>
      </c>
    </row>
    <row r="71" spans="1:18" s="553" customFormat="1">
      <c r="A71" s="2103" t="s">
        <v>1291</v>
      </c>
      <c r="B71" s="2104" t="s">
        <v>1297</v>
      </c>
      <c r="C71" s="1967">
        <f ca="1">ROUND(C68*10000/F71,0)</f>
        <v>-335</v>
      </c>
      <c r="D71" s="2105" t="s">
        <v>1298</v>
      </c>
      <c r="E71" s="2106" t="s">
        <v>1299</v>
      </c>
      <c r="F71" s="1970">
        <f ca="1">F43</f>
        <v>25133.34</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1139</v>
      </c>
      <c r="D75" s="553"/>
      <c r="E75" s="553"/>
      <c r="F75" s="553"/>
      <c r="K75" s="1988"/>
      <c r="L75" s="553"/>
      <c r="O75" s="2012" t="s">
        <v>1163</v>
      </c>
      <c r="P75" s="2013" t="s">
        <v>1341</v>
      </c>
      <c r="Q75" s="2014">
        <f ca="1">Q65+Q66</f>
        <v>29186</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0.67500000000000004</v>
      </c>
    </row>
    <row r="80" spans="1:18">
      <c r="B80" s="2108" t="s">
        <v>1387</v>
      </c>
      <c r="C80" s="421">
        <f ca="1">ROUND(C75/C39,3)</f>
        <v>0.32500000000000001</v>
      </c>
    </row>
    <row r="81" spans="2:3">
      <c r="B81" s="418" t="s">
        <v>1388</v>
      </c>
      <c r="C81" s="388"/>
    </row>
    <row r="82" spans="2:3">
      <c r="B82" s="420" t="s">
        <v>1139</v>
      </c>
      <c r="C82" s="422">
        <f ca="1">1-C83</f>
        <v>-0.15399999999999991</v>
      </c>
    </row>
    <row r="83" spans="2:3">
      <c r="B83" s="420" t="s">
        <v>1140</v>
      </c>
      <c r="C83" s="421">
        <f ca="1">ROUND(C13/C40,3)</f>
        <v>1.1539999999999999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disablePrompts="1"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2" zoomScaleNormal="70" workbookViewId="0">
      <selection activeCell="F7" sqref="F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665</v>
      </c>
      <c r="D1" s="1846" t="s">
        <v>124</v>
      </c>
      <c r="E1" s="1847" t="s">
        <v>1201</v>
      </c>
      <c r="F1" s="1848">
        <f ca="1">J53</f>
        <v>12</v>
      </c>
      <c r="G1" s="1849">
        <f>MATCH(C1,'数据-取费表'!A6:A16,0)+5</f>
        <v>7</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11212</v>
      </c>
      <c r="C2" s="1855" t="s">
        <v>1203</v>
      </c>
      <c r="D2" s="1855"/>
      <c r="E2" s="1857"/>
      <c r="F2" s="1858"/>
      <c r="G2" s="1859"/>
      <c r="H2" s="1860"/>
      <c r="I2" s="1860"/>
      <c r="J2" s="1860"/>
      <c r="K2" s="1861"/>
      <c r="L2" s="1860"/>
      <c r="M2" s="1860"/>
    </row>
    <row r="3" spans="1:37" ht="18" customHeight="1">
      <c r="A3" s="1862" t="s">
        <v>1204</v>
      </c>
      <c r="B3" s="1863">
        <f ca="1">IF(ISERROR(B2*10000/F43),0,ROUND(B2*10000/F43,0))</f>
        <v>7887</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1638</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1636</v>
      </c>
      <c r="D6" s="1879" t="s">
        <v>1215</v>
      </c>
      <c r="E6" s="1880" t="s">
        <v>1216</v>
      </c>
      <c r="F6" s="1881">
        <f ca="1">INDIRECT("'数据-取费表'!u"&amp;$G$1)</f>
        <v>3.71</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14216.560000000001</v>
      </c>
      <c r="G7" s="553"/>
      <c r="H7" s="1888"/>
      <c r="I7" s="3366"/>
      <c r="J7" s="1889"/>
      <c r="K7" s="1886"/>
      <c r="L7" s="1880" t="s">
        <v>1218</v>
      </c>
      <c r="M7" s="1881">
        <f ca="1">F7</f>
        <v>14216.560000000001</v>
      </c>
    </row>
    <row r="8" spans="1:37" ht="18" customHeight="1">
      <c r="A8" s="1888"/>
      <c r="B8" s="3366"/>
      <c r="C8" s="1889"/>
      <c r="D8" s="1886"/>
      <c r="E8" s="1880" t="s">
        <v>1219</v>
      </c>
      <c r="F8" s="1881">
        <f ca="1">INDIRECT("'数据-取费表'!ai"&amp;$G$1)</f>
        <v>365</v>
      </c>
      <c r="G8" s="553"/>
      <c r="H8" s="1888"/>
      <c r="I8" s="3366"/>
      <c r="J8" s="1889"/>
      <c r="K8" s="1886"/>
      <c r="L8" s="1880" t="s">
        <v>1219</v>
      </c>
      <c r="M8" s="1881">
        <f ca="1">INDIRECT("'数据-取费表'!ai"&amp;$G$1)</f>
        <v>365</v>
      </c>
    </row>
    <row r="9" spans="1:37" ht="18" customHeight="1">
      <c r="A9" s="1888"/>
      <c r="B9" s="3367"/>
      <c r="C9" s="1889"/>
      <c r="D9" s="1886"/>
      <c r="E9" s="1880" t="s">
        <v>1220</v>
      </c>
      <c r="F9" s="1890">
        <f ca="1">INDIRECT("'数据-取费表'!w"&amp;$G$1)</f>
        <v>0.15</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2</v>
      </c>
      <c r="D10" s="1894" t="s">
        <v>1222</v>
      </c>
      <c r="E10" s="1891" t="s">
        <v>1223</v>
      </c>
      <c r="F10" s="2122" t="s">
        <v>2927</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9206</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6891</v>
      </c>
      <c r="D14" s="1922" t="s">
        <v>1231</v>
      </c>
      <c r="E14" s="1923"/>
      <c r="F14" s="1924"/>
      <c r="G14" s="553"/>
      <c r="H14" s="1920" t="s">
        <v>955</v>
      </c>
      <c r="I14" s="1880" t="s">
        <v>1232</v>
      </c>
      <c r="J14" s="996">
        <f ca="1">C29</f>
        <v>10461</v>
      </c>
      <c r="K14" s="1925"/>
      <c r="L14" s="1926"/>
      <c r="M14" s="1927"/>
    </row>
    <row r="15" spans="1:37" s="1842" customFormat="1" ht="18" customHeight="1">
      <c r="A15" s="1920" t="s">
        <v>982</v>
      </c>
      <c r="B15" s="1880" t="s">
        <v>1161</v>
      </c>
      <c r="C15" s="996">
        <f ca="1">ROUND(C14*F15,0)</f>
        <v>345</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105</v>
      </c>
      <c r="K16" s="1917" t="s">
        <v>1237</v>
      </c>
      <c r="L16" s="1936"/>
      <c r="M16" s="1876"/>
    </row>
    <row r="17" spans="1:37" s="1842" customFormat="1" ht="18" customHeight="1">
      <c r="A17" s="1920" t="s">
        <v>1238</v>
      </c>
      <c r="B17" s="1880" t="s">
        <v>1239</v>
      </c>
      <c r="C17" s="996">
        <f ca="1">ROUND(F17*(F43+INDIRECT("'数据-取费表'!S"&amp;$G$1))/10000,0)</f>
        <v>306</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138</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7680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154</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3461.93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104.61</v>
      </c>
      <c r="K22" s="1939" t="s">
        <v>1263</v>
      </c>
      <c r="L22" s="1880" t="s">
        <v>1234</v>
      </c>
      <c r="M22" s="1951">
        <f ca="1">INDIRECT("'数据-取费表'!Ak"&amp;$G$1)</f>
        <v>0.01</v>
      </c>
    </row>
    <row r="23" spans="1:37" s="1842" customFormat="1" ht="18" customHeight="1">
      <c r="A23" s="1920" t="s">
        <v>978</v>
      </c>
      <c r="B23" s="1880" t="s">
        <v>1264</v>
      </c>
      <c r="C23" s="996">
        <f ca="1">IF('数据-取费表'!B22&lt;=1,ROUND(C19*F24*F23/2,0)+ROUND(C20*F24*F23/2,0),ROUND(C19*(POWER((1+F24),F23/2)-1),0)+ROUND(C20*(POWER((1+F24),F23/2)-1),0))</f>
        <v>245</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0.02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-105</v>
      </c>
      <c r="K25" s="1957" t="s">
        <v>1275</v>
      </c>
      <c r="L25" s="1958"/>
      <c r="M25" s="1959"/>
    </row>
    <row r="26" spans="1:37">
      <c r="A26" s="1920" t="s">
        <v>978</v>
      </c>
      <c r="B26" s="1880" t="s">
        <v>1276</v>
      </c>
      <c r="C26" s="996">
        <f ca="1">ROUND((C19+C20)*F26,0)</f>
        <v>1567</v>
      </c>
      <c r="D26" s="1943" t="s">
        <v>1277</v>
      </c>
      <c r="E26" s="1891" t="s">
        <v>1278</v>
      </c>
      <c r="F26" s="1890">
        <f ca="1">INDIRECT("'数据-取费表'!q"&amp;$G$1)</f>
        <v>0.2</v>
      </c>
      <c r="G26" s="553"/>
      <c r="H26" s="1871" t="s">
        <v>1279</v>
      </c>
      <c r="I26" s="1872" t="s">
        <v>1280</v>
      </c>
      <c r="J26" s="1882">
        <f ca="1">IF(J5&lt;&gt;0,ROUND(J25*(1-((1+M28)/(1+M26))^M27)/(M26-M28),0),0)</f>
        <v>0</v>
      </c>
      <c r="K26" s="1945" t="s">
        <v>1281</v>
      </c>
      <c r="L26" s="1880" t="s">
        <v>1282</v>
      </c>
      <c r="M26" s="1890">
        <f ca="1">INDIRECT("'数据-取费表'!I"&amp;$G$1)</f>
        <v>0.06</v>
      </c>
    </row>
    <row r="27" spans="1:37" ht="18" customHeight="1">
      <c r="A27" s="1920" t="s">
        <v>982</v>
      </c>
      <c r="B27" s="1880" t="s">
        <v>1283</v>
      </c>
      <c r="C27" s="996">
        <f ca="1">ROUND(F21*F26,4)</f>
        <v>4.0000000000000001E-3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10461</v>
      </c>
      <c r="D29" s="1955"/>
      <c r="E29" s="1907"/>
      <c r="F29" s="1964"/>
      <c r="G29" s="1930"/>
      <c r="H29" s="1965" t="s">
        <v>1291</v>
      </c>
      <c r="I29" s="1966" t="s">
        <v>1292</v>
      </c>
      <c r="J29" s="1967">
        <f ca="1">ROUND(J26/(1+F40)^F41,0)</f>
        <v>0</v>
      </c>
      <c r="K29" s="1968" t="s">
        <v>1293</v>
      </c>
      <c r="L29" s="1969"/>
      <c r="M29" s="1970">
        <f ca="1">INDIRECT("'数据-取费表'!k"&amp;$G$1)</f>
        <v>14216.560000000001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425</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274.22000000000003</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87.25</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186.97</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3461.93</v>
      </c>
      <c r="G35" s="553"/>
      <c r="H35" s="1971"/>
      <c r="I35" s="1972"/>
      <c r="J35" s="1973"/>
      <c r="K35" s="1978"/>
      <c r="L35" s="1977"/>
      <c r="M35" s="1977"/>
    </row>
    <row r="36" spans="1:18" ht="18" customHeight="1">
      <c r="A36" s="1983" t="s">
        <v>959</v>
      </c>
      <c r="B36" s="1880" t="s">
        <v>1262</v>
      </c>
      <c r="C36" s="996">
        <f ca="1">ROUND(C29*F36,2)</f>
        <v>104.61</v>
      </c>
      <c r="D36" s="1939" t="s">
        <v>1295</v>
      </c>
      <c r="E36" s="1880" t="s">
        <v>1234</v>
      </c>
      <c r="F36" s="1951">
        <f ca="1">INDIRECT("'数据-取费表'!Ak"&amp;$G$1)</f>
        <v>0.01</v>
      </c>
      <c r="G36" s="553"/>
      <c r="H36" s="1977"/>
      <c r="I36" s="1972"/>
      <c r="J36" s="1973"/>
      <c r="K36" s="1984"/>
      <c r="L36" s="1977"/>
      <c r="M36" s="1977"/>
    </row>
    <row r="37" spans="1:18" ht="18" customHeight="1">
      <c r="A37" s="1920" t="s">
        <v>1004</v>
      </c>
      <c r="B37" s="1880" t="s">
        <v>1266</v>
      </c>
      <c r="C37" s="996">
        <f ca="1">ROUND(C13*F37,2)</f>
        <v>13.81</v>
      </c>
      <c r="D37" s="1939" t="s">
        <v>1267</v>
      </c>
      <c r="E37" s="1880" t="s">
        <v>1234</v>
      </c>
      <c r="F37" s="1952">
        <f ca="1">INDIRECT("'数据-取费表'!Al"&amp;$G$1)</f>
        <v>1.5E-3</v>
      </c>
      <c r="G37" s="553"/>
      <c r="H37" s="1977"/>
      <c r="I37" s="1972"/>
      <c r="J37" s="1973"/>
      <c r="K37" s="1984"/>
      <c r="L37" s="1977"/>
      <c r="M37" s="1977"/>
    </row>
    <row r="38" spans="1:18" ht="18" customHeight="1">
      <c r="A38" s="1931" t="s">
        <v>1007</v>
      </c>
      <c r="B38" s="1907" t="s">
        <v>1252</v>
      </c>
      <c r="C38" s="1954">
        <f ca="1">ROUND(C5*F38,2)</f>
        <v>32.76</v>
      </c>
      <c r="D38" s="1955" t="s">
        <v>1270</v>
      </c>
      <c r="E38" s="1907" t="s">
        <v>1234</v>
      </c>
      <c r="F38" s="1908">
        <f ca="1">INDIRECT("'数据-取费表'!Am"&amp;$G$1)</f>
        <v>0.02</v>
      </c>
      <c r="G38" s="553"/>
      <c r="H38" s="1977"/>
      <c r="I38" s="1972"/>
      <c r="J38" s="1973"/>
      <c r="K38" s="1974"/>
      <c r="L38" s="1977"/>
      <c r="M38" s="1977"/>
    </row>
    <row r="39" spans="1:18" ht="24.6" customHeight="1">
      <c r="A39" s="1911" t="s">
        <v>1273</v>
      </c>
      <c r="B39" s="1956" t="s">
        <v>1274</v>
      </c>
      <c r="C39" s="1913">
        <f ca="1">C5-C30</f>
        <v>1213</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11212</v>
      </c>
      <c r="D40" s="1945" t="s">
        <v>1281</v>
      </c>
      <c r="E40" s="1880" t="s">
        <v>1282</v>
      </c>
      <c r="F40" s="1890">
        <f ca="1">INDIRECT("'数据-取费表'!I"&amp;$G$1)</f>
        <v>0.06</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12</v>
      </c>
      <c r="G41" s="553"/>
      <c r="H41" s="985"/>
      <c r="I41" s="1972"/>
      <c r="J41" s="1973"/>
      <c r="K41" s="1984"/>
      <c r="L41" s="985"/>
      <c r="M41" s="985"/>
    </row>
    <row r="42" spans="1:18" ht="18" customHeight="1">
      <c r="A42" s="1897"/>
      <c r="B42" s="1963"/>
      <c r="C42" s="1913"/>
      <c r="D42" s="1950"/>
      <c r="E42" s="1880" t="s">
        <v>1289</v>
      </c>
      <c r="F42" s="1890">
        <f ca="1">INDIRECT("'数据-取费表'!v"&amp;$G$1)</f>
        <v>0.02</v>
      </c>
      <c r="G42" s="553"/>
      <c r="H42" s="985"/>
      <c r="I42" s="1972"/>
      <c r="J42" s="1973"/>
      <c r="K42" s="1984"/>
      <c r="L42" s="985"/>
      <c r="M42" s="985"/>
    </row>
    <row r="43" spans="1:18" ht="18" customHeight="1">
      <c r="A43" s="1965" t="s">
        <v>1291</v>
      </c>
      <c r="B43" s="1966" t="s">
        <v>1297</v>
      </c>
      <c r="C43" s="1967">
        <f ca="1">ROUND(C40*10000/F43,0)</f>
        <v>7887</v>
      </c>
      <c r="D43" s="1968" t="s">
        <v>1298</v>
      </c>
      <c r="E43" s="1969" t="s">
        <v>1299</v>
      </c>
      <c r="F43" s="1970">
        <f ca="1">INDIRECT("'数据-取费表'!k"&amp;$G$1)</f>
        <v>14216.560000000001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-12201</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11212</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12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10461</v>
      </c>
      <c r="R49" s="2014" t="s">
        <v>1311</v>
      </c>
    </row>
    <row r="50" spans="1:18" s="553" customFormat="1">
      <c r="A50" s="2033"/>
      <c r="B50" s="927"/>
      <c r="C50" s="2118"/>
      <c r="D50" s="2035"/>
      <c r="E50" s="2036" t="s">
        <v>1218</v>
      </c>
      <c r="F50" s="2037">
        <f ca="1">F7</f>
        <v>14216.560000000001</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365</v>
      </c>
      <c r="I51" s="2043" t="s">
        <v>1329</v>
      </c>
      <c r="J51" s="2023">
        <f>IF(J49="",J50,J49+J50-YEAR('数据-取费表'!B2))</f>
        <v>60</v>
      </c>
      <c r="K51" s="2044" t="s">
        <v>1330</v>
      </c>
      <c r="L51" s="2045">
        <f ca="1">ROUND(-PV(INDIRECT("'数据-取费表'!h"&amp;$G$1),J51,(C39-C13*C76),0),0)</f>
        <v>9922</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12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12</v>
      </c>
      <c r="K53" s="3363" t="s">
        <v>1340</v>
      </c>
      <c r="L53" s="3364"/>
      <c r="O53" s="2012" t="s">
        <v>1163</v>
      </c>
      <c r="P53" s="2013" t="s">
        <v>1341</v>
      </c>
      <c r="Q53" s="2014">
        <f ca="1">Q47+Q48</f>
        <v>11212</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9206</v>
      </c>
      <c r="D56" s="2064"/>
      <c r="E56" s="2065"/>
      <c r="F56" s="2055"/>
      <c r="I56" s="2066" t="s">
        <v>1346</v>
      </c>
      <c r="J56" s="2067" t="s">
        <v>609</v>
      </c>
      <c r="K56" s="2020" t="s">
        <v>1347</v>
      </c>
      <c r="L56" s="2023" t="str">
        <f ca="1">IF(L48&lt;J51,"——",L48-J53)</f>
        <v>——</v>
      </c>
      <c r="O56" s="2012" t="s">
        <v>1060</v>
      </c>
      <c r="P56" s="2013" t="s">
        <v>1310</v>
      </c>
      <c r="Q56" s="2014">
        <f ca="1">C40+J29</f>
        <v>11212</v>
      </c>
      <c r="R56" s="2014" t="s">
        <v>1311</v>
      </c>
    </row>
    <row r="57" spans="1:18" s="553" customFormat="1" ht="24">
      <c r="A57" s="2068"/>
      <c r="B57" s="2069" t="s">
        <v>1290</v>
      </c>
      <c r="C57" s="388">
        <f ca="1">C29</f>
        <v>10461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118</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11212</v>
      </c>
      <c r="R62" s="2014" t="s">
        <v>1342</v>
      </c>
    </row>
    <row r="63" spans="1:18" s="553" customFormat="1">
      <c r="A63" s="1947"/>
      <c r="B63" s="2088"/>
      <c r="C63" s="1949"/>
      <c r="D63" s="2089"/>
      <c r="E63" s="2069" t="s">
        <v>1260</v>
      </c>
      <c r="F63" s="1881">
        <f t="shared" ca="1" si="0"/>
        <v>3461.93</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104.61</v>
      </c>
      <c r="D64" s="2080" t="s">
        <v>1295</v>
      </c>
      <c r="E64" s="2069" t="s">
        <v>1234</v>
      </c>
      <c r="F64" s="1951">
        <f t="shared" ca="1" si="0"/>
        <v>0.01</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13.81</v>
      </c>
      <c r="D65" s="2080" t="s">
        <v>1267</v>
      </c>
      <c r="E65" s="2069" t="s">
        <v>1234</v>
      </c>
      <c r="F65" s="1952">
        <f t="shared" ca="1" si="0"/>
        <v>1.5E-3</v>
      </c>
      <c r="I65" s="2086" t="s">
        <v>1370</v>
      </c>
      <c r="J65" s="1207">
        <v>40</v>
      </c>
      <c r="K65" s="1207">
        <v>30</v>
      </c>
      <c r="L65" s="1207">
        <v>50</v>
      </c>
      <c r="M65" s="2090">
        <v>0.02</v>
      </c>
      <c r="O65" s="2012" t="s">
        <v>1060</v>
      </c>
      <c r="P65" s="2013" t="s">
        <v>1310</v>
      </c>
      <c r="Q65" s="2014">
        <f ca="1">C40+J29</f>
        <v>11212</v>
      </c>
      <c r="R65" s="2014" t="s">
        <v>1311</v>
      </c>
    </row>
    <row r="66" spans="1:18" s="553" customFormat="1" ht="15.75">
      <c r="A66" s="1920" t="s">
        <v>1007</v>
      </c>
      <c r="B66" s="2069" t="s">
        <v>1252</v>
      </c>
      <c r="C66" s="996">
        <f ca="1">ROUND(C48*F66,2)</f>
        <v>0</v>
      </c>
      <c r="D66" s="2080" t="s">
        <v>1270</v>
      </c>
      <c r="E66" s="2069" t="s">
        <v>1234</v>
      </c>
      <c r="F66" s="1890">
        <f t="shared" ca="1" si="0"/>
        <v>0.02</v>
      </c>
      <c r="O66" s="2012" t="s">
        <v>1063</v>
      </c>
      <c r="P66" s="2013" t="s">
        <v>1350</v>
      </c>
      <c r="Q66" s="2014">
        <f ca="1">L60</f>
        <v>0</v>
      </c>
      <c r="R66" s="2014" t="s">
        <v>1351</v>
      </c>
    </row>
    <row r="67" spans="1:18" s="553" customFormat="1" ht="15.75">
      <c r="A67" s="2062" t="s">
        <v>1273</v>
      </c>
      <c r="B67" s="2091" t="s">
        <v>1274</v>
      </c>
      <c r="C67" s="995">
        <f ca="1">C48-C58</f>
        <v>-118</v>
      </c>
      <c r="D67" s="2079" t="s">
        <v>1275</v>
      </c>
      <c r="E67" s="2092"/>
      <c r="F67" s="2093"/>
      <c r="O67" s="2032" t="s">
        <v>1323</v>
      </c>
      <c r="P67" s="2013" t="s">
        <v>1354</v>
      </c>
      <c r="Q67" s="2094">
        <f ca="1">L51</f>
        <v>9922</v>
      </c>
      <c r="R67" s="2014" t="s">
        <v>1371</v>
      </c>
    </row>
    <row r="68" spans="1:18" s="553" customFormat="1" ht="15.75">
      <c r="A68" s="2095" t="s">
        <v>1279</v>
      </c>
      <c r="B68" s="2096" t="s">
        <v>1296</v>
      </c>
      <c r="C68" s="1882">
        <f ca="1">ROUND(C67*(1-((1+F70)/(1+F68))^F69)/(F68-F70),0)</f>
        <v>-989</v>
      </c>
      <c r="D68" s="2085" t="s">
        <v>1281</v>
      </c>
      <c r="E68" s="2069" t="s">
        <v>1282</v>
      </c>
      <c r="F68" s="1890">
        <f ca="1">F40</f>
        <v>0.06</v>
      </c>
      <c r="O68" s="2032" t="s">
        <v>1327</v>
      </c>
      <c r="P68" s="2097" t="s">
        <v>1372</v>
      </c>
      <c r="Q68" s="2014">
        <f ca="1">ROUND(Q69-Q70*Q71,0)</f>
        <v>569</v>
      </c>
      <c r="R68" s="2014" t="s">
        <v>1373</v>
      </c>
    </row>
    <row r="69" spans="1:18" s="553" customFormat="1">
      <c r="A69" s="2098"/>
      <c r="B69" s="2099"/>
      <c r="C69" s="1889"/>
      <c r="D69" s="2100" t="s">
        <v>1285</v>
      </c>
      <c r="E69" s="2069" t="s">
        <v>1286</v>
      </c>
      <c r="F69" s="1962">
        <f ca="1">F41</f>
        <v>12</v>
      </c>
      <c r="O69" s="2032" t="s">
        <v>1374</v>
      </c>
      <c r="P69" s="2097" t="s">
        <v>1375</v>
      </c>
      <c r="Q69" s="2014">
        <f ca="1">C39</f>
        <v>1213</v>
      </c>
      <c r="R69" s="2014" t="s">
        <v>1311</v>
      </c>
    </row>
    <row r="70" spans="1:18" s="553" customFormat="1">
      <c r="A70" s="2101"/>
      <c r="B70" s="2102"/>
      <c r="C70" s="1913"/>
      <c r="D70" s="2089"/>
      <c r="E70" s="2069" t="s">
        <v>1289</v>
      </c>
      <c r="F70" s="2047"/>
      <c r="O70" s="2032" t="s">
        <v>1376</v>
      </c>
      <c r="P70" s="2097" t="s">
        <v>1377</v>
      </c>
      <c r="Q70" s="2014">
        <f ca="1">C13</f>
        <v>9206</v>
      </c>
      <c r="R70" s="2014" t="s">
        <v>1311</v>
      </c>
    </row>
    <row r="71" spans="1:18" s="553" customFormat="1">
      <c r="A71" s="2103" t="s">
        <v>1291</v>
      </c>
      <c r="B71" s="2104" t="s">
        <v>1297</v>
      </c>
      <c r="C71" s="1967">
        <f ca="1">ROUND(C68*10000/F71,0)</f>
        <v>-696</v>
      </c>
      <c r="D71" s="2105" t="s">
        <v>1298</v>
      </c>
      <c r="E71" s="2106" t="s">
        <v>1299</v>
      </c>
      <c r="F71" s="1970">
        <f ca="1">F43</f>
        <v>14216.560000000001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644</v>
      </c>
      <c r="D75" s="553"/>
      <c r="E75" s="553"/>
      <c r="F75" s="553"/>
      <c r="K75" s="1988"/>
      <c r="L75" s="553"/>
      <c r="O75" s="2012" t="s">
        <v>1163</v>
      </c>
      <c r="P75" s="2013" t="s">
        <v>1341</v>
      </c>
      <c r="Q75" s="2014">
        <f ca="1">Q65+Q66</f>
        <v>11212</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0.46899999999999997</v>
      </c>
    </row>
    <row r="80" spans="1:18">
      <c r="B80" s="2108" t="s">
        <v>1387</v>
      </c>
      <c r="C80" s="421">
        <f ca="1">ROUND(C75/C39,3)</f>
        <v>0.53100000000000003</v>
      </c>
    </row>
    <row r="81" spans="2:3">
      <c r="B81" s="418" t="s">
        <v>1388</v>
      </c>
      <c r="C81" s="388"/>
    </row>
    <row r="82" spans="2:3">
      <c r="B82" s="420" t="s">
        <v>1139</v>
      </c>
      <c r="C82" s="422">
        <f ca="1">1-C83</f>
        <v>0.17900000000000005</v>
      </c>
    </row>
    <row r="83" spans="2:3">
      <c r="B83" s="420" t="s">
        <v>1140</v>
      </c>
      <c r="C83" s="421">
        <f ca="1">ROUND(C13/C40,3)</f>
        <v>0.82099999999999995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workbookViewId="0">
      <selection activeCell="I17" sqref="I17"/>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604</v>
      </c>
      <c r="D1" s="1846" t="s">
        <v>124</v>
      </c>
      <c r="E1" s="1847" t="s">
        <v>1201</v>
      </c>
      <c r="F1" s="1848">
        <f ca="1">J53</f>
        <v>12</v>
      </c>
      <c r="G1" s="1849">
        <f>MATCH(C1,'数据-取费表'!A6:A16,0)+5</f>
        <v>8</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363</v>
      </c>
      <c r="C2" s="1855" t="s">
        <v>1203</v>
      </c>
      <c r="D2" s="1855"/>
      <c r="E2" s="1857"/>
      <c r="F2" s="1858"/>
      <c r="G2" s="1859"/>
      <c r="H2" s="1860"/>
      <c r="I2" s="1860"/>
      <c r="J2" s="1860"/>
      <c r="K2" s="1861"/>
      <c r="L2" s="1860"/>
      <c r="M2" s="1860"/>
    </row>
    <row r="3" spans="1:37" ht="18" customHeight="1">
      <c r="A3" s="1862" t="s">
        <v>1204</v>
      </c>
      <c r="B3" s="1863">
        <f ca="1">IF(ISERROR(B2*10000/F43),0,ROUND(B2*10000/F43,0))</f>
        <v>477</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115</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ROUND(F6*F8*F7*(1-F9)/10000,0)</f>
        <v>115</v>
      </c>
      <c r="D6" s="1879" t="s">
        <v>1215</v>
      </c>
      <c r="E6" s="1880" t="s">
        <v>1216</v>
      </c>
      <c r="F6" s="1881">
        <f ca="1">INDIRECT("'数据-取费表'!u"&amp;$G$1)</f>
        <v>480</v>
      </c>
      <c r="G6" s="553"/>
      <c r="H6" s="1877" t="s">
        <v>955</v>
      </c>
      <c r="I6" s="3365" t="s">
        <v>1214</v>
      </c>
      <c r="J6" s="1882">
        <f ca="1">ROUND(M6*M8*M7*(1-M9)/10000,0)</f>
        <v>0</v>
      </c>
      <c r="K6" s="1879" t="s">
        <v>1217</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250</v>
      </c>
      <c r="G7" s="553"/>
      <c r="H7" s="1888"/>
      <c r="I7" s="3366"/>
      <c r="J7" s="1889"/>
      <c r="K7" s="1886"/>
      <c r="L7" s="1880" t="s">
        <v>1218</v>
      </c>
      <c r="M7" s="1881">
        <f ca="1">F7</f>
        <v>250</v>
      </c>
    </row>
    <row r="8" spans="1:37" ht="18" customHeight="1">
      <c r="A8" s="1888"/>
      <c r="B8" s="3366"/>
      <c r="C8" s="1889"/>
      <c r="D8" s="1886"/>
      <c r="E8" s="1880" t="s">
        <v>1219</v>
      </c>
      <c r="F8" s="1881">
        <f ca="1">INDIRECT("'数据-取费表'!ai"&amp;$G$1)</f>
        <v>12</v>
      </c>
      <c r="G8" s="553"/>
      <c r="H8" s="1888"/>
      <c r="I8" s="3366"/>
      <c r="J8" s="1889"/>
      <c r="K8" s="1886"/>
      <c r="L8" s="1880" t="s">
        <v>1219</v>
      </c>
      <c r="M8" s="1881">
        <f ca="1">INDIRECT("'数据-取费表'!ai"&amp;$G$1)</f>
        <v>12</v>
      </c>
    </row>
    <row r="9" spans="1:37" ht="18" customHeight="1">
      <c r="A9" s="1888"/>
      <c r="B9" s="3367"/>
      <c r="C9" s="1889"/>
      <c r="D9" s="1886"/>
      <c r="E9" s="1880" t="s">
        <v>1220</v>
      </c>
      <c r="F9" s="1890">
        <f ca="1">INDIRECT("'数据-取费表'!w"&amp;$G$1)</f>
        <v>0.2</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t="s">
        <v>1389</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1224</v>
      </c>
      <c r="C11" s="1899"/>
      <c r="D11" s="2115"/>
      <c r="E11" s="1891" t="s">
        <v>1225</v>
      </c>
      <c r="F11" s="1892">
        <f ca="1">'数据-取费表'!B39</f>
        <v>1.4999999999999999E-2</v>
      </c>
      <c r="G11" s="553"/>
      <c r="H11" s="1900"/>
      <c r="I11" s="1898" t="s">
        <v>1224</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4313</v>
      </c>
      <c r="D13" s="1914" t="s">
        <v>1228</v>
      </c>
      <c r="E13" s="1914" t="s">
        <v>1229</v>
      </c>
      <c r="F13" s="1915">
        <f ca="1">INDIRECT("'数据-取费表'!y"&amp;$G$1)</f>
        <v>0.88</v>
      </c>
      <c r="G13" s="553"/>
      <c r="H13" s="1911">
        <v>2</v>
      </c>
      <c r="I13" s="1912" t="s">
        <v>1227</v>
      </c>
      <c r="J13" s="1916">
        <f ca="1">ROUND(J14*J15,0)</f>
        <v>0</v>
      </c>
      <c r="K13" s="1917" t="s">
        <v>1228</v>
      </c>
      <c r="L13" s="1918"/>
      <c r="M13" s="1919"/>
    </row>
    <row r="14" spans="1:37" ht="18" customHeight="1">
      <c r="A14" s="1920" t="s">
        <v>978</v>
      </c>
      <c r="B14" s="1880" t="s">
        <v>1230</v>
      </c>
      <c r="C14" s="1921">
        <f ca="1">INDIRECT("'数据-取费表'!m"&amp;$G$1)+INDIRECT("'数据-取费表'!t"&amp;$G$1)</f>
        <v>3688</v>
      </c>
      <c r="D14" s="1922" t="s">
        <v>1231</v>
      </c>
      <c r="E14" s="1923"/>
      <c r="F14" s="1924"/>
      <c r="G14" s="553"/>
      <c r="H14" s="1920" t="s">
        <v>955</v>
      </c>
      <c r="I14" s="1880" t="s">
        <v>1232</v>
      </c>
      <c r="J14" s="996">
        <f ca="1">C29</f>
        <v>4901</v>
      </c>
      <c r="K14" s="1925"/>
      <c r="L14" s="1926"/>
      <c r="M14" s="1927"/>
    </row>
    <row r="15" spans="1:37" s="1842" customFormat="1" ht="18" customHeight="1">
      <c r="A15" s="1920" t="s">
        <v>982</v>
      </c>
      <c r="B15" s="1880" t="s">
        <v>1161</v>
      </c>
      <c r="C15" s="996">
        <f ca="1">ROUND(C14*F15,0)</f>
        <v>184</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1233</v>
      </c>
      <c r="E16" s="1880" t="s">
        <v>1234</v>
      </c>
      <c r="F16" s="1935">
        <f ca="1">IF(INDIRECT("'数据-取费表'!c"&amp;$G$1)="住宅",'数据-取费表'!B34,0)</f>
        <v>0</v>
      </c>
      <c r="G16" s="553"/>
      <c r="H16" s="1911" t="s">
        <v>1235</v>
      </c>
      <c r="I16" s="1912" t="s">
        <v>1236</v>
      </c>
      <c r="J16" s="1913">
        <f ca="1">ROUND(J17+J22+J23+J24,0)</f>
        <v>49</v>
      </c>
      <c r="K16" s="1917" t="s">
        <v>1237</v>
      </c>
      <c r="L16" s="1936"/>
      <c r="M16" s="1876"/>
    </row>
    <row r="17" spans="1:37" s="1842" customFormat="1" ht="18" customHeight="1">
      <c r="A17" s="1920" t="s">
        <v>1238</v>
      </c>
      <c r="B17" s="1880" t="s">
        <v>1239</v>
      </c>
      <c r="C17" s="996">
        <f ca="1">ROUND(F17*(F43+INDIRECT("'数据-取费表'!S"&amp;$G$1))/10000,0)</f>
        <v>164</v>
      </c>
      <c r="D17" s="1880" t="s">
        <v>1240</v>
      </c>
      <c r="E17" s="1880" t="s">
        <v>1241</v>
      </c>
      <c r="F17" s="1937">
        <f>'数据-取费表'!B35</f>
        <v>200</v>
      </c>
      <c r="G17" s="1930"/>
      <c r="H17" s="1920" t="s">
        <v>955</v>
      </c>
      <c r="I17" s="1880" t="s">
        <v>1242</v>
      </c>
      <c r="J17" s="1938">
        <f ca="1">ROUND(IF(AND(项目基本情况!B11="自然人",项目基本情况!B10="北京市"),J6*M17/(1+'数据-取费表'!C42),J18+J19+J20),2)</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74</v>
      </c>
      <c r="D18" s="1880" t="s">
        <v>1233</v>
      </c>
      <c r="E18" s="1880" t="s">
        <v>1234</v>
      </c>
      <c r="F18" s="1935">
        <f>'数据-取费表'!B36</f>
        <v>0.02</v>
      </c>
      <c r="G18" s="1930"/>
      <c r="H18" s="1920" t="s">
        <v>978</v>
      </c>
      <c r="I18" s="1880" t="s">
        <v>1246</v>
      </c>
      <c r="J18" s="996">
        <f ca="1">ROUND(J6*M18/(1+'数据-取费表'!C42),2)</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4110</v>
      </c>
      <c r="D19" s="1941" t="s">
        <v>1249</v>
      </c>
      <c r="E19" s="998"/>
      <c r="F19" s="1937"/>
      <c r="G19" s="553"/>
      <c r="H19" s="1920" t="s">
        <v>982</v>
      </c>
      <c r="I19" s="1880" t="s">
        <v>1250</v>
      </c>
      <c r="J19" s="996">
        <f ca="1">IF(K19="按租金收入计税",ROUND(J6*M19/(1+'数据-取费表'!C42),2),ROUND(C29*M19*0.7,2))</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82</v>
      </c>
      <c r="D20" s="1943" t="s">
        <v>1253</v>
      </c>
      <c r="E20" s="1880" t="s">
        <v>1234</v>
      </c>
      <c r="F20" s="1935">
        <f>'数据-取费表'!B37</f>
        <v>0.02</v>
      </c>
      <c r="G20" s="1930"/>
      <c r="H20" s="1920" t="s">
        <v>985</v>
      </c>
      <c r="I20" s="1879" t="s">
        <v>1254</v>
      </c>
      <c r="J20" s="1944">
        <f ca="1">ROUND(M20*M21/10000,2)</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1853.08</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ROUND(J14*M22,2)</f>
        <v>49.01</v>
      </c>
      <c r="K22" s="1939" t="s">
        <v>1263</v>
      </c>
      <c r="L22" s="1880" t="s">
        <v>1234</v>
      </c>
      <c r="M22" s="1951">
        <f ca="1">INDIRECT("'数据-取费表'!Ak"&amp;$G$1)</f>
        <v>0.01</v>
      </c>
    </row>
    <row r="23" spans="1:37" s="1842" customFormat="1" ht="18" customHeight="1">
      <c r="A23" s="1920" t="s">
        <v>978</v>
      </c>
      <c r="B23" s="1880" t="s">
        <v>1264</v>
      </c>
      <c r="C23" s="996">
        <f ca="1">IF('数据-取费表'!B22&lt;=1,ROUND(C19*F24*F23/2,0)+ROUND(C20*F24*F23/2,0),ROUND(C19*(POWER((1+F24),F23/2)-1),0)+ROUND(C20*(POWER((1+F24),F23/2)-1),0))</f>
        <v>132</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ROUND(J13*M23,2)</f>
        <v>0</v>
      </c>
      <c r="K23" s="1939" t="s">
        <v>1267</v>
      </c>
      <c r="L23" s="1880" t="s">
        <v>1234</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ROUND(J5*M24,2)</f>
        <v>0</v>
      </c>
      <c r="K24" s="1955" t="s">
        <v>1270</v>
      </c>
      <c r="L24" s="1907" t="s">
        <v>1234</v>
      </c>
      <c r="M24" s="1908">
        <f ca="1">INDIRECT("'数据-取费表'!Am"&amp;$G$1)</f>
        <v>0.02</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1271</v>
      </c>
      <c r="C25" s="996"/>
      <c r="D25" s="1941" t="s">
        <v>1272</v>
      </c>
      <c r="E25" s="998"/>
      <c r="F25" s="1937"/>
      <c r="G25" s="553"/>
      <c r="H25" s="1911" t="s">
        <v>1273</v>
      </c>
      <c r="I25" s="1956" t="s">
        <v>1274</v>
      </c>
      <c r="J25" s="1913">
        <f ca="1">J5-J16</f>
        <v>-49</v>
      </c>
      <c r="K25" s="1957" t="s">
        <v>1275</v>
      </c>
      <c r="L25" s="1958"/>
      <c r="M25" s="1959"/>
    </row>
    <row r="26" spans="1:37">
      <c r="A26" s="1920" t="s">
        <v>978</v>
      </c>
      <c r="B26" s="1880" t="s">
        <v>1276</v>
      </c>
      <c r="C26" s="996">
        <f ca="1">ROUND((C19+C20)*F26,0)</f>
        <v>210</v>
      </c>
      <c r="D26" s="1943" t="s">
        <v>1277</v>
      </c>
      <c r="E26" s="1891" t="s">
        <v>1278</v>
      </c>
      <c r="F26" s="1890">
        <f ca="1">INDIRECT("'数据-取费表'!q"&amp;$G$1)</f>
        <v>0.05</v>
      </c>
      <c r="G26" s="553"/>
      <c r="H26" s="1871" t="s">
        <v>1279</v>
      </c>
      <c r="I26" s="1872" t="s">
        <v>1280</v>
      </c>
      <c r="J26" s="1882">
        <f ca="1">IF(J5&lt;&gt;0,ROUND(J25*(1-((1+M28)/(1+M26))^M27)/(M26-M28),0),0)</f>
        <v>0</v>
      </c>
      <c r="K26" s="1945" t="s">
        <v>1281</v>
      </c>
      <c r="L26" s="1880" t="s">
        <v>1282</v>
      </c>
      <c r="M26" s="1890">
        <f ca="1">INDIRECT("'数据-取费表'!I"&amp;$G$1)</f>
        <v>0.05</v>
      </c>
    </row>
    <row r="27" spans="1:37" ht="18" customHeight="1">
      <c r="A27" s="1920" t="s">
        <v>982</v>
      </c>
      <c r="B27" s="1880" t="s">
        <v>1283</v>
      </c>
      <c r="C27" s="996">
        <f ca="1">ROUND(F21*F26,4)</f>
        <v>1E-3</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4901</v>
      </c>
      <c r="D29" s="1955"/>
      <c r="E29" s="1907"/>
      <c r="F29" s="1964"/>
      <c r="G29" s="1930"/>
      <c r="H29" s="1965" t="s">
        <v>1291</v>
      </c>
      <c r="I29" s="1966" t="s">
        <v>1292</v>
      </c>
      <c r="J29" s="1967">
        <f ca="1">ROUND(J26/(1+F40)^F41,0)</f>
        <v>0</v>
      </c>
      <c r="K29" s="1968" t="s">
        <v>1293</v>
      </c>
      <c r="L29" s="1969"/>
      <c r="M29" s="1970">
        <f ca="1">INDIRECT("'数据-取费表'!k"&amp;$G$1)</f>
        <v>7609.71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77</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ROUND(IF(AND(项目基本情况!B11="自然人",项目基本情况!B10="北京市"),C6*F31/(1+'数据-取费表'!C42),C32+C33+C34),2)</f>
        <v>19.27</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IF(项目基本情况!B11="自然人","——",ROUND(C6*F32/(1+'数据-取费表'!C42),2))</f>
        <v>6.13</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IF(项目基本情况!B11="自然人","——",IF(D33="按租金收入计税",ROUND(C6*F33/(1+'数据-取费表'!C42),2),IF(D33="按房产原值计税",ROUND(C29*F33*0.7,2),INDIRECT("'数据-取费表'!Aj"&amp;$G$1))))</f>
        <v>13.14</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IF(项目基本情况!B11="自然人","——",ROUND(F34*F35/10000,2))</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1853.08</v>
      </c>
      <c r="G35" s="553"/>
      <c r="H35" s="1971"/>
      <c r="I35" s="1972"/>
      <c r="J35" s="1973"/>
      <c r="K35" s="1978"/>
      <c r="L35" s="1977"/>
      <c r="M35" s="1977"/>
    </row>
    <row r="36" spans="1:18" ht="18" customHeight="1">
      <c r="A36" s="1983" t="s">
        <v>959</v>
      </c>
      <c r="B36" s="1880" t="s">
        <v>1262</v>
      </c>
      <c r="C36" s="996">
        <f ca="1">ROUND(C29*F36,2)</f>
        <v>49.01</v>
      </c>
      <c r="D36" s="1939" t="s">
        <v>1295</v>
      </c>
      <c r="E36" s="1880" t="s">
        <v>1234</v>
      </c>
      <c r="F36" s="1951">
        <f ca="1">INDIRECT("'数据-取费表'!Ak"&amp;$G$1)</f>
        <v>0.01</v>
      </c>
      <c r="G36" s="553"/>
      <c r="H36" s="1977"/>
      <c r="I36" s="1972"/>
      <c r="J36" s="1973"/>
      <c r="K36" s="1984"/>
      <c r="L36" s="1977"/>
      <c r="M36" s="1977"/>
    </row>
    <row r="37" spans="1:18" ht="18" customHeight="1">
      <c r="A37" s="1920" t="s">
        <v>1004</v>
      </c>
      <c r="B37" s="1880" t="s">
        <v>1266</v>
      </c>
      <c r="C37" s="996">
        <f ca="1">ROUND(C13*F37,2)</f>
        <v>6.47</v>
      </c>
      <c r="D37" s="1939" t="s">
        <v>1267</v>
      </c>
      <c r="E37" s="1880" t="s">
        <v>1234</v>
      </c>
      <c r="F37" s="1952">
        <f ca="1">INDIRECT("'数据-取费表'!Al"&amp;$G$1)</f>
        <v>1.5E-3</v>
      </c>
      <c r="G37" s="553"/>
      <c r="H37" s="1977"/>
      <c r="I37" s="1972"/>
      <c r="J37" s="1973"/>
      <c r="K37" s="1984"/>
      <c r="L37" s="1977"/>
      <c r="M37" s="1977"/>
    </row>
    <row r="38" spans="1:18" ht="18" customHeight="1">
      <c r="A38" s="1931" t="s">
        <v>1007</v>
      </c>
      <c r="B38" s="1907" t="s">
        <v>1252</v>
      </c>
      <c r="C38" s="1954">
        <f ca="1">ROUND(C5*F38,2)</f>
        <v>2.2999999999999998</v>
      </c>
      <c r="D38" s="1955" t="s">
        <v>1270</v>
      </c>
      <c r="E38" s="1907" t="s">
        <v>1234</v>
      </c>
      <c r="F38" s="1908">
        <f ca="1">INDIRECT("'数据-取费表'!Am"&amp;$G$1)</f>
        <v>0.02</v>
      </c>
      <c r="G38" s="553"/>
      <c r="H38" s="1977"/>
      <c r="I38" s="1972"/>
      <c r="J38" s="1973"/>
      <c r="K38" s="1974"/>
      <c r="L38" s="1977"/>
      <c r="M38" s="1977"/>
    </row>
    <row r="39" spans="1:18" ht="24.6" customHeight="1">
      <c r="A39" s="1911" t="s">
        <v>1273</v>
      </c>
      <c r="B39" s="1956" t="s">
        <v>1274</v>
      </c>
      <c r="C39" s="1913">
        <f ca="1">C5-C30</f>
        <v>38</v>
      </c>
      <c r="D39" s="1957" t="s">
        <v>1275</v>
      </c>
      <c r="E39" s="1958"/>
      <c r="F39" s="1959"/>
      <c r="G39" s="553"/>
      <c r="H39" s="1977"/>
      <c r="I39" s="1972"/>
      <c r="J39" s="1973"/>
      <c r="K39" s="1974"/>
      <c r="L39" s="1977"/>
      <c r="M39" s="1977"/>
    </row>
    <row r="40" spans="1:18" ht="18" customHeight="1">
      <c r="A40" s="1871" t="s">
        <v>1279</v>
      </c>
      <c r="B40" s="1872" t="s">
        <v>1296</v>
      </c>
      <c r="C40" s="1882">
        <f ca="1">ROUND(C39*(1-((1+F42)/(1+F40))^F41)/(F40-F42),0)</f>
        <v>363</v>
      </c>
      <c r="D40" s="1945" t="s">
        <v>1281</v>
      </c>
      <c r="E40" s="1880" t="s">
        <v>1282</v>
      </c>
      <c r="F40" s="1890">
        <f ca="1">INDIRECT("'数据-取费表'!I"&amp;$G$1)</f>
        <v>0.05</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12</v>
      </c>
      <c r="G41" s="553"/>
      <c r="H41" s="985"/>
      <c r="I41" s="1972"/>
      <c r="J41" s="1973"/>
      <c r="K41" s="1984"/>
      <c r="L41" s="985"/>
      <c r="M41" s="985"/>
    </row>
    <row r="42" spans="1:18" ht="18" customHeight="1">
      <c r="A42" s="1897"/>
      <c r="B42" s="1963"/>
      <c r="C42" s="1913"/>
      <c r="D42" s="1950"/>
      <c r="E42" s="1880" t="s">
        <v>1289</v>
      </c>
      <c r="F42" s="1890">
        <f ca="1">INDIRECT("'数据-取费表'!v"&amp;$G$1)</f>
        <v>1.4999999999999999E-2</v>
      </c>
      <c r="G42" s="553"/>
      <c r="H42" s="985"/>
      <c r="I42" s="1972"/>
      <c r="J42" s="1973"/>
      <c r="K42" s="1984"/>
      <c r="L42" s="985"/>
      <c r="M42" s="985"/>
    </row>
    <row r="43" spans="1:18" ht="18" customHeight="1">
      <c r="A43" s="1965" t="s">
        <v>1291</v>
      </c>
      <c r="B43" s="1966" t="s">
        <v>1297</v>
      </c>
      <c r="C43" s="1967">
        <f ca="1">ROUND(C40*10000/F43,0)</f>
        <v>477</v>
      </c>
      <c r="D43" s="1968" t="s">
        <v>1298</v>
      </c>
      <c r="E43" s="1969" t="s">
        <v>1299</v>
      </c>
      <c r="F43" s="1970">
        <f ca="1">INDIRECT("'数据-取费表'!k"&amp;$G$1)</f>
        <v>7609.71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1300</v>
      </c>
      <c r="P45" s="1985"/>
      <c r="Q45" s="1985"/>
      <c r="R45" s="1985"/>
    </row>
    <row r="46" spans="1:18" s="553" customFormat="1">
      <c r="A46" s="1993" t="s">
        <v>1301</v>
      </c>
      <c r="C46" s="1994">
        <f ca="1">C68-C40</f>
        <v>-850</v>
      </c>
      <c r="D46" s="1995" t="str">
        <f>C2</f>
        <v>万元</v>
      </c>
      <c r="E46" s="1986"/>
      <c r="F46" s="1986"/>
      <c r="I46" s="1996" t="s">
        <v>1302</v>
      </c>
      <c r="J46" s="1997"/>
      <c r="K46" s="1998"/>
      <c r="L46" s="1999" t="str">
        <f ca="1">IF(M47="住宅",0,IF(L48&gt;J51,L60,J60))</f>
        <v>0</v>
      </c>
      <c r="O46" s="2000" t="s">
        <v>1303</v>
      </c>
      <c r="P46" s="2001" t="s">
        <v>1304</v>
      </c>
      <c r="Q46" s="2002" t="s">
        <v>1305</v>
      </c>
      <c r="R46" s="2002" t="s">
        <v>1306</v>
      </c>
    </row>
    <row r="47" spans="1:18" s="553" customFormat="1">
      <c r="A47" s="2003" t="s">
        <v>1207</v>
      </c>
      <c r="B47" s="2004" t="s">
        <v>1208</v>
      </c>
      <c r="C47" s="2117" t="s">
        <v>1209</v>
      </c>
      <c r="D47" s="2004" t="s">
        <v>1210</v>
      </c>
      <c r="E47" s="2005" t="s">
        <v>1211</v>
      </c>
      <c r="F47" s="989"/>
      <c r="G47" s="2006"/>
      <c r="I47" s="2007" t="s">
        <v>1307</v>
      </c>
      <c r="J47" s="2008" t="s">
        <v>1308</v>
      </c>
      <c r="K47" s="2009" t="s">
        <v>1309</v>
      </c>
      <c r="L47" s="2010">
        <f ca="1">INDIRECT("'数据-取费表'!d"&amp;$G$1)</f>
        <v>40</v>
      </c>
      <c r="M47" s="2011" t="str">
        <f>IF(ISNUMBER(FIND("住宅",C1)),"住宅","非住宅")</f>
        <v>非住宅</v>
      </c>
      <c r="O47" s="2012" t="s">
        <v>1060</v>
      </c>
      <c r="P47" s="2013" t="s">
        <v>1310</v>
      </c>
      <c r="Q47" s="2014">
        <f ca="1">C40+J29</f>
        <v>363</v>
      </c>
      <c r="R47" s="2014" t="s">
        <v>1311</v>
      </c>
    </row>
    <row r="48" spans="1:18" s="553" customFormat="1" ht="27.75">
      <c r="A48" s="2015" t="s">
        <v>1312</v>
      </c>
      <c r="B48" s="1872" t="s">
        <v>1212</v>
      </c>
      <c r="C48" s="997">
        <f ca="1">C49+C53+C55</f>
        <v>0</v>
      </c>
      <c r="D48" s="2016"/>
      <c r="E48" s="2017"/>
      <c r="F48" s="2018"/>
      <c r="G48" s="2006"/>
      <c r="H48" s="2019"/>
      <c r="I48" s="2020" t="s">
        <v>1313</v>
      </c>
      <c r="J48" s="2021" t="s">
        <v>1314</v>
      </c>
      <c r="K48" s="2022" t="s">
        <v>1315</v>
      </c>
      <c r="L48" s="2023">
        <f ca="1">INDIRECT("'数据-取费表'!f"&amp;$G$1)</f>
        <v>12</v>
      </c>
      <c r="O48" s="2012" t="s">
        <v>1063</v>
      </c>
      <c r="P48" s="2013" t="s">
        <v>1316</v>
      </c>
      <c r="Q48" s="2014" t="str">
        <f ca="1">J60</f>
        <v>0</v>
      </c>
      <c r="R48" s="2014" t="s">
        <v>1317</v>
      </c>
    </row>
    <row r="49" spans="1:18" s="553" customFormat="1">
      <c r="A49" s="2024" t="s">
        <v>1318</v>
      </c>
      <c r="B49" s="2025" t="s">
        <v>1319</v>
      </c>
      <c r="C49" s="2026">
        <f ca="1">ROUND(F49*F51*F50*(1-F52)/10000,0)</f>
        <v>0</v>
      </c>
      <c r="D49" s="2027" t="s">
        <v>1217</v>
      </c>
      <c r="E49" s="2028" t="s">
        <v>1320</v>
      </c>
      <c r="F49" s="2029"/>
      <c r="H49" s="2019"/>
      <c r="I49" s="2020" t="s">
        <v>1321</v>
      </c>
      <c r="J49" s="2030"/>
      <c r="K49" s="2022" t="s">
        <v>1322</v>
      </c>
      <c r="L49" s="2031"/>
      <c r="O49" s="2032" t="s">
        <v>1323</v>
      </c>
      <c r="P49" s="2013" t="s">
        <v>1324</v>
      </c>
      <c r="Q49" s="2014">
        <f ca="1">C29</f>
        <v>4901</v>
      </c>
      <c r="R49" s="2014" t="s">
        <v>1311</v>
      </c>
    </row>
    <row r="50" spans="1:18" s="553" customFormat="1">
      <c r="A50" s="2033"/>
      <c r="B50" s="927"/>
      <c r="C50" s="2118"/>
      <c r="D50" s="2035"/>
      <c r="E50" s="2036" t="s">
        <v>1218</v>
      </c>
      <c r="F50" s="2037">
        <f ca="1">F7</f>
        <v>250</v>
      </c>
      <c r="H50" s="2019"/>
      <c r="I50" s="2020" t="s">
        <v>1325</v>
      </c>
      <c r="J50" s="2038">
        <f>SUMPRODUCT((I63:I65=J47)*(J62:L62=J48)*(J63:L65))</f>
        <v>60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12</v>
      </c>
      <c r="I51" s="2043" t="s">
        <v>1329</v>
      </c>
      <c r="J51" s="2023">
        <f>IF(J49="",J50,J49+J50-YEAR('数据-取费表'!B2))</f>
        <v>60</v>
      </c>
      <c r="K51" s="2044" t="s">
        <v>1330</v>
      </c>
      <c r="L51" s="2045">
        <f ca="1">ROUND(-PV(INDIRECT("'数据-取费表'!h"&amp;$G$1),J51,(C39-C13*C76),0),0)</f>
        <v>-5447</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12</v>
      </c>
      <c r="R52" s="2014" t="s">
        <v>1337</v>
      </c>
    </row>
    <row r="53" spans="1:18" s="553" customFormat="1" ht="24">
      <c r="A53" s="2119" t="s">
        <v>1338</v>
      </c>
      <c r="B53" s="2120" t="s">
        <v>1221</v>
      </c>
      <c r="C53" s="995">
        <f ca="1">ROUND(IF(F53="押一",C49/12*F11,IF(F53="押二",C49/12*2*F11,IF(F53="押三",C49/12*3*F11,C54*F11))),0)</f>
        <v>0</v>
      </c>
      <c r="D53" s="1894" t="s">
        <v>1222</v>
      </c>
      <c r="E53" s="1891" t="s">
        <v>1223</v>
      </c>
      <c r="F53" s="1895"/>
      <c r="I53" s="2051" t="s">
        <v>1339</v>
      </c>
      <c r="J53" s="2052">
        <f ca="1">IF(M47="住宅",IF(D1="——",MAX(J51,L48),MAX(J51,L48-'数据-取费表'!B24)),IF(D1="——",MIN(J51,L48),MIN(J51,L48-'数据-取费表'!B24)))</f>
        <v>12</v>
      </c>
      <c r="K53" s="3363" t="s">
        <v>1340</v>
      </c>
      <c r="L53" s="3364"/>
      <c r="O53" s="2012" t="s">
        <v>1163</v>
      </c>
      <c r="P53" s="2013" t="s">
        <v>1341</v>
      </c>
      <c r="Q53" s="2014">
        <f ca="1">Q47+Q48</f>
        <v>363</v>
      </c>
      <c r="R53" s="2014" t="s">
        <v>1342</v>
      </c>
    </row>
    <row r="54" spans="1:18" s="553" customFormat="1">
      <c r="A54" s="2121"/>
      <c r="B54" s="1898" t="s">
        <v>1224</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24">
      <c r="A56" s="2062">
        <v>2</v>
      </c>
      <c r="B56" s="2063" t="s">
        <v>1227</v>
      </c>
      <c r="C56" s="378">
        <f ca="1">C13</f>
        <v>4313</v>
      </c>
      <c r="D56" s="2064"/>
      <c r="E56" s="2065"/>
      <c r="F56" s="2055"/>
      <c r="I56" s="2066" t="s">
        <v>1346</v>
      </c>
      <c r="J56" s="2067" t="s">
        <v>609</v>
      </c>
      <c r="K56" s="2020" t="s">
        <v>1347</v>
      </c>
      <c r="L56" s="2023" t="str">
        <f ca="1">IF(L48&lt;J51,"——",L48-J53)</f>
        <v>——</v>
      </c>
      <c r="O56" s="2012" t="s">
        <v>1060</v>
      </c>
      <c r="P56" s="2013" t="s">
        <v>1310</v>
      </c>
      <c r="Q56" s="2014">
        <f ca="1">C40+J29</f>
        <v>363</v>
      </c>
      <c r="R56" s="2014" t="s">
        <v>1311</v>
      </c>
    </row>
    <row r="57" spans="1:18" s="553" customFormat="1" ht="24">
      <c r="A57" s="2068"/>
      <c r="B57" s="2069" t="s">
        <v>1290</v>
      </c>
      <c r="C57" s="388">
        <f ca="1">C29</f>
        <v>4901</v>
      </c>
      <c r="D57" s="2070"/>
      <c r="E57" s="2071"/>
      <c r="F57" s="2072"/>
      <c r="I57" s="2073" t="s">
        <v>1348</v>
      </c>
      <c r="J57" s="2074" t="str">
        <f ca="1">IF(OR(M47="住宅",J51&lt;L48,J56="是"),"——",J51-L48)</f>
        <v>——</v>
      </c>
      <c r="K57" s="2020" t="s">
        <v>1349</v>
      </c>
      <c r="L57" s="2023" t="str">
        <f ca="1">IF(L48&lt;J51,"——",IF(L55="比较法",L49,IF(L55="基准地价",L50,L51)))</f>
        <v>——</v>
      </c>
      <c r="O57" s="2012" t="s">
        <v>1063</v>
      </c>
      <c r="P57" s="2013" t="s">
        <v>1350</v>
      </c>
      <c r="Q57" s="2014">
        <f ca="1">L60</f>
        <v>0</v>
      </c>
      <c r="R57" s="2014" t="s">
        <v>1351</v>
      </c>
    </row>
    <row r="58" spans="1:18" s="553" customFormat="1" ht="24">
      <c r="A58" s="2075" t="s">
        <v>1235</v>
      </c>
      <c r="B58" s="2063" t="s">
        <v>1236</v>
      </c>
      <c r="C58" s="995">
        <f ca="1">ROUND(C59+C64+C65+C66,0)</f>
        <v>55</v>
      </c>
      <c r="D58" s="2076" t="s">
        <v>1237</v>
      </c>
      <c r="E58" s="2077"/>
      <c r="F58" s="2018"/>
      <c r="I58" s="2073" t="s">
        <v>1352</v>
      </c>
      <c r="J58" s="2078" t="e">
        <f ca="1">IF(J55&lt;0.4,0.4,J55)</f>
        <v>#VALUE!</v>
      </c>
      <c r="K58" s="2044" t="s">
        <v>1353</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IF(项目基本情况!B11="自然人","——",ROUND(C48*F60/(1+'数据-取费表'!C42),2))</f>
        <v>0</v>
      </c>
      <c r="D60" s="2080" t="s">
        <v>1247</v>
      </c>
      <c r="E60" s="2069" t="s">
        <v>1234</v>
      </c>
      <c r="F60" s="1953">
        <f t="shared" ref="F60:F66" si="0">F32</f>
        <v>5.6000000000000001E-2</v>
      </c>
      <c r="I60" s="2081" t="s">
        <v>1357</v>
      </c>
      <c r="J60" s="2082" t="str">
        <f ca="1">IF(OR(M47="住宅",J51&lt;L48,J56="是"),"0",ROUND(J59/(1+J52)^J53,0))</f>
        <v>0</v>
      </c>
      <c r="K60" s="2083" t="s">
        <v>1358</v>
      </c>
      <c r="L60" s="2082">
        <f ca="1">IF(OR(M47="住宅",L48&lt;J51),0,ROUND(L57*(L58/L59-1),0))</f>
        <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IF(项目基本情况!B11="自然人","——",IF(D61="按租金收入计税",ROUND(C49*F61/(1+'数据-取费表'!C42),2),IF(D61="按房产原值计税",ROUND(C57*F61*0.7,2),INDIRECT("'数据-取费表'!Aj"&amp;$G$1))))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IF(项目基本情况!B11="自然人","——",ROUND(F62*F63/10000,2))</f>
        <v>0</v>
      </c>
      <c r="D62" s="2085" t="s">
        <v>1255</v>
      </c>
      <c r="E62" s="2069" t="s">
        <v>1256</v>
      </c>
      <c r="F62" s="1946">
        <f t="shared" si="0"/>
        <v>0</v>
      </c>
      <c r="I62" s="2086" t="s">
        <v>1362</v>
      </c>
      <c r="J62" s="1207" t="s">
        <v>1363</v>
      </c>
      <c r="K62" s="1207" t="s">
        <v>1364</v>
      </c>
      <c r="L62" s="1207" t="s">
        <v>1365</v>
      </c>
      <c r="M62" s="2087" t="s">
        <v>1366</v>
      </c>
      <c r="O62" s="2012" t="s">
        <v>1163</v>
      </c>
      <c r="P62" s="2013" t="s">
        <v>1341</v>
      </c>
      <c r="Q62" s="2014">
        <f ca="1">Q56+Q57</f>
        <v>363</v>
      </c>
      <c r="R62" s="2014" t="s">
        <v>1342</v>
      </c>
    </row>
    <row r="63" spans="1:18" s="553" customFormat="1">
      <c r="A63" s="1947"/>
      <c r="B63" s="2088"/>
      <c r="C63" s="1949"/>
      <c r="D63" s="2089"/>
      <c r="E63" s="2069" t="s">
        <v>1260</v>
      </c>
      <c r="F63" s="1881">
        <f t="shared" ca="1" si="0"/>
        <v>1853.08</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ROUND(C57*F64,2)</f>
        <v>49.01</v>
      </c>
      <c r="D64" s="2080" t="s">
        <v>1295</v>
      </c>
      <c r="E64" s="2069" t="s">
        <v>1234</v>
      </c>
      <c r="F64" s="1951">
        <f t="shared" ca="1" si="0"/>
        <v>0.01</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ROUND(C56*F65,2)</f>
        <v>6.47</v>
      </c>
      <c r="D65" s="2080" t="s">
        <v>1267</v>
      </c>
      <c r="E65" s="2069" t="s">
        <v>1234</v>
      </c>
      <c r="F65" s="1952">
        <f t="shared" ca="1" si="0"/>
        <v>1.5E-3</v>
      </c>
      <c r="I65" s="2086" t="s">
        <v>1370</v>
      </c>
      <c r="J65" s="1207">
        <v>40</v>
      </c>
      <c r="K65" s="1207">
        <v>30</v>
      </c>
      <c r="L65" s="1207">
        <v>50</v>
      </c>
      <c r="M65" s="2090">
        <v>0.02</v>
      </c>
      <c r="O65" s="2012" t="s">
        <v>1060</v>
      </c>
      <c r="P65" s="2013" t="s">
        <v>1310</v>
      </c>
      <c r="Q65" s="2014">
        <f ca="1">C40+J29</f>
        <v>363</v>
      </c>
      <c r="R65" s="2014" t="s">
        <v>1311</v>
      </c>
    </row>
    <row r="66" spans="1:18" s="553" customFormat="1" ht="15.75">
      <c r="A66" s="1920" t="s">
        <v>1007</v>
      </c>
      <c r="B66" s="2069" t="s">
        <v>1252</v>
      </c>
      <c r="C66" s="996">
        <f ca="1">ROUND(C48*F66,2)</f>
        <v>0</v>
      </c>
      <c r="D66" s="2080" t="s">
        <v>1270</v>
      </c>
      <c r="E66" s="2069" t="s">
        <v>1234</v>
      </c>
      <c r="F66" s="1890">
        <f t="shared" ca="1" si="0"/>
        <v>0.02</v>
      </c>
      <c r="O66" s="2012" t="s">
        <v>1063</v>
      </c>
      <c r="P66" s="2013" t="s">
        <v>1350</v>
      </c>
      <c r="Q66" s="2014">
        <f ca="1">L60</f>
        <v>0</v>
      </c>
      <c r="R66" s="2014" t="s">
        <v>1351</v>
      </c>
    </row>
    <row r="67" spans="1:18" s="553" customFormat="1" ht="15.75">
      <c r="A67" s="2062" t="s">
        <v>1273</v>
      </c>
      <c r="B67" s="2091" t="s">
        <v>1274</v>
      </c>
      <c r="C67" s="995">
        <f ca="1">C48-C58</f>
        <v>-55</v>
      </c>
      <c r="D67" s="2079" t="s">
        <v>1275</v>
      </c>
      <c r="E67" s="2092"/>
      <c r="F67" s="2093"/>
      <c r="O67" s="2032" t="s">
        <v>1323</v>
      </c>
      <c r="P67" s="2013" t="s">
        <v>1354</v>
      </c>
      <c r="Q67" s="2094">
        <f ca="1">L51</f>
        <v>-5447</v>
      </c>
      <c r="R67" s="2014" t="s">
        <v>1371</v>
      </c>
    </row>
    <row r="68" spans="1:18" s="553" customFormat="1" ht="15.75">
      <c r="A68" s="2095" t="s">
        <v>1279</v>
      </c>
      <c r="B68" s="2096" t="s">
        <v>1296</v>
      </c>
      <c r="C68" s="1882">
        <f ca="1">ROUND(C67*(1-((1+F70)/(1+F68))^F69)/(F68-F70),0)</f>
        <v>-487</v>
      </c>
      <c r="D68" s="2085" t="s">
        <v>1281</v>
      </c>
      <c r="E68" s="2069" t="s">
        <v>1282</v>
      </c>
      <c r="F68" s="1890">
        <f ca="1">F40</f>
        <v>0.05</v>
      </c>
      <c r="O68" s="2032" t="s">
        <v>1327</v>
      </c>
      <c r="P68" s="2097" t="s">
        <v>1372</v>
      </c>
      <c r="Q68" s="2014">
        <f ca="1">ROUND(Q69-Q70*Q71,0)</f>
        <v>-264</v>
      </c>
      <c r="R68" s="2014" t="s">
        <v>1373</v>
      </c>
    </row>
    <row r="69" spans="1:18" s="553" customFormat="1">
      <c r="A69" s="2098"/>
      <c r="B69" s="2099"/>
      <c r="C69" s="1889"/>
      <c r="D69" s="2100" t="s">
        <v>1285</v>
      </c>
      <c r="E69" s="2069" t="s">
        <v>1286</v>
      </c>
      <c r="F69" s="1962">
        <f ca="1">F41</f>
        <v>12</v>
      </c>
      <c r="O69" s="2032" t="s">
        <v>1374</v>
      </c>
      <c r="P69" s="2097" t="s">
        <v>1375</v>
      </c>
      <c r="Q69" s="2014">
        <f ca="1">C39</f>
        <v>38</v>
      </c>
      <c r="R69" s="2014" t="s">
        <v>1311</v>
      </c>
    </row>
    <row r="70" spans="1:18" s="553" customFormat="1">
      <c r="A70" s="2101"/>
      <c r="B70" s="2102"/>
      <c r="C70" s="1913"/>
      <c r="D70" s="2089"/>
      <c r="E70" s="2069" t="s">
        <v>1289</v>
      </c>
      <c r="F70" s="2047"/>
      <c r="O70" s="2032" t="s">
        <v>1376</v>
      </c>
      <c r="P70" s="2097" t="s">
        <v>1377</v>
      </c>
      <c r="Q70" s="2014">
        <f ca="1">C13</f>
        <v>4313</v>
      </c>
      <c r="R70" s="2014" t="s">
        <v>1311</v>
      </c>
    </row>
    <row r="71" spans="1:18" s="553" customFormat="1">
      <c r="A71" s="2103" t="s">
        <v>1291</v>
      </c>
      <c r="B71" s="2104" t="s">
        <v>1297</v>
      </c>
      <c r="C71" s="1967">
        <f ca="1">ROUND(C68*10000/F71,0)</f>
        <v>-640</v>
      </c>
      <c r="D71" s="2105" t="s">
        <v>1298</v>
      </c>
      <c r="E71" s="2106" t="s">
        <v>1299</v>
      </c>
      <c r="F71" s="1970">
        <f ca="1">F43</f>
        <v>7609.71</v>
      </c>
      <c r="O71" s="2032" t="s">
        <v>1378</v>
      </c>
      <c r="P71" s="2097" t="s">
        <v>1379</v>
      </c>
      <c r="Q71" s="2040">
        <f ca="1">C76</f>
        <v>7.0000000000000007E-2</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302</v>
      </c>
      <c r="D75" s="553"/>
      <c r="E75" s="553"/>
      <c r="F75" s="553"/>
      <c r="K75" s="1988"/>
      <c r="L75" s="553"/>
      <c r="O75" s="2012" t="s">
        <v>1163</v>
      </c>
      <c r="P75" s="2013" t="s">
        <v>1341</v>
      </c>
      <c r="Q75" s="2014">
        <f ca="1">Q65+Q66</f>
        <v>363</v>
      </c>
      <c r="R75" s="2014" t="s">
        <v>1342</v>
      </c>
    </row>
    <row r="76" spans="1:18">
      <c r="B76" s="513" t="s">
        <v>1383</v>
      </c>
      <c r="C76" s="2110">
        <f ca="1">INDIRECT("'数据-取费表'!j"&amp;$G$1)</f>
        <v>7.0000000000000007E-2</v>
      </c>
      <c r="I76" s="553"/>
      <c r="J76" s="553"/>
      <c r="K76" s="1988"/>
      <c r="L76" s="553"/>
    </row>
    <row r="77" spans="1:18">
      <c r="B77" s="2111" t="s">
        <v>1384</v>
      </c>
      <c r="C77" s="2112"/>
      <c r="I77" s="553"/>
      <c r="J77" s="553"/>
      <c r="K77" s="1988"/>
      <c r="L77" s="553"/>
    </row>
    <row r="78" spans="1:18">
      <c r="B78" s="418" t="s">
        <v>1385</v>
      </c>
      <c r="C78" s="2113"/>
    </row>
    <row r="79" spans="1:18">
      <c r="B79" s="2108" t="s">
        <v>1386</v>
      </c>
      <c r="C79" s="421">
        <f ca="1">1-C80</f>
        <v>-6.9470000000000001</v>
      </c>
    </row>
    <row r="80" spans="1:18">
      <c r="B80" s="2108" t="s">
        <v>1387</v>
      </c>
      <c r="C80" s="421">
        <f ca="1">ROUND(C75/C39,3)</f>
        <v>7.9470000000000001</v>
      </c>
    </row>
    <row r="81" spans="2:3">
      <c r="B81" s="418" t="s">
        <v>1388</v>
      </c>
      <c r="C81" s="388"/>
    </row>
    <row r="82" spans="2:3">
      <c r="B82" s="420" t="s">
        <v>1139</v>
      </c>
      <c r="C82" s="422">
        <f ca="1">1-C83</f>
        <v>-10.882</v>
      </c>
    </row>
    <row r="83" spans="2:3">
      <c r="B83" s="420" t="s">
        <v>1140</v>
      </c>
      <c r="C83" s="421">
        <f ca="1">ROUND(C13/C40,3)</f>
        <v>11.882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c r="D1" s="1846" t="s">
        <v>124</v>
      </c>
      <c r="E1" s="1847" t="s">
        <v>1201</v>
      </c>
      <c r="F1" s="1848">
        <f ca="1">J53</f>
        <v>0</v>
      </c>
      <c r="G1" s="1849">
        <f>MATCH(C1,'数据-取费表'!A6:A16,0)+5</f>
        <v>9</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1854" t="e">
        <f ca="1">ROUND(D2/10000,4)</f>
        <v>#DIV/0!</v>
      </c>
      <c r="C2" s="1855" t="s">
        <v>1203</v>
      </c>
      <c r="D2" s="1856" t="e">
        <f ca="1">C40+J29+L46</f>
        <v>#DIV/0!</v>
      </c>
      <c r="E2" s="1857" t="s">
        <v>1390</v>
      </c>
      <c r="F2" s="1858"/>
      <c r="G2" s="1859"/>
      <c r="H2" s="1860"/>
      <c r="I2" s="1860"/>
      <c r="J2" s="1860"/>
      <c r="K2" s="1861"/>
      <c r="L2" s="1860"/>
      <c r="M2" s="1860"/>
    </row>
    <row r="3" spans="1:37" ht="18" customHeight="1">
      <c r="A3" s="1862" t="s">
        <v>1204</v>
      </c>
      <c r="B3" s="1863">
        <f ca="1">IF(ISERROR(D2/F43),0,ROUND(D2/F43,0))</f>
        <v>0</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0</v>
      </c>
      <c r="D5" s="1874" t="s">
        <v>1213</v>
      </c>
      <c r="E5" s="1875"/>
      <c r="F5" s="1876"/>
      <c r="G5" s="553"/>
      <c r="H5" s="1871">
        <v>1</v>
      </c>
      <c r="I5" s="1872" t="s">
        <v>1212</v>
      </c>
      <c r="J5" s="1873">
        <f ca="1">J6+J10+J12</f>
        <v>0</v>
      </c>
      <c r="K5" s="1874" t="s">
        <v>1213</v>
      </c>
      <c r="L5" s="1875"/>
      <c r="M5" s="1876"/>
    </row>
    <row r="6" spans="1:37" ht="18" customHeight="1">
      <c r="A6" s="1877" t="s">
        <v>955</v>
      </c>
      <c r="B6" s="3365" t="s">
        <v>1214</v>
      </c>
      <c r="C6" s="1878">
        <f ca="1">ROUND(F6*F8*F7*(1-F9),0)</f>
        <v>0</v>
      </c>
      <c r="D6" s="1879" t="s">
        <v>1391</v>
      </c>
      <c r="E6" s="1880" t="s">
        <v>1216</v>
      </c>
      <c r="F6" s="1881">
        <f ca="1">INDIRECT("'数据-取费表'!u"&amp;$G$1)</f>
        <v>0</v>
      </c>
      <c r="G6" s="553"/>
      <c r="H6" s="1877" t="s">
        <v>955</v>
      </c>
      <c r="I6" s="3365" t="s">
        <v>1214</v>
      </c>
      <c r="J6" s="1882">
        <f ca="1">ROUND(M6*M8*M7*(1-M9),0)</f>
        <v>0</v>
      </c>
      <c r="K6" s="1883" t="s">
        <v>1392</v>
      </c>
      <c r="L6" s="1880" t="s">
        <v>1216</v>
      </c>
      <c r="M6" s="1881">
        <f ca="1">INDIRECT("'数据-取费表'!z"&amp;$G$1)</f>
        <v>0</v>
      </c>
    </row>
    <row r="7" spans="1:37" ht="18" customHeight="1">
      <c r="A7" s="1884"/>
      <c r="B7" s="3366"/>
      <c r="C7" s="1885"/>
      <c r="D7" s="1886"/>
      <c r="E7" s="1887" t="s">
        <v>1218</v>
      </c>
      <c r="F7" s="1881">
        <f ca="1">IF(INDIRECT("'数据-取费表'!ah"&amp;$G$1)="",INDIRECT("'数据-取费表'!k"&amp;$G$1),INDIRECT("'数据-取费表'!ah"&amp;$G$1))</f>
        <v>0</v>
      </c>
      <c r="G7" s="553"/>
      <c r="H7" s="1888"/>
      <c r="I7" s="3366"/>
      <c r="J7" s="1889"/>
      <c r="K7" s="1886"/>
      <c r="L7" s="1880" t="s">
        <v>1218</v>
      </c>
      <c r="M7" s="1881">
        <f ca="1">F7</f>
        <v>0</v>
      </c>
    </row>
    <row r="8" spans="1:37" ht="18" customHeight="1">
      <c r="A8" s="1888"/>
      <c r="B8" s="3366"/>
      <c r="C8" s="1889"/>
      <c r="D8" s="1886"/>
      <c r="E8" s="1880" t="s">
        <v>1219</v>
      </c>
      <c r="F8" s="1881">
        <f ca="1">INDIRECT("'数据-取费表'!ai"&amp;$G$1)</f>
        <v>0</v>
      </c>
      <c r="G8" s="553"/>
      <c r="H8" s="1888"/>
      <c r="I8" s="3366"/>
      <c r="J8" s="1889"/>
      <c r="K8" s="1886"/>
      <c r="L8" s="1880" t="s">
        <v>1219</v>
      </c>
      <c r="M8" s="1881">
        <f ca="1">INDIRECT("'数据-取费表'!ai"&amp;$G$1)</f>
        <v>0</v>
      </c>
    </row>
    <row r="9" spans="1:37" ht="18" customHeight="1">
      <c r="A9" s="1888"/>
      <c r="B9" s="3367"/>
      <c r="C9" s="1889"/>
      <c r="D9" s="1886"/>
      <c r="E9" s="1880" t="s">
        <v>1220</v>
      </c>
      <c r="F9" s="1890">
        <f ca="1">INDIRECT("'数据-取费表'!w"&amp;$G$1)</f>
        <v>0</v>
      </c>
      <c r="G9" s="553"/>
      <c r="H9" s="1888"/>
      <c r="I9" s="3367"/>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c r="G10" s="553"/>
      <c r="H10" s="1877" t="s">
        <v>959</v>
      </c>
      <c r="I10" s="1893" t="s">
        <v>1221</v>
      </c>
      <c r="J10" s="1882">
        <f ca="1">ROUND(IF(M10="押一",J6/12*M11,IF(M10="押二",J6/12*2*M11,IF(M10="押三",J6/12*3*M11,J11*M11))),0)</f>
        <v>0</v>
      </c>
      <c r="K10" s="1896" t="s">
        <v>1393</v>
      </c>
      <c r="L10" s="1891" t="s">
        <v>1223</v>
      </c>
      <c r="M10" s="1895"/>
    </row>
    <row r="11" spans="1:37" ht="18" customHeight="1">
      <c r="A11" s="1897"/>
      <c r="B11" s="1898" t="s">
        <v>1394</v>
      </c>
      <c r="C11" s="1899"/>
      <c r="D11" s="1886"/>
      <c r="E11" s="1891" t="s">
        <v>1225</v>
      </c>
      <c r="F11" s="1892">
        <f ca="1">'数据-取费表'!B39</f>
        <v>1.4999999999999999E-2</v>
      </c>
      <c r="G11" s="553"/>
      <c r="H11" s="1900"/>
      <c r="I11" s="1898" t="s">
        <v>1395</v>
      </c>
      <c r="J11" s="1899"/>
      <c r="K11" s="1901"/>
      <c r="L11" s="1891" t="s">
        <v>1225</v>
      </c>
      <c r="M11" s="1902">
        <f ca="1">'数据-取费表'!B39</f>
        <v>1.4999999999999999E-2</v>
      </c>
    </row>
    <row r="12" spans="1:37" ht="18" customHeight="1">
      <c r="A12" s="1903" t="s">
        <v>1004</v>
      </c>
      <c r="B12" s="1904" t="s">
        <v>1226</v>
      </c>
      <c r="C12" s="1905"/>
      <c r="D12" s="1906"/>
      <c r="E12" s="1907"/>
      <c r="F12" s="1908"/>
      <c r="G12" s="553"/>
      <c r="H12" s="1903" t="s">
        <v>1004</v>
      </c>
      <c r="I12" s="1904" t="s">
        <v>1226</v>
      </c>
      <c r="J12" s="1905"/>
      <c r="K12" s="1909"/>
      <c r="L12" s="1907"/>
      <c r="M12" s="1910"/>
    </row>
    <row r="13" spans="1:37" ht="18" customHeight="1">
      <c r="A13" s="1911">
        <v>2</v>
      </c>
      <c r="B13" s="1912" t="s">
        <v>1227</v>
      </c>
      <c r="C13" s="1913">
        <f ca="1">ROUND(C29*F13,0)</f>
        <v>0</v>
      </c>
      <c r="D13" s="1914" t="s">
        <v>1228</v>
      </c>
      <c r="E13" s="1914" t="s">
        <v>1229</v>
      </c>
      <c r="F13" s="1915">
        <f ca="1">INDIRECT("'数据-取费表'!y"&amp;$G$1)</f>
        <v>0</v>
      </c>
      <c r="G13" s="553"/>
      <c r="H13" s="1911">
        <v>2</v>
      </c>
      <c r="I13" s="1912" t="s">
        <v>1227</v>
      </c>
      <c r="J13" s="1916">
        <f ca="1">ROUND(J14*J15,0)</f>
        <v>0</v>
      </c>
      <c r="K13" s="1917" t="s">
        <v>1228</v>
      </c>
      <c r="L13" s="1918"/>
      <c r="M13" s="1919"/>
    </row>
    <row r="14" spans="1:37" ht="18" customHeight="1">
      <c r="A14" s="1920" t="s">
        <v>978</v>
      </c>
      <c r="B14" s="1880" t="s">
        <v>1230</v>
      </c>
      <c r="C14" s="1921">
        <f ca="1">ROUND(INDIRECT("'数据-取费表'!l"&amp;$G$1)*F43+'数据-取费表'!L14*INDIRECT("'数据-取费表'!S"&amp;$G$1),0)</f>
        <v>0</v>
      </c>
      <c r="D14" s="1922" t="s">
        <v>1231</v>
      </c>
      <c r="E14" s="1923"/>
      <c r="F14" s="1924"/>
      <c r="G14" s="553"/>
      <c r="H14" s="1920" t="s">
        <v>955</v>
      </c>
      <c r="I14" s="1880" t="s">
        <v>1232</v>
      </c>
      <c r="J14" s="996">
        <f ca="1">C29</f>
        <v>0</v>
      </c>
      <c r="K14" s="1925"/>
      <c r="L14" s="1926"/>
      <c r="M14" s="1927"/>
    </row>
    <row r="15" spans="1:37" s="1842" customFormat="1" ht="18" customHeight="1">
      <c r="A15" s="1920" t="s">
        <v>982</v>
      </c>
      <c r="B15" s="1880" t="s">
        <v>1161</v>
      </c>
      <c r="C15" s="996">
        <f ca="1">ROUND(C14*F15,0)</f>
        <v>0</v>
      </c>
      <c r="D15" s="1928" t="s">
        <v>1233</v>
      </c>
      <c r="E15" s="1928" t="s">
        <v>1234</v>
      </c>
      <c r="F15" s="1929">
        <f>'数据-取费表'!B33</f>
        <v>0.05</v>
      </c>
      <c r="G15" s="1930"/>
      <c r="H15" s="1931" t="s">
        <v>959</v>
      </c>
      <c r="I15" s="1907" t="s">
        <v>1229</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ROUND(INDIRECT("'数据-取费表'!l"&amp;$G$1)*F43*F16,0)</f>
        <v>0</v>
      </c>
      <c r="D16" s="1880" t="s">
        <v>1233</v>
      </c>
      <c r="E16" s="1880" t="s">
        <v>1234</v>
      </c>
      <c r="F16" s="1935">
        <f ca="1">IF(INDIRECT("'数据-取费表'!c"&amp;$G$1)="住宅",'数据-取费表'!B34,0)</f>
        <v>0</v>
      </c>
      <c r="G16" s="553"/>
      <c r="H16" s="1911" t="s">
        <v>1235</v>
      </c>
      <c r="I16" s="1912" t="s">
        <v>1236</v>
      </c>
      <c r="J16" s="1913">
        <f ca="1">ROUND(J17+J22+J23+J24,0)</f>
        <v>0</v>
      </c>
      <c r="K16" s="1917" t="s">
        <v>1237</v>
      </c>
      <c r="L16" s="1936"/>
      <c r="M16" s="1876"/>
    </row>
    <row r="17" spans="1:37" s="1842" customFormat="1" ht="18" customHeight="1">
      <c r="A17" s="1920" t="s">
        <v>1238</v>
      </c>
      <c r="B17" s="1880" t="s">
        <v>1239</v>
      </c>
      <c r="C17" s="996">
        <f ca="1">ROUND(F17*(F43+INDIRECT("'数据-取费表'!S"&amp;$G$1)),0)</f>
        <v>0</v>
      </c>
      <c r="D17" s="1880" t="s">
        <v>1240</v>
      </c>
      <c r="E17" s="1880" t="s">
        <v>1241</v>
      </c>
      <c r="F17" s="1937">
        <f>'数据-取费表'!B35</f>
        <v>200</v>
      </c>
      <c r="G17" s="1930"/>
      <c r="H17" s="1920" t="s">
        <v>955</v>
      </c>
      <c r="I17" s="1880" t="s">
        <v>1242</v>
      </c>
      <c r="J17" s="1938">
        <f ca="1">ROUND(IF(AND(项目基本情况!B11="自然人",项目基本情况!B10="北京市"),J6*M17/(1+'数据-取费表'!C42),J18+J19+J20),0)</f>
        <v>0</v>
      </c>
      <c r="K17" s="1922" t="s">
        <v>1243</v>
      </c>
      <c r="L17" s="1939" t="s">
        <v>1244</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1245</v>
      </c>
      <c r="B18" s="1880" t="s">
        <v>1170</v>
      </c>
      <c r="C18" s="996">
        <f ca="1">ROUND(C14*F18,0)</f>
        <v>0</v>
      </c>
      <c r="D18" s="1880" t="s">
        <v>1233</v>
      </c>
      <c r="E18" s="1880" t="s">
        <v>1234</v>
      </c>
      <c r="F18" s="1935">
        <f>'数据-取费表'!B36</f>
        <v>0.02</v>
      </c>
      <c r="G18" s="1930"/>
      <c r="H18" s="1920" t="s">
        <v>978</v>
      </c>
      <c r="I18" s="1880" t="s">
        <v>1246</v>
      </c>
      <c r="J18" s="996">
        <f ca="1">ROUND(J6*M18/(1+'数据-取费表'!C42),0)</f>
        <v>0</v>
      </c>
      <c r="K18" s="1939" t="s">
        <v>1247</v>
      </c>
      <c r="L18" s="1880" t="s">
        <v>1234</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1248</v>
      </c>
      <c r="C19" s="996">
        <f ca="1">SUM(C14:C18)</f>
        <v>0</v>
      </c>
      <c r="D19" s="1941" t="s">
        <v>1249</v>
      </c>
      <c r="E19" s="998"/>
      <c r="F19" s="1937"/>
      <c r="G19" s="553"/>
      <c r="H19" s="1920" t="s">
        <v>982</v>
      </c>
      <c r="I19" s="1880" t="s">
        <v>1250</v>
      </c>
      <c r="J19" s="996">
        <f ca="1">IF(K19="按租金收入计税",ROUND(J6*M19/(1+'数据-取费表'!C42),0),ROUND(C29*M19*0.7,0))</f>
        <v>0</v>
      </c>
      <c r="K19" s="1942" t="s">
        <v>1251</v>
      </c>
      <c r="L19" s="1880" t="s">
        <v>1234</v>
      </c>
      <c r="M19" s="1935">
        <f>IF(K19="按租金收入计税",'数据-取费表'!B51,'数据-取费表'!B50)</f>
        <v>0.12</v>
      </c>
    </row>
    <row r="20" spans="1:37" s="1842" customFormat="1" ht="18" customHeight="1">
      <c r="A20" s="1920" t="s">
        <v>959</v>
      </c>
      <c r="B20" s="1880" t="s">
        <v>1252</v>
      </c>
      <c r="C20" s="996">
        <f ca="1">ROUND(C19*F20,0)</f>
        <v>0</v>
      </c>
      <c r="D20" s="1943" t="s">
        <v>1253</v>
      </c>
      <c r="E20" s="1880" t="s">
        <v>1234</v>
      </c>
      <c r="F20" s="1935">
        <f>'数据-取费表'!B37</f>
        <v>0.02</v>
      </c>
      <c r="G20" s="1930"/>
      <c r="H20" s="1920" t="s">
        <v>985</v>
      </c>
      <c r="I20" s="1879" t="s">
        <v>1254</v>
      </c>
      <c r="J20" s="1944">
        <f ca="1">ROUND(M20*M21,0)</f>
        <v>0</v>
      </c>
      <c r="K20" s="1945" t="s">
        <v>1255</v>
      </c>
      <c r="L20" s="1880" t="s">
        <v>1256</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1257</v>
      </c>
      <c r="C21" s="996" t="s">
        <v>124</v>
      </c>
      <c r="D21" s="1943" t="s">
        <v>1258</v>
      </c>
      <c r="E21" s="1880" t="s">
        <v>1259</v>
      </c>
      <c r="F21" s="1935">
        <f>'数据-取费表'!B38</f>
        <v>0.02</v>
      </c>
      <c r="G21" s="1930"/>
      <c r="H21" s="1947"/>
      <c r="I21" s="1948"/>
      <c r="J21" s="1949"/>
      <c r="K21" s="1950"/>
      <c r="L21" s="1880" t="s">
        <v>1260</v>
      </c>
      <c r="M21" s="1881">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1261</v>
      </c>
      <c r="C22" s="996"/>
      <c r="D22" s="1941" t="str">
        <f>IF(F23&lt;=1,"单利计息。","复利计息。")&amp;"建造成本、管理费用、销售费用产生的利息。"</f>
        <v>复利计息。建造成本、管理费用、销售费用产生的利息。</v>
      </c>
      <c r="E22" s="998"/>
      <c r="F22" s="1937"/>
      <c r="G22" s="553"/>
      <c r="H22" s="1920" t="s">
        <v>959</v>
      </c>
      <c r="I22" s="1880" t="s">
        <v>1262</v>
      </c>
      <c r="J22" s="996">
        <f ca="1">ROUND(J14*M22,0)</f>
        <v>0</v>
      </c>
      <c r="K22" s="1939" t="s">
        <v>1263</v>
      </c>
      <c r="L22" s="1880" t="s">
        <v>1234</v>
      </c>
      <c r="M22" s="1951">
        <f ca="1">INDIRECT("'数据-取费表'!Ak"&amp;$G$1)</f>
        <v>0</v>
      </c>
    </row>
    <row r="23" spans="1:37" s="1842" customFormat="1" ht="18" customHeight="1">
      <c r="A23" s="1920" t="s">
        <v>978</v>
      </c>
      <c r="B23" s="1880" t="s">
        <v>1264</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80" t="s">
        <v>1265</v>
      </c>
      <c r="F23" s="1946">
        <f>'数据-取费表'!B20</f>
        <v>2</v>
      </c>
      <c r="G23" s="1930"/>
      <c r="H23" s="1920" t="s">
        <v>1004</v>
      </c>
      <c r="I23" s="1880" t="s">
        <v>1266</v>
      </c>
      <c r="J23" s="996">
        <f ca="1">ROUND(J13*M23,0)</f>
        <v>0</v>
      </c>
      <c r="K23" s="1939" t="s">
        <v>1267</v>
      </c>
      <c r="L23" s="1880" t="s">
        <v>1234</v>
      </c>
      <c r="M23" s="1952">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1268</v>
      </c>
      <c r="C24" s="996">
        <f ca="1">ROUND(IF('数据-取费表'!B22&lt;=1,F21*F24*F23/2,F21*(POWER((1+F24),F23/2)-1)),4)</f>
        <v>5.9999999999999995E-4</v>
      </c>
      <c r="D24" s="902" t="str">
        <f>IF(F23&lt;=1,"销售费用×利率×(建设周期÷2)","销售费用×((1+利率)^(建设周期÷2)-1)")</f>
        <v>销售费用×((1+利率)^(建设周期÷2)-1)</v>
      </c>
      <c r="E24" s="1880" t="s">
        <v>1269</v>
      </c>
      <c r="F24" s="1953">
        <f ca="1">'数据-取费表'!B40</f>
        <v>3.1300000000000001E-2</v>
      </c>
      <c r="G24" s="1930"/>
      <c r="H24" s="1931" t="s">
        <v>1007</v>
      </c>
      <c r="I24" s="1907" t="s">
        <v>1252</v>
      </c>
      <c r="J24" s="1954">
        <f ca="1">ROUND(J5*M24,0)</f>
        <v>0</v>
      </c>
      <c r="K24" s="1955" t="s">
        <v>1270</v>
      </c>
      <c r="L24" s="1907" t="s">
        <v>1234</v>
      </c>
      <c r="M24" s="1908">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18" customHeight="1">
      <c r="A25" s="1920" t="s">
        <v>1011</v>
      </c>
      <c r="B25" s="1880" t="s">
        <v>1271</v>
      </c>
      <c r="C25" s="996"/>
      <c r="D25" s="1941" t="s">
        <v>1272</v>
      </c>
      <c r="E25" s="998"/>
      <c r="F25" s="1937"/>
      <c r="G25" s="553"/>
      <c r="H25" s="1911" t="s">
        <v>1273</v>
      </c>
      <c r="I25" s="1956" t="s">
        <v>1274</v>
      </c>
      <c r="J25" s="1913">
        <f ca="1">J5-J16</f>
        <v>0</v>
      </c>
      <c r="K25" s="1957" t="s">
        <v>1275</v>
      </c>
      <c r="L25" s="1958"/>
      <c r="M25" s="1959"/>
    </row>
    <row r="26" spans="1:37" ht="18" customHeight="1">
      <c r="A26" s="1920" t="s">
        <v>978</v>
      </c>
      <c r="B26" s="1880" t="s">
        <v>1276</v>
      </c>
      <c r="C26" s="996">
        <f ca="1">ROUND((C19+C20)*F26,0)</f>
        <v>0</v>
      </c>
      <c r="D26" s="1943" t="s">
        <v>1277</v>
      </c>
      <c r="E26" s="1891" t="s">
        <v>1278</v>
      </c>
      <c r="F26" s="1890">
        <f ca="1">INDIRECT("'数据-取费表'!q"&amp;$G$1)</f>
        <v>0</v>
      </c>
      <c r="G26" s="553"/>
      <c r="H26" s="1871" t="s">
        <v>1279</v>
      </c>
      <c r="I26" s="1872" t="s">
        <v>1280</v>
      </c>
      <c r="J26" s="1882">
        <f ca="1">IF(J5&lt;&gt;0,ROUND(J25*(1-((1+M28)/(1+M26))^M27)/(M26-M28),0),0)</f>
        <v>0</v>
      </c>
      <c r="K26" s="1945" t="s">
        <v>1281</v>
      </c>
      <c r="L26" s="1880" t="s">
        <v>1282</v>
      </c>
      <c r="M26" s="1890">
        <f ca="1">INDIRECT("'数据-取费表'!I"&amp;$G$1)</f>
        <v>0</v>
      </c>
    </row>
    <row r="27" spans="1:37" ht="18" customHeight="1">
      <c r="A27" s="1920" t="s">
        <v>982</v>
      </c>
      <c r="B27" s="1880" t="s">
        <v>1283</v>
      </c>
      <c r="C27" s="996">
        <f ca="1">ROUND(F21*F26,4)</f>
        <v>0</v>
      </c>
      <c r="D27" s="1943" t="s">
        <v>1284</v>
      </c>
      <c r="E27" s="1928"/>
      <c r="F27" s="1929"/>
      <c r="G27" s="553"/>
      <c r="H27" s="1888"/>
      <c r="I27" s="1960"/>
      <c r="J27" s="1889"/>
      <c r="K27" s="1961" t="s">
        <v>1285</v>
      </c>
      <c r="L27" s="1880" t="s">
        <v>1286</v>
      </c>
      <c r="M27" s="1962">
        <f ca="1">INDIRECT("'数据-取费表'!ag"&amp;$G$1)</f>
        <v>0</v>
      </c>
    </row>
    <row r="28" spans="1:37" s="1842" customFormat="1" ht="18" customHeight="1">
      <c r="A28" s="1920" t="s">
        <v>1012</v>
      </c>
      <c r="B28" s="1880" t="s">
        <v>1287</v>
      </c>
      <c r="C28" s="996">
        <f>ROUND(F28/(1+'数据-取费表'!C42),4)</f>
        <v>5.33E-2</v>
      </c>
      <c r="D28" s="1943" t="s">
        <v>1288</v>
      </c>
      <c r="E28" s="1880" t="s">
        <v>1234</v>
      </c>
      <c r="F28" s="1935">
        <f>'数据-取费表'!B41</f>
        <v>5.6000000000000001E-2</v>
      </c>
      <c r="G28" s="1930"/>
      <c r="H28" s="1897"/>
      <c r="I28" s="1963"/>
      <c r="J28" s="1913"/>
      <c r="K28" s="1950"/>
      <c r="L28" s="1880" t="s">
        <v>1289</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1290</v>
      </c>
      <c r="C29" s="1954">
        <f ca="1">ROUND((C19+C20+C23+C26)/(1-F21-C24-C27-C28),0)</f>
        <v>0</v>
      </c>
      <c r="D29" s="1955"/>
      <c r="E29" s="1907"/>
      <c r="F29" s="1964"/>
      <c r="G29" s="1930"/>
      <c r="H29" s="1965" t="s">
        <v>1291</v>
      </c>
      <c r="I29" s="1966" t="s">
        <v>1292</v>
      </c>
      <c r="J29" s="1967">
        <f ca="1">ROUND(J26/(1+F40)^F41,0)</f>
        <v>0</v>
      </c>
      <c r="K29" s="1968" t="s">
        <v>1293</v>
      </c>
      <c r="L29" s="1969"/>
      <c r="M29" s="1970">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1235</v>
      </c>
      <c r="B30" s="1912" t="s">
        <v>1236</v>
      </c>
      <c r="C30" s="1913">
        <f ca="1">ROUND(C31+C36+C37+C38,0)</f>
        <v>0</v>
      </c>
      <c r="D30" s="1917" t="s">
        <v>1237</v>
      </c>
      <c r="E30" s="1936"/>
      <c r="F30" s="1876"/>
      <c r="G30" s="553"/>
      <c r="H30" s="1971"/>
      <c r="I30" s="1972"/>
      <c r="J30" s="1973"/>
      <c r="K30" s="985"/>
      <c r="L30" s="1974"/>
      <c r="M30" s="1975"/>
    </row>
    <row r="31" spans="1:37" ht="18" customHeight="1">
      <c r="A31" s="1920" t="s">
        <v>955</v>
      </c>
      <c r="B31" s="1880" t="s">
        <v>1242</v>
      </c>
      <c r="C31" s="1938">
        <f ca="1">ROUND(IF(AND(项目基本情况!B11="自然人",项目基本情况!B10="北京市"),C6*F31/(1+'数据-取费表'!C42),C32+C33+C34),0)</f>
        <v>0</v>
      </c>
      <c r="D31" s="1922" t="s">
        <v>1243</v>
      </c>
      <c r="E31" s="1939" t="s">
        <v>1244</v>
      </c>
      <c r="F31" s="1940" t="str">
        <f>IF(项目基本情况!B11="企业","——",IF(M47="住宅",IF(F6*F7*F8/12/(1+'数据-取费表'!F30)&gt;100000,4%,2.5%),IF(F6*F7*F8/12/(1+'数据-取费表'!F30)&gt;100000,12%,7%)))</f>
        <v>——</v>
      </c>
      <c r="G31" s="553"/>
      <c r="H31" s="1976" t="s">
        <v>1294</v>
      </c>
      <c r="I31" s="1972"/>
      <c r="J31" s="1973"/>
      <c r="K31" s="985"/>
      <c r="L31" s="1974"/>
      <c r="M31" s="1975"/>
    </row>
    <row r="32" spans="1:37" ht="18" customHeight="1">
      <c r="A32" s="1920" t="s">
        <v>978</v>
      </c>
      <c r="B32" s="1880" t="s">
        <v>1246</v>
      </c>
      <c r="C32" s="996">
        <f ca="1">IF(项目基本情况!B11="自然人","——",ROUND(C6*F32/(1+'数据-取费表'!C42),0))</f>
        <v>0</v>
      </c>
      <c r="D32" s="1939" t="s">
        <v>1247</v>
      </c>
      <c r="E32" s="1880" t="s">
        <v>1234</v>
      </c>
      <c r="F32" s="1953">
        <f>'数据-取费表'!B41</f>
        <v>5.6000000000000001E-2</v>
      </c>
      <c r="G32" s="553"/>
      <c r="H32" s="1971"/>
      <c r="I32" s="1972"/>
      <c r="J32" s="1973"/>
      <c r="K32" s="985"/>
      <c r="L32" s="1974"/>
      <c r="M32" s="1975"/>
    </row>
    <row r="33" spans="1:18" ht="18" customHeight="1">
      <c r="A33" s="1920" t="s">
        <v>982</v>
      </c>
      <c r="B33" s="1880" t="s">
        <v>1250</v>
      </c>
      <c r="C33" s="996">
        <f ca="1">IF(项目基本情况!B11="自然人","——",IF(D33="按租金收入计税",ROUND(C6*F33/(1+'数据-取费表'!C42),0),IF(D33="按房产原值计税",ROUND(C29*F33*0.7,0),INDIRECT("'数据-取费表'!Aj"&amp;$G$1))))</f>
        <v>0</v>
      </c>
      <c r="D33" s="1942" t="s">
        <v>1251</v>
      </c>
      <c r="E33" s="1880" t="s">
        <v>1234</v>
      </c>
      <c r="F33" s="1935">
        <f>IF(D33="按票据","——",IF(D33="按租金收入计税",'数据-取费表'!B51,'数据-取费表'!B50))</f>
        <v>0.12</v>
      </c>
      <c r="G33" s="553"/>
      <c r="H33" s="1977"/>
      <c r="I33" s="1972"/>
      <c r="J33" s="1973"/>
      <c r="K33" s="1978"/>
      <c r="L33" s="1977"/>
      <c r="M33" s="1977"/>
    </row>
    <row r="34" spans="1:18" ht="18" customHeight="1">
      <c r="A34" s="1877" t="s">
        <v>985</v>
      </c>
      <c r="B34" s="1879" t="s">
        <v>1254</v>
      </c>
      <c r="C34" s="1944">
        <f ca="1">IF(项目基本情况!B11="自然人","——",ROUND(F34*F35,0))</f>
        <v>0</v>
      </c>
      <c r="D34" s="1945" t="s">
        <v>1255</v>
      </c>
      <c r="E34" s="1880" t="s">
        <v>1256</v>
      </c>
      <c r="F34" s="1946">
        <f>'数据-取费表'!B52</f>
        <v>0</v>
      </c>
      <c r="G34" s="553"/>
      <c r="H34" s="1971"/>
      <c r="I34" s="1972"/>
      <c r="J34" s="1973"/>
      <c r="K34" s="1979"/>
      <c r="L34" s="1980"/>
      <c r="M34" s="1980"/>
    </row>
    <row r="35" spans="1:18" ht="18" customHeight="1">
      <c r="A35" s="1981"/>
      <c r="B35" s="1982"/>
      <c r="C35" s="1949"/>
      <c r="D35" s="1950"/>
      <c r="E35" s="1880" t="s">
        <v>1260</v>
      </c>
      <c r="F35" s="1881">
        <f ca="1">INDIRECT("'数据-取费表'!r"&amp;$G$1)</f>
        <v>0</v>
      </c>
      <c r="G35" s="553"/>
      <c r="H35" s="1971"/>
      <c r="I35" s="1972"/>
      <c r="J35" s="1973"/>
      <c r="K35" s="1978"/>
      <c r="L35" s="1977"/>
      <c r="M35" s="1977"/>
    </row>
    <row r="36" spans="1:18" ht="18" customHeight="1">
      <c r="A36" s="1983" t="s">
        <v>959</v>
      </c>
      <c r="B36" s="1880" t="s">
        <v>1262</v>
      </c>
      <c r="C36" s="996">
        <f ca="1">ROUND(C29*F36,0)</f>
        <v>0</v>
      </c>
      <c r="D36" s="1939" t="s">
        <v>1295</v>
      </c>
      <c r="E36" s="1880" t="s">
        <v>1234</v>
      </c>
      <c r="F36" s="1951">
        <f ca="1">INDIRECT("'数据-取费表'!Ak"&amp;$G$1)</f>
        <v>0</v>
      </c>
      <c r="G36" s="553"/>
      <c r="H36" s="1977"/>
      <c r="I36" s="1972"/>
      <c r="J36" s="1973"/>
      <c r="K36" s="1984"/>
      <c r="L36" s="1977"/>
      <c r="M36" s="1977"/>
    </row>
    <row r="37" spans="1:18" ht="18" customHeight="1">
      <c r="A37" s="1920" t="s">
        <v>1004</v>
      </c>
      <c r="B37" s="1880" t="s">
        <v>1266</v>
      </c>
      <c r="C37" s="996">
        <f ca="1">ROUND(C13*F37,0)</f>
        <v>0</v>
      </c>
      <c r="D37" s="1939" t="s">
        <v>1267</v>
      </c>
      <c r="E37" s="1880" t="s">
        <v>1234</v>
      </c>
      <c r="F37" s="1952">
        <f ca="1">INDIRECT("'数据-取费表'!Al"&amp;$G$1)</f>
        <v>0</v>
      </c>
      <c r="G37" s="553"/>
      <c r="H37" s="1977"/>
      <c r="I37" s="1972"/>
      <c r="J37" s="1973"/>
      <c r="K37" s="1984"/>
      <c r="L37" s="1977"/>
      <c r="M37" s="1977"/>
    </row>
    <row r="38" spans="1:18" ht="18" customHeight="1">
      <c r="A38" s="1931" t="s">
        <v>1007</v>
      </c>
      <c r="B38" s="1907" t="s">
        <v>1252</v>
      </c>
      <c r="C38" s="1954">
        <f ca="1">ROUND(C5*F38,0)</f>
        <v>0</v>
      </c>
      <c r="D38" s="1955" t="s">
        <v>1270</v>
      </c>
      <c r="E38" s="1907" t="s">
        <v>1234</v>
      </c>
      <c r="F38" s="1908">
        <f ca="1">INDIRECT("'数据-取费表'!Am"&amp;$G$1)</f>
        <v>0</v>
      </c>
      <c r="G38" s="553"/>
      <c r="H38" s="1977"/>
      <c r="I38" s="1972"/>
      <c r="J38" s="1973"/>
      <c r="K38" s="1974"/>
      <c r="L38" s="1977"/>
      <c r="M38" s="1977"/>
    </row>
    <row r="39" spans="1:18" ht="24.6" customHeight="1">
      <c r="A39" s="1911" t="s">
        <v>1273</v>
      </c>
      <c r="B39" s="1956" t="s">
        <v>1274</v>
      </c>
      <c r="C39" s="1913">
        <f ca="1">C5-C30</f>
        <v>0</v>
      </c>
      <c r="D39" s="1957" t="s">
        <v>1275</v>
      </c>
      <c r="E39" s="1958"/>
      <c r="F39" s="1959"/>
      <c r="G39" s="553"/>
      <c r="H39" s="1977"/>
      <c r="I39" s="1972"/>
      <c r="J39" s="1973"/>
      <c r="K39" s="1974"/>
      <c r="L39" s="1977"/>
      <c r="M39" s="1977"/>
    </row>
    <row r="40" spans="1:18" ht="18" customHeight="1">
      <c r="A40" s="1871" t="s">
        <v>1279</v>
      </c>
      <c r="B40" s="1872" t="s">
        <v>1296</v>
      </c>
      <c r="C40" s="1882" t="e">
        <f ca="1">ROUND(C39*(1-((1+F42)/(1+F40))^F41)/(F40-F42),0)</f>
        <v>#DIV/0!</v>
      </c>
      <c r="D40" s="1945" t="s">
        <v>1281</v>
      </c>
      <c r="E40" s="1880" t="s">
        <v>1282</v>
      </c>
      <c r="F40" s="1890">
        <f ca="1">INDIRECT("'数据-取费表'!I"&amp;$G$1)</f>
        <v>0</v>
      </c>
      <c r="G40" s="553"/>
      <c r="H40" s="1985"/>
      <c r="I40" s="1972"/>
      <c r="J40" s="1973"/>
      <c r="K40" s="1974"/>
      <c r="L40" s="1985"/>
      <c r="M40" s="1985"/>
    </row>
    <row r="41" spans="1:18" ht="18" customHeight="1">
      <c r="A41" s="1888"/>
      <c r="B41" s="1960"/>
      <c r="C41" s="1889"/>
      <c r="D41" s="1961" t="s">
        <v>1285</v>
      </c>
      <c r="E41" s="1880" t="s">
        <v>1286</v>
      </c>
      <c r="F41" s="1962">
        <f ca="1">IF(INDIRECT("'数据-取费表'!af"&amp;$G$1)=0,INDIRECT("'数据-取费表'!ae"&amp;$G$1),INDIRECT("'数据-取费表'!af"&amp;$G$1))</f>
        <v>0</v>
      </c>
      <c r="G41" s="553"/>
      <c r="H41" s="985"/>
      <c r="I41" s="1972"/>
      <c r="J41" s="1973"/>
      <c r="K41" s="1984"/>
      <c r="L41" s="985"/>
      <c r="M41" s="985"/>
    </row>
    <row r="42" spans="1:18" ht="18" customHeight="1">
      <c r="A42" s="1897"/>
      <c r="B42" s="1963"/>
      <c r="C42" s="1913"/>
      <c r="D42" s="1950"/>
      <c r="E42" s="1880" t="s">
        <v>1289</v>
      </c>
      <c r="F42" s="1890">
        <f ca="1">INDIRECT("'数据-取费表'!v"&amp;$G$1)</f>
        <v>0</v>
      </c>
      <c r="G42" s="553"/>
      <c r="H42" s="985"/>
      <c r="I42" s="1972"/>
      <c r="J42" s="1973"/>
      <c r="K42" s="1984"/>
      <c r="L42" s="985"/>
      <c r="M42" s="985"/>
    </row>
    <row r="43" spans="1:18" ht="18" customHeight="1">
      <c r="A43" s="1965" t="s">
        <v>1291</v>
      </c>
      <c r="B43" s="1966" t="s">
        <v>1297</v>
      </c>
      <c r="C43" s="1967" t="e">
        <f ca="1">ROUND(C40/F43,0)</f>
        <v>#DIV/0!</v>
      </c>
      <c r="D43" s="1968" t="s">
        <v>1298</v>
      </c>
      <c r="E43" s="1969" t="s">
        <v>1299</v>
      </c>
      <c r="F43" s="1970">
        <f ca="1">INDIRECT("'数据-取费表'!k"&amp;$G$1)</f>
        <v>0</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9" t="s">
        <v>1396</v>
      </c>
      <c r="B45" s="1986"/>
      <c r="C45" s="1990" t="e">
        <f ca="1">ROUND((C68-C40)/10000,4)</f>
        <v>#DIV/0!</v>
      </c>
      <c r="D45" s="1991" t="s">
        <v>1397</v>
      </c>
      <c r="E45" s="1986"/>
      <c r="F45" s="1986"/>
      <c r="O45" s="1992" t="s">
        <v>1300</v>
      </c>
      <c r="P45" s="1985"/>
      <c r="Q45" s="1985"/>
      <c r="R45" s="1985"/>
    </row>
    <row r="46" spans="1:18" s="553" customFormat="1">
      <c r="A46" s="1993" t="s">
        <v>1301</v>
      </c>
      <c r="C46" s="1994" t="e">
        <f ca="1">ROUND(C45,0)</f>
        <v>#DIV/0!</v>
      </c>
      <c r="D46" s="1995" t="str">
        <f>C2</f>
        <v>万元</v>
      </c>
      <c r="I46" s="1996" t="s">
        <v>1302</v>
      </c>
      <c r="J46" s="1997"/>
      <c r="K46" s="1998"/>
      <c r="L46" s="1999" t="e">
        <f ca="1">IF(M47="住宅",0,IF(L48&gt;J51,L60,J60))</f>
        <v>#DIV/0!</v>
      </c>
      <c r="O46" s="2000" t="s">
        <v>1303</v>
      </c>
      <c r="P46" s="2001" t="s">
        <v>1304</v>
      </c>
      <c r="Q46" s="2002" t="s">
        <v>1305</v>
      </c>
      <c r="R46" s="2002" t="s">
        <v>1306</v>
      </c>
    </row>
    <row r="47" spans="1:18" s="553" customFormat="1">
      <c r="A47" s="2003" t="s">
        <v>1207</v>
      </c>
      <c r="B47" s="2004" t="s">
        <v>1208</v>
      </c>
      <c r="C47" s="2004" t="s">
        <v>1209</v>
      </c>
      <c r="D47" s="2004" t="s">
        <v>1210</v>
      </c>
      <c r="E47" s="2005" t="s">
        <v>1211</v>
      </c>
      <c r="F47" s="989"/>
      <c r="G47" s="2006"/>
      <c r="I47" s="2007" t="s">
        <v>1307</v>
      </c>
      <c r="J47" s="2008"/>
      <c r="K47" s="2009" t="s">
        <v>1309</v>
      </c>
      <c r="L47" s="2010">
        <f ca="1">INDIRECT("'数据-取费表'!d"&amp;$G$1)</f>
        <v>40</v>
      </c>
      <c r="M47" s="2011" t="str">
        <f>IF(ISNUMBER(FIND("住宅",C1)),"住宅","非住宅")</f>
        <v>非住宅</v>
      </c>
      <c r="O47" s="2012" t="s">
        <v>1060</v>
      </c>
      <c r="P47" s="2013" t="s">
        <v>1310</v>
      </c>
      <c r="Q47" s="2014" t="e">
        <f ca="1">C40+J29</f>
        <v>#DIV/0!</v>
      </c>
      <c r="R47" s="2014" t="s">
        <v>1311</v>
      </c>
    </row>
    <row r="48" spans="1:18" s="553" customFormat="1" ht="27.75">
      <c r="A48" s="2015" t="s">
        <v>1312</v>
      </c>
      <c r="B48" s="1872" t="s">
        <v>1212</v>
      </c>
      <c r="C48" s="997">
        <f ca="1">C49+C53+C55</f>
        <v>0</v>
      </c>
      <c r="D48" s="2016"/>
      <c r="E48" s="2017"/>
      <c r="F48" s="2018"/>
      <c r="G48" s="2006"/>
      <c r="H48" s="2019"/>
      <c r="I48" s="2020" t="s">
        <v>1313</v>
      </c>
      <c r="J48" s="2021"/>
      <c r="K48" s="2022" t="s">
        <v>1315</v>
      </c>
      <c r="L48" s="2023">
        <f ca="1">INDIRECT("'数据-取费表'!f"&amp;$G$1)</f>
        <v>12</v>
      </c>
      <c r="O48" s="2012" t="s">
        <v>1063</v>
      </c>
      <c r="P48" s="2013" t="s">
        <v>1316</v>
      </c>
      <c r="Q48" s="2014" t="str">
        <f ca="1">J60</f>
        <v>0</v>
      </c>
      <c r="R48" s="2014" t="s">
        <v>1317</v>
      </c>
    </row>
    <row r="49" spans="1:18" s="553" customFormat="1">
      <c r="A49" s="2024" t="s">
        <v>1318</v>
      </c>
      <c r="B49" s="2025" t="s">
        <v>1319</v>
      </c>
      <c r="C49" s="2026">
        <f ca="1">ROUND(F49*F51*F50*(1-F52),0)</f>
        <v>0</v>
      </c>
      <c r="D49" s="2027" t="s">
        <v>1398</v>
      </c>
      <c r="E49" s="2028" t="s">
        <v>1320</v>
      </c>
      <c r="F49" s="2029"/>
      <c r="H49" s="2019"/>
      <c r="I49" s="2020" t="s">
        <v>1321</v>
      </c>
      <c r="J49" s="2030"/>
      <c r="K49" s="2022" t="s">
        <v>1322</v>
      </c>
      <c r="L49" s="2031"/>
      <c r="O49" s="2032" t="s">
        <v>1323</v>
      </c>
      <c r="P49" s="2013" t="s">
        <v>1324</v>
      </c>
      <c r="Q49" s="2014">
        <f ca="1">C29</f>
        <v>0</v>
      </c>
      <c r="R49" s="2014" t="s">
        <v>1311</v>
      </c>
    </row>
    <row r="50" spans="1:18" s="553" customFormat="1">
      <c r="A50" s="2033"/>
      <c r="B50" s="927"/>
      <c r="C50" s="2034"/>
      <c r="D50" s="2035"/>
      <c r="E50" s="2036" t="s">
        <v>1218</v>
      </c>
      <c r="F50" s="2037">
        <f ca="1">F7</f>
        <v>0</v>
      </c>
      <c r="H50" s="2019"/>
      <c r="I50" s="2020" t="s">
        <v>1325</v>
      </c>
      <c r="J50" s="2038">
        <f>SUMPRODUCT((I63:I65=J47)*(J62:L62=J48)*(J63:L65))</f>
        <v>0</v>
      </c>
      <c r="K50" s="2022" t="s">
        <v>1326</v>
      </c>
      <c r="L50" s="2031"/>
      <c r="M50" s="2039"/>
      <c r="O50" s="2032" t="s">
        <v>1327</v>
      </c>
      <c r="P50" s="2013" t="s">
        <v>1328</v>
      </c>
      <c r="Q50" s="2040" t="e">
        <f ca="1">J58</f>
        <v>#VALUE!</v>
      </c>
      <c r="R50" s="2014"/>
    </row>
    <row r="51" spans="1:18" s="553" customFormat="1">
      <c r="A51" s="2041"/>
      <c r="B51" s="927"/>
      <c r="C51" s="2034"/>
      <c r="D51" s="2035"/>
      <c r="E51" s="2042" t="s">
        <v>1219</v>
      </c>
      <c r="F51" s="1881">
        <f ca="1">F8</f>
        <v>0</v>
      </c>
      <c r="I51" s="2043" t="s">
        <v>1329</v>
      </c>
      <c r="J51" s="2023">
        <f>IF(J49="",J50,J49+J50-YEAR('数据-取费表'!B2))</f>
        <v>0</v>
      </c>
      <c r="K51" s="2044" t="s">
        <v>1330</v>
      </c>
      <c r="L51" s="2045">
        <f ca="1">ROUND(-PV(INDIRECT("'数据-取费表'!h"&amp;$G$1),J51,(C39-C13*C76),0),0)</f>
        <v>0</v>
      </c>
      <c r="M51" s="2046"/>
      <c r="O51" s="2032" t="s">
        <v>1331</v>
      </c>
      <c r="P51" s="2013" t="s">
        <v>1332</v>
      </c>
      <c r="Q51" s="2040">
        <f>J52</f>
        <v>0</v>
      </c>
      <c r="R51" s="2014"/>
    </row>
    <row r="52" spans="1:18" s="553" customFormat="1">
      <c r="A52" s="2041"/>
      <c r="B52" s="927"/>
      <c r="C52" s="2034"/>
      <c r="D52" s="2035"/>
      <c r="E52" s="2042" t="s">
        <v>1220</v>
      </c>
      <c r="F52" s="2047"/>
      <c r="I52" s="2048" t="s">
        <v>1333</v>
      </c>
      <c r="J52" s="2049"/>
      <c r="K52" s="2048" t="s">
        <v>1334</v>
      </c>
      <c r="L52" s="2049"/>
      <c r="O52" s="2032" t="s">
        <v>1335</v>
      </c>
      <c r="P52" s="2013" t="s">
        <v>1336</v>
      </c>
      <c r="Q52" s="2014">
        <f ca="1">J53</f>
        <v>0</v>
      </c>
      <c r="R52" s="2014" t="s">
        <v>1337</v>
      </c>
    </row>
    <row r="53" spans="1:18" s="553" customFormat="1" ht="30.75" customHeight="1">
      <c r="A53" s="2050" t="s">
        <v>1338</v>
      </c>
      <c r="B53" s="1943" t="s">
        <v>1221</v>
      </c>
      <c r="C53" s="995">
        <f ca="1">ROUND(IF(F53="押一",C49/12*F11,IF(F53="押二",C49/12*2*F11,IF(F53="押三",C49/12*3*F11,C54*F11))),0)</f>
        <v>0</v>
      </c>
      <c r="D53" s="1894" t="s">
        <v>1399</v>
      </c>
      <c r="E53" s="1891" t="s">
        <v>1223</v>
      </c>
      <c r="F53" s="1895"/>
      <c r="I53" s="2051" t="s">
        <v>1339</v>
      </c>
      <c r="J53" s="2052">
        <f ca="1">IF(M47="住宅",IF(D1="——",MAX(J51,L48),MAX(J51,L48-'数据-取费表'!B24)),IF(D1="——",MIN(J51,L48),MIN(J51,L48-'数据-取费表'!B24)))</f>
        <v>0</v>
      </c>
      <c r="K53" s="3363" t="s">
        <v>1340</v>
      </c>
      <c r="L53" s="3364"/>
      <c r="O53" s="2012" t="s">
        <v>1163</v>
      </c>
      <c r="P53" s="2013" t="s">
        <v>1341</v>
      </c>
      <c r="Q53" s="2014" t="e">
        <f ca="1">Q47+Q48</f>
        <v>#DIV/0!</v>
      </c>
      <c r="R53" s="2014" t="s">
        <v>1342</v>
      </c>
    </row>
    <row r="54" spans="1:18" s="553" customFormat="1">
      <c r="A54" s="2024"/>
      <c r="B54" s="2053" t="s">
        <v>1395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1992" t="s">
        <v>1343</v>
      </c>
      <c r="P54" s="1855"/>
      <c r="Q54" s="1855"/>
      <c r="R54" s="1855"/>
    </row>
    <row r="55" spans="1:18" s="553" customFormat="1">
      <c r="A55" s="1903" t="s">
        <v>1004</v>
      </c>
      <c r="B55" s="1904" t="s">
        <v>1226</v>
      </c>
      <c r="C55" s="1905"/>
      <c r="D55" s="1894"/>
      <c r="E55" s="2054"/>
      <c r="F55" s="2055"/>
      <c r="I55" s="2058" t="s">
        <v>1344</v>
      </c>
      <c r="J55" s="2059" t="e">
        <f ca="1">ROUND(IF(J47="钢混",J57/J50,1-(1-2%)*(J50-J57)/J50),3)</f>
        <v>#VALUE!</v>
      </c>
      <c r="K55" s="2060" t="s">
        <v>1345</v>
      </c>
      <c r="L55" s="2061"/>
      <c r="O55" s="2000" t="s">
        <v>1303</v>
      </c>
      <c r="P55" s="2001" t="s">
        <v>1304</v>
      </c>
      <c r="Q55" s="2002" t="s">
        <v>1305</v>
      </c>
      <c r="R55" s="2002" t="s">
        <v>1306</v>
      </c>
    </row>
    <row r="56" spans="1:18" s="553" customFormat="1" ht="36" customHeight="1">
      <c r="A56" s="2062">
        <v>2</v>
      </c>
      <c r="B56" s="2063" t="s">
        <v>1227</v>
      </c>
      <c r="C56" s="378">
        <f ca="1">C13</f>
        <v>0</v>
      </c>
      <c r="D56" s="2064"/>
      <c r="E56" s="2065"/>
      <c r="F56" s="2055"/>
      <c r="I56" s="2066" t="s">
        <v>1346</v>
      </c>
      <c r="J56" s="2067"/>
      <c r="K56" s="2020" t="s">
        <v>1347</v>
      </c>
      <c r="L56" s="2023">
        <f ca="1">IF(L48&lt;J51,"——",L48-J51)</f>
        <v>12</v>
      </c>
      <c r="O56" s="2012" t="s">
        <v>1060</v>
      </c>
      <c r="P56" s="2013" t="s">
        <v>1310</v>
      </c>
      <c r="Q56" s="2014" t="e">
        <f ca="1">C40+J29</f>
        <v>#DIV/0!</v>
      </c>
      <c r="R56" s="2014" t="s">
        <v>1311</v>
      </c>
    </row>
    <row r="57" spans="1:18" s="553" customFormat="1" ht="24">
      <c r="A57" s="2068"/>
      <c r="B57" s="2069" t="s">
        <v>1290</v>
      </c>
      <c r="C57" s="388">
        <f ca="1">C29</f>
        <v>0</v>
      </c>
      <c r="D57" s="2070"/>
      <c r="E57" s="2071"/>
      <c r="F57" s="2072"/>
      <c r="I57" s="2073" t="s">
        <v>1348</v>
      </c>
      <c r="J57" s="2074" t="str">
        <f ca="1">IF(OR(M47="住宅",J51&lt;L48,J56="是"),"——",J51-L48)</f>
        <v>——</v>
      </c>
      <c r="K57" s="2020" t="s">
        <v>1400</v>
      </c>
      <c r="L57" s="2023">
        <f ca="1">IF(L48&lt;J51,"——",IF(L55="比较法",L49,IF(L55="基准地价",L50,L51)))</f>
        <v>0</v>
      </c>
      <c r="O57" s="2012" t="s">
        <v>1063</v>
      </c>
      <c r="P57" s="2013" t="s">
        <v>1350</v>
      </c>
      <c r="Q57" s="2014" t="e">
        <f ca="1">L60</f>
        <v>#DIV/0!</v>
      </c>
      <c r="R57" s="2014" t="s">
        <v>1351</v>
      </c>
    </row>
    <row r="58" spans="1:18" s="553" customFormat="1" ht="24">
      <c r="A58" s="2075" t="s">
        <v>1235</v>
      </c>
      <c r="B58" s="2063" t="s">
        <v>1236</v>
      </c>
      <c r="C58" s="995">
        <f ca="1">ROUND(C59+C64+C65+C66,0)</f>
        <v>0</v>
      </c>
      <c r="D58" s="2076" t="s">
        <v>1237</v>
      </c>
      <c r="E58" s="2077"/>
      <c r="F58" s="2018"/>
      <c r="I58" s="2073" t="s">
        <v>1352</v>
      </c>
      <c r="J58" s="2078" t="e">
        <f ca="1">IF(J55&lt;0.4,0.4,J55)</f>
        <v>#VALUE!</v>
      </c>
      <c r="K58" s="2044" t="s">
        <v>1401</v>
      </c>
      <c r="L58" s="2023" t="e">
        <f ca="1">ROUND(POWER(1+L52,L47-L48)*(POWER(1+L52,L48)-1)/(POWER(1+L52,L47)-1),4)</f>
        <v>#DIV/0!</v>
      </c>
      <c r="O58" s="2032" t="s">
        <v>1323</v>
      </c>
      <c r="P58" s="2013" t="s">
        <v>1354</v>
      </c>
      <c r="Q58" s="2014">
        <f>IF(L55="比较法",L49,IF(L55="基准地价",L50,0))</f>
        <v>0</v>
      </c>
      <c r="R58" s="2014" t="s">
        <v>1311</v>
      </c>
    </row>
    <row r="59" spans="1:18" s="553" customFormat="1" ht="24">
      <c r="A59" s="1920" t="s">
        <v>955</v>
      </c>
      <c r="B59" s="2069" t="s">
        <v>1242</v>
      </c>
      <c r="C59" s="1938">
        <f ca="1">ROUND(IF(AND(项目基本情况!B11="自然人",项目基本情况!B10="北京市"),C49*F59/(1+'数据-取费表'!C42),C60+C61+C62),0)</f>
        <v>0</v>
      </c>
      <c r="D59" s="2079" t="s">
        <v>1243</v>
      </c>
      <c r="E59" s="2080" t="s">
        <v>1244</v>
      </c>
      <c r="F59" s="1940" t="str">
        <f>IF(项目基本情况!B11="企业","——",IF('数据-取费表'!B10="住宅",IF(F49*F50*F51/12/(1+'数据-取费表'!F30)&gt;100000,4%,2.5%),IF(F49*F50*F51/12/(1+'数据-取费表'!F30)&gt;100000,12%,7%)))</f>
        <v>——</v>
      </c>
      <c r="I59" s="2073" t="s">
        <v>1355</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2032" t="s">
        <v>1327</v>
      </c>
      <c r="P59" s="2013" t="s">
        <v>1356</v>
      </c>
      <c r="Q59" s="2040">
        <f>L52</f>
        <v>0</v>
      </c>
      <c r="R59" s="2014"/>
    </row>
    <row r="60" spans="1:18" s="553" customFormat="1" ht="15.75">
      <c r="A60" s="1920" t="s">
        <v>978</v>
      </c>
      <c r="B60" s="2069" t="s">
        <v>1246</v>
      </c>
      <c r="C60" s="996">
        <f ca="1">IF(项目基本情况!B11="自然人","——",ROUND(C48*F60/(1+'数据-取费表'!C42),0))</f>
        <v>0</v>
      </c>
      <c r="D60" s="2080" t="s">
        <v>1247</v>
      </c>
      <c r="E60" s="2069" t="s">
        <v>1234</v>
      </c>
      <c r="F60" s="1953">
        <f t="shared" ref="F60:F66" si="0">F32</f>
        <v>5.6000000000000001E-2</v>
      </c>
      <c r="I60" s="2081" t="s">
        <v>1357</v>
      </c>
      <c r="J60" s="2082" t="str">
        <f ca="1">IF(OR(M47="住宅",J51&lt;L48,J56="是"),"0",ROUND(J59/(1+J52)^J53,0))</f>
        <v>0</v>
      </c>
      <c r="K60" s="2083" t="s">
        <v>1358</v>
      </c>
      <c r="L60" s="2082" t="e">
        <f ca="1">IF(OR(M47="住宅",L48&lt;J51),0,ROUND(L57*(L58/L59-1),0))</f>
        <v>#DIV/0!</v>
      </c>
      <c r="O60" s="2032" t="s">
        <v>1331</v>
      </c>
      <c r="P60" s="2013" t="s">
        <v>1359</v>
      </c>
      <c r="Q60" s="2014" t="e">
        <f ca="1">L58</f>
        <v>#DIV/0!</v>
      </c>
      <c r="R60" s="2014" t="s">
        <v>1360</v>
      </c>
    </row>
    <row r="61" spans="1:18" s="553" customFormat="1">
      <c r="A61" s="1920" t="s">
        <v>982</v>
      </c>
      <c r="B61" s="2069" t="s">
        <v>1250</v>
      </c>
      <c r="C61" s="996">
        <f ca="1">IF(项目基本情况!B11="自然人","——",IF(D61="按租金收入计税",ROUND(C49*F61/(1+'数据-取费表'!C42),0),IF(D61="按房产原值计税",ROUND(C57*F61*0.7,0),INDIRECT("'数据-取费表'!Aj"&amp;$G$1))))</f>
        <v>0</v>
      </c>
      <c r="D61" s="1942" t="s">
        <v>1251</v>
      </c>
      <c r="E61" s="2069" t="s">
        <v>1234</v>
      </c>
      <c r="F61" s="1935">
        <f t="shared" si="0"/>
        <v>0.12</v>
      </c>
      <c r="I61" s="1985"/>
      <c r="J61" s="1985"/>
      <c r="K61" s="1985"/>
      <c r="L61" s="1985"/>
      <c r="O61" s="2032" t="s">
        <v>1335</v>
      </c>
      <c r="P61" s="2013" t="str">
        <f>K59</f>
        <v>建筑物剩余耐用年限下的土地年期修正系数Kn</v>
      </c>
      <c r="Q61" s="2014" t="e">
        <f ca="1">L59</f>
        <v>#DIV/0!</v>
      </c>
      <c r="R61" s="2014" t="s">
        <v>1361</v>
      </c>
    </row>
    <row r="62" spans="1:18" s="553" customFormat="1">
      <c r="A62" s="1920" t="s">
        <v>985</v>
      </c>
      <c r="B62" s="2084" t="s">
        <v>1254</v>
      </c>
      <c r="C62" s="1944">
        <f ca="1">IF(项目基本情况!B11="自然人","——",ROUND(F62*F63,0))</f>
        <v>0</v>
      </c>
      <c r="D62" s="2085" t="s">
        <v>1255</v>
      </c>
      <c r="E62" s="2069" t="s">
        <v>1256</v>
      </c>
      <c r="F62" s="1946">
        <f t="shared" si="0"/>
        <v>0</v>
      </c>
      <c r="I62" s="2086" t="s">
        <v>1362</v>
      </c>
      <c r="J62" s="1207" t="s">
        <v>1363</v>
      </c>
      <c r="K62" s="1207" t="s">
        <v>1364</v>
      </c>
      <c r="L62" s="1207" t="s">
        <v>1365</v>
      </c>
      <c r="M62" s="2087" t="s">
        <v>1366</v>
      </c>
      <c r="O62" s="2012" t="s">
        <v>1163</v>
      </c>
      <c r="P62" s="2013" t="s">
        <v>1341</v>
      </c>
      <c r="Q62" s="2014" t="e">
        <f ca="1">Q56+Q57</f>
        <v>#DIV/0!</v>
      </c>
      <c r="R62" s="2014" t="s">
        <v>1342</v>
      </c>
    </row>
    <row r="63" spans="1:18" s="553" customFormat="1">
      <c r="A63" s="1947"/>
      <c r="B63" s="2088"/>
      <c r="C63" s="1949"/>
      <c r="D63" s="2089"/>
      <c r="E63" s="2069" t="s">
        <v>1260</v>
      </c>
      <c r="F63" s="1881">
        <f t="shared" ca="1" si="0"/>
        <v>0</v>
      </c>
      <c r="I63" s="2086" t="s">
        <v>1367</v>
      </c>
      <c r="J63" s="1207">
        <v>70</v>
      </c>
      <c r="K63" s="1207">
        <v>50</v>
      </c>
      <c r="L63" s="1207">
        <v>80</v>
      </c>
      <c r="M63" s="2090">
        <v>0.02</v>
      </c>
      <c r="O63" s="1992" t="s">
        <v>1368</v>
      </c>
      <c r="P63" s="1855"/>
      <c r="Q63" s="1855"/>
      <c r="R63" s="1855"/>
    </row>
    <row r="64" spans="1:18" s="553" customFormat="1">
      <c r="A64" s="1920" t="s">
        <v>959</v>
      </c>
      <c r="B64" s="2069" t="s">
        <v>1262</v>
      </c>
      <c r="C64" s="996">
        <f ca="1">ROUND(C57*F64,0)</f>
        <v>0</v>
      </c>
      <c r="D64" s="2080" t="s">
        <v>1295</v>
      </c>
      <c r="E64" s="2069" t="s">
        <v>1234</v>
      </c>
      <c r="F64" s="1951">
        <f t="shared" ca="1" si="0"/>
        <v>0</v>
      </c>
      <c r="I64" s="2086" t="s">
        <v>1369</v>
      </c>
      <c r="J64" s="1207">
        <v>50</v>
      </c>
      <c r="K64" s="1207">
        <v>35</v>
      </c>
      <c r="L64" s="1207">
        <v>60</v>
      </c>
      <c r="M64" s="2087">
        <v>0</v>
      </c>
      <c r="O64" s="2000" t="s">
        <v>1303</v>
      </c>
      <c r="P64" s="2001" t="s">
        <v>1304</v>
      </c>
      <c r="Q64" s="2002" t="s">
        <v>1305</v>
      </c>
      <c r="R64" s="2002" t="s">
        <v>1306</v>
      </c>
    </row>
    <row r="65" spans="1:18" s="553" customFormat="1">
      <c r="A65" s="1920" t="s">
        <v>1004</v>
      </c>
      <c r="B65" s="2069" t="s">
        <v>1266</v>
      </c>
      <c r="C65" s="996">
        <f ca="1">ROUND(C56*F65,0)</f>
        <v>0</v>
      </c>
      <c r="D65" s="2080" t="s">
        <v>1267</v>
      </c>
      <c r="E65" s="2069" t="s">
        <v>1234</v>
      </c>
      <c r="F65" s="1952">
        <f t="shared" ca="1" si="0"/>
        <v>0</v>
      </c>
      <c r="I65" s="2086" t="s">
        <v>1370</v>
      </c>
      <c r="J65" s="1207">
        <v>40</v>
      </c>
      <c r="K65" s="1207">
        <v>30</v>
      </c>
      <c r="L65" s="1207">
        <v>50</v>
      </c>
      <c r="M65" s="2090">
        <v>0.02</v>
      </c>
      <c r="O65" s="2012" t="s">
        <v>1060</v>
      </c>
      <c r="P65" s="2013" t="s">
        <v>1310</v>
      </c>
      <c r="Q65" s="2014" t="e">
        <f ca="1">C40+J29</f>
        <v>#DIV/0!</v>
      </c>
      <c r="R65" s="2014" t="s">
        <v>1311</v>
      </c>
    </row>
    <row r="66" spans="1:18" s="553" customFormat="1" ht="15.75">
      <c r="A66" s="1920" t="s">
        <v>1007</v>
      </c>
      <c r="B66" s="2069" t="s">
        <v>1252</v>
      </c>
      <c r="C66" s="996">
        <f ca="1">ROUND(C48*F66,0)</f>
        <v>0</v>
      </c>
      <c r="D66" s="2080" t="s">
        <v>1270</v>
      </c>
      <c r="E66" s="2069" t="s">
        <v>1234</v>
      </c>
      <c r="F66" s="1890">
        <f t="shared" ca="1" si="0"/>
        <v>0</v>
      </c>
      <c r="O66" s="2012" t="s">
        <v>1063</v>
      </c>
      <c r="P66" s="2013" t="s">
        <v>1350</v>
      </c>
      <c r="Q66" s="2014" t="e">
        <f ca="1">L60</f>
        <v>#DIV/0!</v>
      </c>
      <c r="R66" s="2014" t="s">
        <v>1351</v>
      </c>
    </row>
    <row r="67" spans="1:18" s="553" customFormat="1" ht="15.75">
      <c r="A67" s="2062" t="s">
        <v>1273</v>
      </c>
      <c r="B67" s="2091" t="s">
        <v>1274</v>
      </c>
      <c r="C67" s="995">
        <f ca="1">C48-C58</f>
        <v>0</v>
      </c>
      <c r="D67" s="2079" t="s">
        <v>1275</v>
      </c>
      <c r="E67" s="2092"/>
      <c r="F67" s="2093"/>
      <c r="O67" s="2032" t="s">
        <v>1323</v>
      </c>
      <c r="P67" s="2013" t="s">
        <v>1354</v>
      </c>
      <c r="Q67" s="2094">
        <f ca="1">L51</f>
        <v>0</v>
      </c>
      <c r="R67" s="2014" t="s">
        <v>1371</v>
      </c>
    </row>
    <row r="68" spans="1:18" s="553" customFormat="1" ht="15.75">
      <c r="A68" s="2095" t="s">
        <v>1279</v>
      </c>
      <c r="B68" s="2096" t="s">
        <v>1296</v>
      </c>
      <c r="C68" s="1882" t="e">
        <f ca="1">ROUND(C67*(1-((1+F70)/(1+F68))^F69)/(F68-F70),0)</f>
        <v>#DIV/0!</v>
      </c>
      <c r="D68" s="2085" t="s">
        <v>1281</v>
      </c>
      <c r="E68" s="2069" t="s">
        <v>1282</v>
      </c>
      <c r="F68" s="1890">
        <f ca="1">F40</f>
        <v>0</v>
      </c>
      <c r="O68" s="2032" t="s">
        <v>1327</v>
      </c>
      <c r="P68" s="2097" t="s">
        <v>1372</v>
      </c>
      <c r="Q68" s="2014">
        <f ca="1">ROUND(Q69-Q70*Q71,0)</f>
        <v>0</v>
      </c>
      <c r="R68" s="2014" t="s">
        <v>1373</v>
      </c>
    </row>
    <row r="69" spans="1:18" s="553" customFormat="1">
      <c r="A69" s="2098"/>
      <c r="B69" s="2099"/>
      <c r="C69" s="1889"/>
      <c r="D69" s="2100" t="s">
        <v>1285</v>
      </c>
      <c r="E69" s="2069" t="s">
        <v>1286</v>
      </c>
      <c r="F69" s="1962">
        <f ca="1">F41</f>
        <v>0</v>
      </c>
      <c r="O69" s="2032" t="s">
        <v>1374</v>
      </c>
      <c r="P69" s="2097" t="s">
        <v>1375</v>
      </c>
      <c r="Q69" s="2014">
        <f ca="1">C39</f>
        <v>0</v>
      </c>
      <c r="R69" s="2014" t="s">
        <v>1311</v>
      </c>
    </row>
    <row r="70" spans="1:18" s="553" customFormat="1">
      <c r="A70" s="2101"/>
      <c r="B70" s="2102"/>
      <c r="C70" s="1913"/>
      <c r="D70" s="2089"/>
      <c r="E70" s="2069" t="s">
        <v>1289</v>
      </c>
      <c r="F70" s="2047"/>
      <c r="O70" s="2032" t="s">
        <v>1376</v>
      </c>
      <c r="P70" s="2097" t="s">
        <v>1377</v>
      </c>
      <c r="Q70" s="2014">
        <f ca="1">C13</f>
        <v>0</v>
      </c>
      <c r="R70" s="2014" t="s">
        <v>1311</v>
      </c>
    </row>
    <row r="71" spans="1:18" s="553" customFormat="1">
      <c r="A71" s="2103" t="s">
        <v>1291</v>
      </c>
      <c r="B71" s="2104" t="s">
        <v>1297</v>
      </c>
      <c r="C71" s="1967" t="e">
        <f ca="1">ROUND(C68/F71,0)</f>
        <v>#DIV/0!</v>
      </c>
      <c r="D71" s="2105" t="s">
        <v>1298</v>
      </c>
      <c r="E71" s="2106" t="s">
        <v>1299</v>
      </c>
      <c r="F71" s="1970">
        <f ca="1">F43</f>
        <v>0</v>
      </c>
      <c r="O71" s="2032" t="s">
        <v>1378</v>
      </c>
      <c r="P71" s="2097" t="s">
        <v>1379</v>
      </c>
      <c r="Q71" s="2040">
        <f ca="1">C76</f>
        <v>0</v>
      </c>
      <c r="R71" s="2014"/>
    </row>
    <row r="72" spans="1:18" s="553" customFormat="1">
      <c r="B72" s="910"/>
      <c r="C72" s="910"/>
      <c r="O72" s="2032" t="s">
        <v>1331</v>
      </c>
      <c r="P72" s="2013" t="s">
        <v>1356</v>
      </c>
      <c r="Q72" s="2040">
        <f>L52</f>
        <v>0</v>
      </c>
      <c r="R72" s="2014"/>
    </row>
    <row r="73" spans="1:18" ht="15.75">
      <c r="A73" s="553"/>
      <c r="B73" s="910"/>
      <c r="C73" s="910"/>
      <c r="D73" s="553"/>
      <c r="E73" s="553"/>
      <c r="F73" s="553"/>
      <c r="O73" s="2032" t="s">
        <v>1335</v>
      </c>
      <c r="P73" s="2013" t="s">
        <v>1359</v>
      </c>
      <c r="Q73" s="2014" t="e">
        <f ca="1">L58</f>
        <v>#DIV/0!</v>
      </c>
      <c r="R73" s="2014" t="s">
        <v>1360</v>
      </c>
    </row>
    <row r="74" spans="1:18">
      <c r="A74" s="553"/>
      <c r="B74" s="420" t="s">
        <v>1380</v>
      </c>
      <c r="C74" s="2107"/>
      <c r="D74" s="553"/>
      <c r="E74" s="553"/>
      <c r="F74" s="553"/>
      <c r="O74" s="2032" t="s">
        <v>1381</v>
      </c>
      <c r="P74" s="2013" t="str">
        <f>K59</f>
        <v>建筑物剩余耐用年限下的土地年期修正系数Kn</v>
      </c>
      <c r="Q74" s="2014" t="e">
        <f ca="1">L59</f>
        <v>#DIV/0!</v>
      </c>
      <c r="R74" s="2014" t="s">
        <v>1361</v>
      </c>
    </row>
    <row r="75" spans="1:18">
      <c r="A75" s="553"/>
      <c r="B75" s="2108" t="s">
        <v>1382</v>
      </c>
      <c r="C75" s="2109">
        <f ca="1">ROUND(C13*C76,0)</f>
        <v>0</v>
      </c>
      <c r="D75" s="553"/>
      <c r="E75" s="553"/>
      <c r="F75" s="553"/>
      <c r="K75" s="1988"/>
      <c r="L75" s="553"/>
      <c r="O75" s="2012" t="s">
        <v>1163</v>
      </c>
      <c r="P75" s="2013" t="s">
        <v>1341</v>
      </c>
      <c r="Q75" s="2014" t="e">
        <f ca="1">Q65+Q66</f>
        <v>#DIV/0!</v>
      </c>
      <c r="R75" s="2014" t="s">
        <v>1342</v>
      </c>
    </row>
    <row r="76" spans="1:18">
      <c r="B76" s="513" t="s">
        <v>1383</v>
      </c>
      <c r="C76" s="2110">
        <f ca="1">INDIRECT("'数据-取费表'!j"&amp;$G$1)</f>
        <v>0</v>
      </c>
      <c r="I76" s="553"/>
      <c r="J76" s="553"/>
      <c r="K76" s="1988"/>
      <c r="L76" s="553"/>
    </row>
    <row r="77" spans="1:18">
      <c r="B77" s="2111" t="s">
        <v>1384</v>
      </c>
      <c r="C77" s="2112"/>
      <c r="I77" s="553"/>
      <c r="J77" s="553"/>
      <c r="K77" s="1988"/>
      <c r="L77" s="553"/>
    </row>
    <row r="78" spans="1:18">
      <c r="B78" s="418" t="s">
        <v>1385</v>
      </c>
      <c r="C78" s="2113"/>
    </row>
    <row r="79" spans="1:18">
      <c r="B79" s="2108" t="s">
        <v>1386</v>
      </c>
      <c r="C79" s="421" t="e">
        <f ca="1">1-C80</f>
        <v>#DIV/0!</v>
      </c>
    </row>
    <row r="80" spans="1:18">
      <c r="B80" s="2108" t="s">
        <v>1387</v>
      </c>
      <c r="C80" s="421" t="e">
        <f ca="1">ROUND(C75/C39,3)</f>
        <v>#DIV/0!</v>
      </c>
    </row>
    <row r="81" spans="2:3">
      <c r="B81" s="418" t="s">
        <v>1388</v>
      </c>
      <c r="C81" s="388"/>
    </row>
    <row r="82" spans="2:3">
      <c r="B82" s="420" t="s">
        <v>1139</v>
      </c>
      <c r="C82" s="422" t="e">
        <f ca="1">1-C83</f>
        <v>#DIV/0!</v>
      </c>
    </row>
    <row r="83" spans="2:3">
      <c r="B83" s="420" t="s">
        <v>1140</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3"/>
    <col min="9" max="9" width="8.875" style="1674"/>
    <col min="10" max="10" width="5.75" style="1675" customWidth="1"/>
    <col min="11" max="11" width="11.75" style="1675" customWidth="1"/>
    <col min="12" max="13" width="10.75" style="1675" customWidth="1"/>
    <col min="14" max="14" width="10" style="1675" customWidth="1"/>
    <col min="15" max="16" width="10.5" style="1675" customWidth="1"/>
    <col min="17" max="17" width="10" style="1675" customWidth="1"/>
    <col min="18" max="18" width="10.125" style="1675" customWidth="1"/>
    <col min="19" max="19" width="10" style="1675" customWidth="1"/>
    <col min="20" max="20" width="26.125" style="1675" customWidth="1"/>
    <col min="21" max="21" width="8.875" style="1675"/>
    <col min="22" max="22" width="8.875" style="1674"/>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6" t="s">
        <v>1402</v>
      </c>
      <c r="B1" s="1677"/>
      <c r="C1" s="1678"/>
      <c r="D1" s="1678"/>
      <c r="E1" s="1679"/>
      <c r="F1" s="1680"/>
      <c r="G1" s="1681"/>
      <c r="J1" s="1682" t="s">
        <v>1403</v>
      </c>
      <c r="K1" s="1683"/>
      <c r="L1" s="1683"/>
      <c r="M1" s="1683"/>
      <c r="N1" s="1683"/>
      <c r="O1" s="1683"/>
      <c r="P1" s="1683"/>
      <c r="Q1" s="1683"/>
      <c r="R1" s="1684"/>
      <c r="S1" s="1685"/>
      <c r="T1" s="1685"/>
      <c r="U1" s="1685"/>
    </row>
    <row r="2" spans="1:22" s="1670" customFormat="1" ht="13.15" customHeight="1">
      <c r="A2" s="1686" t="s">
        <v>1202</v>
      </c>
      <c r="B2" s="1687" t="e">
        <f>IF(D2="——",C40,C40+E2)</f>
        <v>#DIV/0!</v>
      </c>
      <c r="C2" s="1678" t="s">
        <v>1203</v>
      </c>
      <c r="D2" s="1688" t="s">
        <v>1404</v>
      </c>
      <c r="E2" s="1689"/>
      <c r="F2" s="1690"/>
      <c r="G2" s="1691"/>
      <c r="H2" s="1692"/>
      <c r="I2" s="1693"/>
      <c r="J2" s="3368" t="s">
        <v>1405</v>
      </c>
      <c r="K2" s="3369"/>
      <c r="L2" s="1694" t="s">
        <v>1406</v>
      </c>
      <c r="M2" s="1694" t="s">
        <v>1407</v>
      </c>
      <c r="N2" s="1694" t="s">
        <v>1408</v>
      </c>
      <c r="O2" s="1694" t="s">
        <v>1409</v>
      </c>
      <c r="P2" s="1694" t="s">
        <v>1410</v>
      </c>
      <c r="Q2" s="1695" t="s">
        <v>1411</v>
      </c>
      <c r="R2" s="1696" t="s">
        <v>1412</v>
      </c>
      <c r="S2" s="1685"/>
      <c r="T2" s="1685"/>
      <c r="U2" s="1685"/>
      <c r="V2" s="1693"/>
    </row>
    <row r="3" spans="1:22" s="1670" customFormat="1" ht="13.15" customHeight="1">
      <c r="A3" s="1697" t="s">
        <v>1204</v>
      </c>
      <c r="B3" s="1698" t="e">
        <f>ROUND(B2*10000/B4,0)</f>
        <v>#DIV/0!</v>
      </c>
      <c r="C3" s="1678" t="s">
        <v>1205</v>
      </c>
      <c r="D3" s="1678"/>
      <c r="E3" s="1699"/>
      <c r="F3" s="1690"/>
      <c r="G3" s="1691"/>
      <c r="H3" s="1692"/>
      <c r="I3" s="1693"/>
      <c r="J3" s="3370" t="s">
        <v>1413</v>
      </c>
      <c r="K3" s="3371"/>
      <c r="L3" s="1700"/>
      <c r="M3" s="1700"/>
      <c r="N3" s="1700"/>
      <c r="O3" s="1700"/>
      <c r="P3" s="1700"/>
      <c r="Q3" s="1701"/>
      <c r="R3" s="1702">
        <f>SUM(L3:Q3)</f>
        <v>0</v>
      </c>
      <c r="S3" s="1685"/>
      <c r="T3" s="1685"/>
      <c r="U3" s="1685"/>
      <c r="V3" s="1693"/>
    </row>
    <row r="4" spans="1:22" s="1670" customFormat="1" ht="13.15" customHeight="1">
      <c r="A4" s="1703" t="s">
        <v>612</v>
      </c>
      <c r="B4" s="1704"/>
      <c r="C4" s="1678"/>
      <c r="D4" s="1678"/>
      <c r="E4" s="1699"/>
      <c r="F4" s="1690"/>
      <c r="G4" s="1691"/>
      <c r="H4" s="1692"/>
      <c r="I4" s="1693"/>
      <c r="J4" s="3370" t="s">
        <v>1414</v>
      </c>
      <c r="K4" s="3371"/>
      <c r="L4" s="1705"/>
      <c r="M4" s="1705"/>
      <c r="N4" s="1705"/>
      <c r="O4" s="1705"/>
      <c r="P4" s="1705"/>
      <c r="Q4" s="1706"/>
      <c r="R4" s="1707">
        <f>SUM(L4:Q4)</f>
        <v>0</v>
      </c>
      <c r="S4" s="1685"/>
      <c r="T4" s="1685"/>
      <c r="U4" s="1685"/>
      <c r="V4" s="1693"/>
    </row>
    <row r="5" spans="1:22" s="1670" customFormat="1" ht="13.15" customHeight="1">
      <c r="A5" s="1708" t="s">
        <v>1415</v>
      </c>
      <c r="B5" s="1709"/>
      <c r="C5" s="1678"/>
      <c r="D5" s="1710"/>
      <c r="E5" s="1690"/>
      <c r="F5" s="1690"/>
      <c r="G5" s="1691"/>
      <c r="H5" s="1692"/>
      <c r="I5" s="1693"/>
      <c r="J5" s="1711" t="s">
        <v>1416</v>
      </c>
      <c r="K5" s="1712"/>
      <c r="L5" s="1712"/>
      <c r="M5" s="1713"/>
      <c r="N5" s="1713"/>
      <c r="O5" s="1713"/>
      <c r="P5" s="1713"/>
      <c r="Q5" s="1713"/>
      <c r="R5" s="1696">
        <f>SUM(R14,R19,R24,R25,R27,R28)</f>
        <v>0</v>
      </c>
      <c r="S5" s="1685"/>
      <c r="T5" s="1685" t="s">
        <v>1417</v>
      </c>
      <c r="U5" s="1685" t="e">
        <f>ROUND(R5*10000/365/R3,1)</f>
        <v>#DIV/0!</v>
      </c>
      <c r="V5" s="1693"/>
    </row>
    <row r="6" spans="1:22" s="1670" customFormat="1" ht="13.15" customHeight="1">
      <c r="A6" s="3372" t="s">
        <v>1418</v>
      </c>
      <c r="B6" s="3373"/>
      <c r="C6" s="3374"/>
      <c r="D6" s="1714"/>
      <c r="E6" s="1715"/>
      <c r="F6" s="1716"/>
      <c r="G6" s="1717"/>
      <c r="H6" s="1692"/>
      <c r="I6" s="1693"/>
      <c r="J6" s="3381">
        <v>1</v>
      </c>
      <c r="K6" s="3384" t="s">
        <v>1419</v>
      </c>
      <c r="L6" s="1719" t="s">
        <v>1420</v>
      </c>
      <c r="M6" s="1720" t="s">
        <v>1421</v>
      </c>
      <c r="N6" s="1720" t="s">
        <v>1422</v>
      </c>
      <c r="O6" s="1720" t="s">
        <v>1423</v>
      </c>
      <c r="P6" s="1720" t="s">
        <v>1424</v>
      </c>
      <c r="Q6" s="1720" t="s">
        <v>1425</v>
      </c>
      <c r="R6" s="1702" t="s">
        <v>1426</v>
      </c>
      <c r="S6" s="1685"/>
      <c r="T6" s="1685" t="s">
        <v>1427</v>
      </c>
      <c r="U6" s="1685"/>
      <c r="V6" s="1693"/>
    </row>
    <row r="7" spans="1:22" s="1670" customFormat="1" ht="13.15" customHeight="1">
      <c r="A7" s="1721" t="s">
        <v>1428</v>
      </c>
      <c r="B7" s="1722"/>
      <c r="C7" s="1723"/>
      <c r="D7" s="1724">
        <f>SUM(D9,D10,D11,D17,0)</f>
        <v>0</v>
      </c>
      <c r="E7" s="1725" t="e">
        <f>E9+E10+E11+E17</f>
        <v>#DIV/0!</v>
      </c>
      <c r="F7" s="1726"/>
      <c r="G7" s="1727"/>
      <c r="H7" s="1692"/>
      <c r="I7" s="1693"/>
      <c r="J7" s="3381"/>
      <c r="K7" s="3385"/>
      <c r="L7" s="1728" t="s">
        <v>1429</v>
      </c>
      <c r="M7" s="1729"/>
      <c r="N7" s="1704"/>
      <c r="O7" s="1730"/>
      <c r="P7" s="1730"/>
      <c r="Q7" s="1731">
        <v>365</v>
      </c>
      <c r="R7" s="1732">
        <f>ROUND(M7*N7*O7*P7*Q7/10000,0)</f>
        <v>0</v>
      </c>
      <c r="S7" s="1685"/>
      <c r="T7" s="1685" t="s">
        <v>1430</v>
      </c>
      <c r="U7" s="1685"/>
      <c r="V7" s="1693"/>
    </row>
    <row r="8" spans="1:22" s="1670" customFormat="1" ht="13.15" customHeight="1">
      <c r="A8" s="1733" t="s">
        <v>1431</v>
      </c>
      <c r="B8" s="3375" t="s">
        <v>1432</v>
      </c>
      <c r="C8" s="3376"/>
      <c r="D8" s="1736" t="s">
        <v>1433</v>
      </c>
      <c r="E8" s="1737" t="s">
        <v>1434</v>
      </c>
      <c r="F8" s="1738" t="s">
        <v>1435</v>
      </c>
      <c r="G8" s="1739"/>
      <c r="H8" s="1692"/>
      <c r="I8" s="1693"/>
      <c r="J8" s="3381"/>
      <c r="K8" s="3385"/>
      <c r="L8" s="1728" t="s">
        <v>1436</v>
      </c>
      <c r="M8" s="1729"/>
      <c r="N8" s="1704"/>
      <c r="O8" s="1730"/>
      <c r="P8" s="1730"/>
      <c r="Q8" s="1731">
        <v>365</v>
      </c>
      <c r="R8" s="1732">
        <f t="shared" ref="R8:R13" si="0">ROUND(M8*N8*O8*P8*Q8/10000,0)</f>
        <v>0</v>
      </c>
      <c r="S8" s="1685"/>
      <c r="T8" s="1685" t="s">
        <v>1437</v>
      </c>
      <c r="U8" s="1685"/>
      <c r="V8" s="1693"/>
    </row>
    <row r="9" spans="1:22" s="1670" customFormat="1" ht="13.15" customHeight="1">
      <c r="A9" s="1733">
        <v>1</v>
      </c>
      <c r="B9" s="3375" t="s">
        <v>1438</v>
      </c>
      <c r="C9" s="3376"/>
      <c r="D9" s="1736">
        <f>ROUND(D6*E9,0)</f>
        <v>0</v>
      </c>
      <c r="E9" s="1740"/>
      <c r="F9" s="1741" t="s">
        <v>1439</v>
      </c>
      <c r="G9" s="1717"/>
      <c r="H9" s="1692"/>
      <c r="I9" s="1693"/>
      <c r="J9" s="3381"/>
      <c r="K9" s="3385"/>
      <c r="L9" s="1728" t="s">
        <v>1440</v>
      </c>
      <c r="M9" s="1729"/>
      <c r="N9" s="1704"/>
      <c r="O9" s="1730"/>
      <c r="P9" s="1730"/>
      <c r="Q9" s="1731">
        <v>365</v>
      </c>
      <c r="R9" s="1732">
        <f t="shared" si="0"/>
        <v>0</v>
      </c>
      <c r="S9" s="1685"/>
      <c r="T9" s="1685"/>
      <c r="U9" s="1685"/>
      <c r="V9" s="1693"/>
    </row>
    <row r="10" spans="1:22" s="1670" customFormat="1" ht="13.15" customHeight="1">
      <c r="A10" s="1733">
        <v>2</v>
      </c>
      <c r="B10" s="3375" t="s">
        <v>1441</v>
      </c>
      <c r="C10" s="3376"/>
      <c r="D10" s="1736">
        <f>ROUND(D6*E10,0)</f>
        <v>0</v>
      </c>
      <c r="E10" s="1740"/>
      <c r="F10" s="1741" t="s">
        <v>1442</v>
      </c>
      <c r="G10" s="1717"/>
      <c r="H10" s="1692"/>
      <c r="I10" s="1693"/>
      <c r="J10" s="3381"/>
      <c r="K10" s="3385"/>
      <c r="L10" s="1728" t="s">
        <v>1443</v>
      </c>
      <c r="M10" s="1729"/>
      <c r="N10" s="1704"/>
      <c r="O10" s="1730"/>
      <c r="P10" s="1730"/>
      <c r="Q10" s="1731">
        <v>365</v>
      </c>
      <c r="R10" s="1732">
        <f t="shared" si="0"/>
        <v>0</v>
      </c>
      <c r="S10" s="1685"/>
      <c r="T10" s="1685"/>
      <c r="U10" s="1685"/>
      <c r="V10" s="1693"/>
    </row>
    <row r="11" spans="1:22" s="1670" customFormat="1" ht="13.15" customHeight="1">
      <c r="A11" s="1733">
        <v>3</v>
      </c>
      <c r="B11" s="3375" t="s">
        <v>1444</v>
      </c>
      <c r="C11" s="3376"/>
      <c r="D11" s="1736">
        <f>D12+D14+D15+D16</f>
        <v>0</v>
      </c>
      <c r="E11" s="1742" t="e">
        <f>D11/D6</f>
        <v>#DIV/0!</v>
      </c>
      <c r="F11" s="1738"/>
      <c r="G11" s="1739"/>
      <c r="H11" s="1692"/>
      <c r="I11" s="1693"/>
      <c r="J11" s="3381"/>
      <c r="K11" s="3385"/>
      <c r="L11" s="1728" t="s">
        <v>1445</v>
      </c>
      <c r="M11" s="1729"/>
      <c r="N11" s="1704"/>
      <c r="O11" s="1730"/>
      <c r="P11" s="1730"/>
      <c r="Q11" s="1731">
        <v>365</v>
      </c>
      <c r="R11" s="1732">
        <f t="shared" si="0"/>
        <v>0</v>
      </c>
      <c r="S11" s="1685"/>
      <c r="T11" s="1685"/>
      <c r="U11" s="1685"/>
      <c r="V11" s="1693"/>
    </row>
    <row r="12" spans="1:22" s="1670" customFormat="1" ht="13.15" customHeight="1">
      <c r="A12" s="1743" t="s">
        <v>1446</v>
      </c>
      <c r="B12" s="3377" t="s">
        <v>1447</v>
      </c>
      <c r="C12" s="3378"/>
      <c r="D12" s="1746">
        <f>ROUND(D13*1.2%*(1-30%),0)</f>
        <v>0</v>
      </c>
      <c r="E12" s="1747">
        <v>1.2E-2</v>
      </c>
      <c r="F12" s="1738" t="s">
        <v>1448</v>
      </c>
      <c r="G12" s="1739"/>
      <c r="H12" s="1692"/>
      <c r="I12" s="1693"/>
      <c r="J12" s="3381"/>
      <c r="K12" s="3385"/>
      <c r="L12" s="1728" t="s">
        <v>1449</v>
      </c>
      <c r="M12" s="1729"/>
      <c r="N12" s="1704"/>
      <c r="O12" s="1730"/>
      <c r="P12" s="1730"/>
      <c r="Q12" s="1731">
        <v>365</v>
      </c>
      <c r="R12" s="1732">
        <f t="shared" si="0"/>
        <v>0</v>
      </c>
      <c r="S12" s="1685"/>
      <c r="T12" s="1685"/>
      <c r="U12" s="1685"/>
      <c r="V12" s="1693"/>
    </row>
    <row r="13" spans="1:22" s="1670" customFormat="1" ht="13.15" customHeight="1">
      <c r="A13" s="1743"/>
      <c r="B13" s="1744"/>
      <c r="C13" s="1748" t="s">
        <v>1450</v>
      </c>
      <c r="D13" s="1749"/>
      <c r="E13" s="1750"/>
      <c r="F13" s="1738"/>
      <c r="G13" s="1739"/>
      <c r="H13" s="1692"/>
      <c r="I13" s="1693"/>
      <c r="J13" s="3381"/>
      <c r="K13" s="3385"/>
      <c r="L13" s="1728" t="s">
        <v>1451</v>
      </c>
      <c r="M13" s="1729"/>
      <c r="N13" s="1704"/>
      <c r="O13" s="1730"/>
      <c r="P13" s="1730"/>
      <c r="Q13" s="1731">
        <v>365</v>
      </c>
      <c r="R13" s="1732">
        <f t="shared" si="0"/>
        <v>0</v>
      </c>
      <c r="S13" s="1685"/>
      <c r="T13" s="1685"/>
      <c r="U13" s="1685"/>
      <c r="V13" s="1693"/>
    </row>
    <row r="14" spans="1:22" s="1670" customFormat="1" ht="13.15" customHeight="1">
      <c r="A14" s="1743" t="s">
        <v>1452</v>
      </c>
      <c r="B14" s="3377" t="s">
        <v>1453</v>
      </c>
      <c r="C14" s="3378"/>
      <c r="D14" s="1746">
        <f>ROUND(E14*B5/10000,0)</f>
        <v>0</v>
      </c>
      <c r="E14" s="1731"/>
      <c r="F14" s="1738" t="s">
        <v>1454</v>
      </c>
      <c r="G14" s="1739"/>
      <c r="H14" s="1692"/>
      <c r="I14" s="1693"/>
      <c r="J14" s="3381"/>
      <c r="K14" s="3386"/>
      <c r="L14" s="1751" t="s">
        <v>1455</v>
      </c>
      <c r="M14" s="1752">
        <f>SUM(M7:M13)</f>
        <v>0</v>
      </c>
      <c r="N14" s="1752" t="e">
        <f>ROUND((N7*M7+N8*M8+N9*M9+N10*M10+N11*M11+N12*M12+N13*M13)/M14,0)</f>
        <v>#DIV/0!</v>
      </c>
      <c r="O14" s="1753"/>
      <c r="P14" s="1753"/>
      <c r="Q14" s="1754"/>
      <c r="R14" s="1696">
        <f>SUM(R7:R13)</f>
        <v>0</v>
      </c>
      <c r="S14" s="1685"/>
      <c r="T14" s="1685"/>
      <c r="U14" s="1685"/>
      <c r="V14" s="1693"/>
    </row>
    <row r="15" spans="1:22" s="1670" customFormat="1" ht="13.15" customHeight="1">
      <c r="A15" s="1743" t="s">
        <v>1456</v>
      </c>
      <c r="B15" s="3377" t="s">
        <v>1457</v>
      </c>
      <c r="C15" s="3378"/>
      <c r="D15" s="1746">
        <f>ROUND(D6*E15,0)</f>
        <v>0</v>
      </c>
      <c r="E15" s="1747">
        <v>5.5E-2</v>
      </c>
      <c r="F15" s="1738" t="s">
        <v>1458</v>
      </c>
      <c r="G15" s="1717"/>
      <c r="H15" s="1692"/>
      <c r="I15" s="1693"/>
      <c r="J15" s="3381">
        <v>2</v>
      </c>
      <c r="K15" s="3384" t="s">
        <v>1459</v>
      </c>
      <c r="L15" s="1728" t="s">
        <v>1460</v>
      </c>
      <c r="M15" s="1729" t="s">
        <v>1461</v>
      </c>
      <c r="N15" s="1729" t="s">
        <v>1462</v>
      </c>
      <c r="O15" s="1730" t="s">
        <v>1463</v>
      </c>
      <c r="P15" s="1730" t="s">
        <v>1425</v>
      </c>
      <c r="Q15" s="1704" t="s">
        <v>124</v>
      </c>
      <c r="R15" s="1755" t="s">
        <v>1426</v>
      </c>
      <c r="S15" s="1685"/>
      <c r="T15" s="1685"/>
      <c r="U15" s="1685"/>
      <c r="V15" s="1693"/>
    </row>
    <row r="16" spans="1:22" s="1670" customFormat="1" ht="13.15" customHeight="1">
      <c r="A16" s="1743" t="s">
        <v>1464</v>
      </c>
      <c r="B16" s="3377" t="s">
        <v>1465</v>
      </c>
      <c r="C16" s="3378"/>
      <c r="D16" s="1756">
        <f>D6*E16</f>
        <v>0</v>
      </c>
      <c r="E16" s="1757"/>
      <c r="F16" s="1741" t="s">
        <v>1466</v>
      </c>
      <c r="G16" s="1717"/>
      <c r="H16" s="1692"/>
      <c r="I16" s="1693"/>
      <c r="J16" s="3381"/>
      <c r="K16" s="3385"/>
      <c r="L16" s="1728" t="s">
        <v>1467</v>
      </c>
      <c r="M16" s="1729"/>
      <c r="N16" s="1729"/>
      <c r="O16" s="1730"/>
      <c r="P16" s="1731">
        <v>365</v>
      </c>
      <c r="Q16" s="1704"/>
      <c r="R16" s="1755">
        <f>ROUND(M16*N16*O16*P16/10000,0)</f>
        <v>0</v>
      </c>
      <c r="S16" s="1685"/>
      <c r="T16" s="1685"/>
      <c r="U16" s="1685"/>
      <c r="V16" s="1693"/>
    </row>
    <row r="17" spans="1:22" s="1670" customFormat="1" ht="13.15" customHeight="1">
      <c r="A17" s="1758">
        <v>4</v>
      </c>
      <c r="B17" s="3379" t="s">
        <v>1468</v>
      </c>
      <c r="C17" s="3380"/>
      <c r="D17" s="1759">
        <f>ROUND(D6*E17,0)</f>
        <v>0</v>
      </c>
      <c r="E17" s="1760"/>
      <c r="F17" s="1761" t="s">
        <v>1469</v>
      </c>
      <c r="G17" s="1717"/>
      <c r="H17" s="1692"/>
      <c r="I17" s="1693"/>
      <c r="J17" s="3381"/>
      <c r="K17" s="3385"/>
      <c r="L17" s="1728" t="s">
        <v>1470</v>
      </c>
      <c r="M17" s="1729"/>
      <c r="N17" s="1729"/>
      <c r="O17" s="1730"/>
      <c r="P17" s="1731">
        <v>365</v>
      </c>
      <c r="Q17" s="1704"/>
      <c r="R17" s="1755">
        <f>ROUND(M17*N17*O17*P17/10000,0)</f>
        <v>0</v>
      </c>
      <c r="S17" s="1685"/>
      <c r="T17" s="1685"/>
      <c r="U17" s="1685"/>
      <c r="V17" s="1693"/>
    </row>
    <row r="18" spans="1:22" s="1670" customFormat="1" ht="13.15" customHeight="1">
      <c r="A18" s="1721" t="s">
        <v>1471</v>
      </c>
      <c r="B18" s="1722"/>
      <c r="C18" s="1722"/>
      <c r="D18" s="1762">
        <f>ROUND(D6*E18,0)</f>
        <v>0</v>
      </c>
      <c r="E18" s="1763"/>
      <c r="F18" s="1764" t="s">
        <v>1472</v>
      </c>
      <c r="G18" s="1717"/>
      <c r="H18" s="1692"/>
      <c r="I18" s="1693"/>
      <c r="J18" s="3381"/>
      <c r="K18" s="3385"/>
      <c r="L18" s="1728" t="s">
        <v>1473</v>
      </c>
      <c r="M18" s="1729"/>
      <c r="N18" s="1729"/>
      <c r="O18" s="1730"/>
      <c r="P18" s="1731">
        <v>365</v>
      </c>
      <c r="Q18" s="1704"/>
      <c r="R18" s="1755">
        <f>ROUND(M18*N18*O18*P18/10000,0)</f>
        <v>0</v>
      </c>
      <c r="S18" s="1685"/>
      <c r="T18" s="1685"/>
      <c r="U18" s="1685"/>
      <c r="V18" s="1693"/>
    </row>
    <row r="19" spans="1:22" s="1670" customFormat="1" ht="13.15" customHeight="1">
      <c r="A19" s="1765" t="s">
        <v>1474</v>
      </c>
      <c r="B19" s="1715"/>
      <c r="C19" s="1715"/>
      <c r="D19" s="1715"/>
      <c r="E19" s="1715"/>
      <c r="F19" s="1716"/>
      <c r="G19" s="1739"/>
      <c r="H19" s="1692"/>
      <c r="I19" s="1693"/>
      <c r="J19" s="3381"/>
      <c r="K19" s="3386"/>
      <c r="L19" s="1751" t="s">
        <v>1455</v>
      </c>
      <c r="M19" s="1752"/>
      <c r="N19" s="1752">
        <f>SUM(N16:N18)</f>
        <v>0</v>
      </c>
      <c r="O19" s="1753"/>
      <c r="P19" s="1766" t="s">
        <v>1475</v>
      </c>
      <c r="Q19" s="1730">
        <v>0</v>
      </c>
      <c r="R19" s="1767">
        <f>ROUND(IF(P19="按比例",R14*Q19,SUM(R16:R18)),0)</f>
        <v>0</v>
      </c>
      <c r="S19" s="1685"/>
      <c r="T19" s="1685"/>
      <c r="U19" s="1685"/>
      <c r="V19" s="1693"/>
    </row>
    <row r="20" spans="1:22" s="1670" customFormat="1" ht="13.15" customHeight="1">
      <c r="A20" s="1721"/>
      <c r="B20" s="1722"/>
      <c r="C20" s="1722"/>
      <c r="D20" s="1722"/>
      <c r="E20" s="1722"/>
      <c r="F20" s="1768"/>
      <c r="G20" s="1739"/>
      <c r="H20" s="1692"/>
      <c r="I20" s="1693"/>
      <c r="J20" s="3381">
        <v>3</v>
      </c>
      <c r="K20" s="3384" t="s">
        <v>1476</v>
      </c>
      <c r="L20" s="1728" t="s">
        <v>1477</v>
      </c>
      <c r="M20" s="1729" t="s">
        <v>1478</v>
      </c>
      <c r="N20" s="1769" t="s">
        <v>1479</v>
      </c>
      <c r="O20" s="1730" t="s">
        <v>1480</v>
      </c>
      <c r="P20" s="1731" t="s">
        <v>1425</v>
      </c>
      <c r="Q20" s="1704" t="s">
        <v>124</v>
      </c>
      <c r="R20" s="1755" t="s">
        <v>1426</v>
      </c>
      <c r="S20" s="1685"/>
      <c r="T20" s="1685"/>
      <c r="U20" s="1685"/>
      <c r="V20" s="1693"/>
    </row>
    <row r="21" spans="1:22" s="1670" customFormat="1" ht="13.15" customHeight="1">
      <c r="A21" s="1721"/>
      <c r="B21" s="1722"/>
      <c r="C21" s="1734" t="s">
        <v>1481</v>
      </c>
      <c r="D21" s="1770" t="s">
        <v>1482</v>
      </c>
      <c r="E21" s="1735" t="s">
        <v>1483</v>
      </c>
      <c r="F21" s="1768"/>
      <c r="G21" s="1739"/>
      <c r="H21" s="1692"/>
      <c r="I21" s="1693"/>
      <c r="J21" s="3381"/>
      <c r="K21" s="3385"/>
      <c r="L21" s="1728" t="s">
        <v>1484</v>
      </c>
      <c r="M21" s="1729"/>
      <c r="N21" s="1729"/>
      <c r="O21" s="1730"/>
      <c r="P21" s="1731">
        <v>365</v>
      </c>
      <c r="Q21" s="1704"/>
      <c r="R21" s="1771">
        <f>ROUND(M21*N21*O21*P21/10000,0)</f>
        <v>0</v>
      </c>
      <c r="S21" s="1685"/>
      <c r="T21" s="1685"/>
      <c r="U21" s="1685"/>
      <c r="V21" s="1693"/>
    </row>
    <row r="22" spans="1:22" s="1670" customFormat="1" ht="13.15" customHeight="1">
      <c r="A22" s="1721"/>
      <c r="B22" s="1722"/>
      <c r="C22" s="1772" t="s">
        <v>1485</v>
      </c>
      <c r="D22" s="1773" t="s">
        <v>1486</v>
      </c>
      <c r="E22" s="1774" t="s">
        <v>1487</v>
      </c>
      <c r="F22" s="1768"/>
      <c r="G22" s="1685"/>
      <c r="H22" s="1692"/>
      <c r="I22" s="1693"/>
      <c r="J22" s="3381"/>
      <c r="K22" s="3385"/>
      <c r="L22" s="1728" t="s">
        <v>1488</v>
      </c>
      <c r="M22" s="1729"/>
      <c r="N22" s="1729"/>
      <c r="O22" s="1730"/>
      <c r="P22" s="1731">
        <v>365</v>
      </c>
      <c r="Q22" s="1704"/>
      <c r="R22" s="1771">
        <f>ROUND(M22*N22*O22*P22/10000,0)</f>
        <v>0</v>
      </c>
      <c r="S22" s="1685"/>
      <c r="T22" s="1685"/>
      <c r="U22" s="1685"/>
      <c r="V22" s="1693"/>
    </row>
    <row r="23" spans="1:22" s="1670" customFormat="1" ht="13.15" customHeight="1">
      <c r="A23" s="1775">
        <v>1</v>
      </c>
      <c r="B23" s="1776" t="s">
        <v>1489</v>
      </c>
      <c r="C23" s="1777">
        <f>D6</f>
        <v>0</v>
      </c>
      <c r="D23" s="1778">
        <f>C23*(1+D24)</f>
        <v>0</v>
      </c>
      <c r="E23" s="1779">
        <f>D23*(1+E24)</f>
        <v>0</v>
      </c>
      <c r="F23" s="1780"/>
      <c r="G23" s="1781"/>
      <c r="H23" s="1692"/>
      <c r="I23" s="1693"/>
      <c r="J23" s="3381"/>
      <c r="K23" s="3385"/>
      <c r="L23" s="1728" t="s">
        <v>1490</v>
      </c>
      <c r="M23" s="1729"/>
      <c r="N23" s="1729"/>
      <c r="O23" s="1730"/>
      <c r="P23" s="1731">
        <v>365</v>
      </c>
      <c r="Q23" s="1704"/>
      <c r="R23" s="1771">
        <f>ROUND(M23*N23*O23*P23/10000,0)</f>
        <v>0</v>
      </c>
      <c r="S23" s="1685"/>
      <c r="T23" s="1685"/>
      <c r="U23" s="1685"/>
      <c r="V23" s="1693"/>
    </row>
    <row r="24" spans="1:22" s="1670" customFormat="1" ht="13.15" customHeight="1">
      <c r="A24" s="1782"/>
      <c r="B24" s="1783" t="s">
        <v>1491</v>
      </c>
      <c r="C24" s="1784"/>
      <c r="D24" s="1785"/>
      <c r="E24" s="1786"/>
      <c r="F24" s="1787"/>
      <c r="G24" s="1781"/>
      <c r="H24" s="1692"/>
      <c r="I24" s="1693"/>
      <c r="J24" s="3381"/>
      <c r="K24" s="3386"/>
      <c r="L24" s="1751" t="s">
        <v>1455</v>
      </c>
      <c r="M24" s="1752">
        <f>SUM(M21:M23)</f>
        <v>0</v>
      </c>
      <c r="N24" s="1752"/>
      <c r="O24" s="1753"/>
      <c r="P24" s="1766" t="s">
        <v>1475</v>
      </c>
      <c r="Q24" s="1730">
        <v>0</v>
      </c>
      <c r="R24" s="1767">
        <f>ROUND(IF(P24="按比例",R14*Q24,SUM(R21:R23)),0)</f>
        <v>0</v>
      </c>
      <c r="S24" s="1685"/>
      <c r="T24" s="1685"/>
      <c r="U24" s="1685"/>
      <c r="V24" s="1693"/>
    </row>
    <row r="25" spans="1:22" s="1671" customFormat="1" ht="13.15" customHeight="1">
      <c r="A25" s="1782"/>
      <c r="B25" s="1783"/>
      <c r="C25" s="1784"/>
      <c r="D25" s="1785"/>
      <c r="E25" s="1786"/>
      <c r="F25" s="1787"/>
      <c r="G25" s="1685"/>
      <c r="H25" s="1692"/>
      <c r="I25" s="1693"/>
      <c r="J25" s="1718">
        <v>4</v>
      </c>
      <c r="K25" s="1788" t="s">
        <v>1492</v>
      </c>
      <c r="L25" s="1789"/>
      <c r="M25" s="1789"/>
      <c r="N25" s="1789"/>
      <c r="O25" s="1789"/>
      <c r="P25" s="1790"/>
      <c r="Q25" s="1791">
        <v>0</v>
      </c>
      <c r="R25" s="1767">
        <f>ROUND(R14*Q25,0)</f>
        <v>0</v>
      </c>
      <c r="S25" s="1685"/>
      <c r="T25" s="1685"/>
      <c r="U25" s="1685"/>
      <c r="V25" s="1792"/>
    </row>
    <row r="26" spans="1:22" s="1671" customFormat="1" ht="13.15" customHeight="1">
      <c r="A26" s="1775">
        <v>2</v>
      </c>
      <c r="B26" s="1776" t="s">
        <v>1493</v>
      </c>
      <c r="C26" s="1777">
        <f>D7</f>
        <v>0</v>
      </c>
      <c r="D26" s="1778">
        <f>D23*D27</f>
        <v>0</v>
      </c>
      <c r="E26" s="1779">
        <f>E23*E27</f>
        <v>0</v>
      </c>
      <c r="F26" s="1780"/>
      <c r="G26" s="1781"/>
      <c r="H26" s="1692"/>
      <c r="I26" s="1693"/>
      <c r="J26" s="3382">
        <v>5</v>
      </c>
      <c r="K26" s="1793" t="s">
        <v>1494</v>
      </c>
      <c r="L26" s="1794"/>
      <c r="M26" s="1795"/>
      <c r="N26" s="1796" t="s">
        <v>508</v>
      </c>
      <c r="O26" s="1796" t="s">
        <v>1495</v>
      </c>
      <c r="P26" s="1797" t="s">
        <v>1496</v>
      </c>
      <c r="Q26" s="1797" t="s">
        <v>1497</v>
      </c>
      <c r="R26" s="1702" t="s">
        <v>1426</v>
      </c>
      <c r="S26" s="1739"/>
      <c r="T26" s="1739"/>
      <c r="U26" s="1739"/>
      <c r="V26" s="1792"/>
    </row>
    <row r="27" spans="1:22" s="1670" customFormat="1" ht="13.15" customHeight="1">
      <c r="A27" s="1782"/>
      <c r="B27" s="1783" t="s">
        <v>1498</v>
      </c>
      <c r="C27" s="1798" t="e">
        <f>E7</f>
        <v>#DIV/0!</v>
      </c>
      <c r="D27" s="1785"/>
      <c r="E27" s="1786"/>
      <c r="F27" s="1787"/>
      <c r="G27" s="1781"/>
      <c r="H27" s="1799"/>
      <c r="I27" s="1792"/>
      <c r="J27" s="3383"/>
      <c r="K27" s="1800"/>
      <c r="L27" s="1801"/>
      <c r="M27" s="1802"/>
      <c r="N27" s="1803"/>
      <c r="O27" s="1803"/>
      <c r="P27" s="1803"/>
      <c r="Q27" s="1804"/>
      <c r="R27" s="1767">
        <f>ROUND(O27*N27*P27*(1-Q27)/10000,0)</f>
        <v>0</v>
      </c>
      <c r="S27" s="1685"/>
      <c r="T27" s="1685"/>
      <c r="U27" s="1685"/>
      <c r="V27" s="1693"/>
    </row>
    <row r="28" spans="1:22" s="1671" customFormat="1" ht="13.15" customHeight="1">
      <c r="A28" s="1782"/>
      <c r="B28" s="1783"/>
      <c r="C28" s="1798"/>
      <c r="D28" s="1785"/>
      <c r="E28" s="1786" t="s">
        <v>1499</v>
      </c>
      <c r="F28" s="1787"/>
      <c r="G28" s="1685"/>
      <c r="H28" s="1799"/>
      <c r="I28" s="1792"/>
      <c r="J28" s="1805">
        <v>6</v>
      </c>
      <c r="K28" s="1806" t="s">
        <v>1500</v>
      </c>
      <c r="L28" s="1807" t="s">
        <v>1501</v>
      </c>
      <c r="M28" s="1808"/>
      <c r="N28" s="1807" t="s">
        <v>1502</v>
      </c>
      <c r="O28" s="1809"/>
      <c r="P28" s="1807" t="s">
        <v>1503</v>
      </c>
      <c r="Q28" s="1810">
        <v>1.4999999999999999E-2</v>
      </c>
      <c r="R28" s="1811"/>
      <c r="S28" s="1685"/>
      <c r="T28" s="1685"/>
      <c r="U28" s="1685"/>
      <c r="V28" s="1792"/>
    </row>
    <row r="29" spans="1:22" s="1671" customFormat="1" ht="13.15" customHeight="1">
      <c r="A29" s="1775">
        <v>3</v>
      </c>
      <c r="B29" s="1776" t="s">
        <v>1504</v>
      </c>
      <c r="C29" s="1777">
        <f>C23*C30</f>
        <v>0</v>
      </c>
      <c r="D29" s="1778">
        <f>D23*C30</f>
        <v>0</v>
      </c>
      <c r="E29" s="1779">
        <f>E23*C30</f>
        <v>0</v>
      </c>
      <c r="F29" s="1780"/>
      <c r="G29" s="1781"/>
      <c r="H29" s="1692"/>
      <c r="I29" s="1693"/>
      <c r="J29" s="1685"/>
      <c r="K29" s="1685"/>
      <c r="L29" s="1685"/>
      <c r="M29" s="1685"/>
      <c r="N29" s="1685"/>
      <c r="O29" s="1685"/>
      <c r="P29" s="1685"/>
      <c r="Q29" s="1685"/>
      <c r="R29" s="1685"/>
      <c r="S29" s="1685"/>
      <c r="T29" s="1685"/>
      <c r="U29" s="1685"/>
      <c r="V29" s="1792"/>
    </row>
    <row r="30" spans="1:22" s="1670" customFormat="1" ht="13.15" customHeight="1">
      <c r="A30" s="1782"/>
      <c r="B30" s="1783" t="s">
        <v>1498</v>
      </c>
      <c r="C30" s="1798">
        <f>E18</f>
        <v>0</v>
      </c>
      <c r="D30" s="1812"/>
      <c r="E30" s="1750"/>
      <c r="F30" s="1787"/>
      <c r="G30" s="1781"/>
      <c r="H30" s="1799"/>
      <c r="I30" s="1792"/>
      <c r="J30" s="1685"/>
      <c r="K30" s="1685"/>
      <c r="L30" s="1685"/>
      <c r="M30" s="1685"/>
      <c r="N30" s="1685"/>
      <c r="O30" s="1685"/>
      <c r="P30" s="1685"/>
      <c r="Q30" s="1685"/>
      <c r="R30" s="1685"/>
      <c r="S30" s="1685"/>
      <c r="T30" s="1685"/>
      <c r="U30" s="1685"/>
      <c r="V30" s="1693"/>
    </row>
    <row r="31" spans="1:22" s="1671" customFormat="1" ht="13.15" customHeight="1">
      <c r="A31" s="1782"/>
      <c r="B31" s="1783"/>
      <c r="C31" s="1813"/>
      <c r="D31" s="1812"/>
      <c r="E31" s="1750"/>
      <c r="F31" s="1787"/>
      <c r="G31" s="1685"/>
      <c r="H31" s="1799"/>
      <c r="I31" s="1792"/>
      <c r="J31" s="1682" t="s">
        <v>1505</v>
      </c>
      <c r="K31" s="1683"/>
      <c r="L31" s="1683"/>
      <c r="M31" s="1683"/>
      <c r="N31" s="1683"/>
      <c r="O31" s="1683"/>
      <c r="P31" s="1683"/>
      <c r="Q31" s="1683"/>
      <c r="R31" s="1684"/>
      <c r="S31" s="1685"/>
      <c r="T31" s="1685"/>
      <c r="U31" s="1685"/>
      <c r="V31" s="1792"/>
    </row>
    <row r="32" spans="1:22" s="1671" customFormat="1" ht="13.15" customHeight="1">
      <c r="A32" s="1775">
        <v>4</v>
      </c>
      <c r="B32" s="1776" t="s">
        <v>1506</v>
      </c>
      <c r="C32" s="1777">
        <f>C23-C26-C29</f>
        <v>0</v>
      </c>
      <c r="D32" s="1778">
        <f>D23-D26-D29</f>
        <v>0</v>
      </c>
      <c r="E32" s="1779">
        <f>E23-E26-E29</f>
        <v>0</v>
      </c>
      <c r="F32" s="1780"/>
      <c r="G32" s="1685"/>
      <c r="H32" s="1692"/>
      <c r="I32" s="1693"/>
      <c r="J32" s="3368" t="s">
        <v>1405</v>
      </c>
      <c r="K32" s="3369"/>
      <c r="L32" s="1694" t="s">
        <v>1406</v>
      </c>
      <c r="M32" s="1694" t="s">
        <v>1407</v>
      </c>
      <c r="N32" s="1694" t="s">
        <v>1408</v>
      </c>
      <c r="O32" s="1694" t="s">
        <v>1409</v>
      </c>
      <c r="P32" s="1694" t="s">
        <v>1410</v>
      </c>
      <c r="Q32" s="1695" t="s">
        <v>1411</v>
      </c>
      <c r="R32" s="1814" t="s">
        <v>1412</v>
      </c>
      <c r="S32" s="1685"/>
      <c r="T32" s="1685"/>
      <c r="U32" s="1685"/>
      <c r="V32" s="1792"/>
    </row>
    <row r="33" spans="1:23" s="1670" customFormat="1" ht="13.15" customHeight="1">
      <c r="A33" s="1775"/>
      <c r="B33" s="1776"/>
      <c r="C33" s="1777"/>
      <c r="D33" s="1815"/>
      <c r="E33" s="1745"/>
      <c r="F33" s="1780"/>
      <c r="G33" s="1685"/>
      <c r="H33" s="1799"/>
      <c r="I33" s="1792"/>
      <c r="J33" s="3370" t="s">
        <v>1413</v>
      </c>
      <c r="K33" s="3371"/>
      <c r="L33" s="1700"/>
      <c r="M33" s="1700"/>
      <c r="N33" s="1700"/>
      <c r="O33" s="1700"/>
      <c r="P33" s="1700"/>
      <c r="Q33" s="1701"/>
      <c r="R33" s="1816">
        <f>SUM(L33:Q33)</f>
        <v>0</v>
      </c>
      <c r="S33" s="1685"/>
      <c r="T33" s="1685"/>
      <c r="U33" s="1685"/>
      <c r="V33" s="1693"/>
    </row>
    <row r="34" spans="1:23" s="1670" customFormat="1" ht="13.15" customHeight="1">
      <c r="A34" s="1775">
        <v>5</v>
      </c>
      <c r="B34" s="1776" t="s">
        <v>1507</v>
      </c>
      <c r="C34" s="1817"/>
      <c r="D34" s="1818"/>
      <c r="E34" s="1819"/>
      <c r="F34" s="1780"/>
      <c r="G34" s="1685"/>
      <c r="H34" s="1799"/>
      <c r="I34" s="1792"/>
      <c r="J34" s="3370" t="s">
        <v>1414</v>
      </c>
      <c r="K34" s="3371"/>
      <c r="L34" s="1705"/>
      <c r="M34" s="1705"/>
      <c r="N34" s="1705"/>
      <c r="O34" s="1705"/>
      <c r="P34" s="1705"/>
      <c r="Q34" s="1706"/>
      <c r="R34" s="1820">
        <f>SUM(L34:Q34)</f>
        <v>0</v>
      </c>
      <c r="S34" s="1685"/>
      <c r="T34" s="1685"/>
      <c r="U34" s="1685" t="e">
        <f>ROUND(R35*10000/365/R33,1)</f>
        <v>#DIV/0!</v>
      </c>
      <c r="V34" s="1693"/>
    </row>
    <row r="35" spans="1:23" s="1670" customFormat="1" ht="13.15" customHeight="1">
      <c r="A35" s="1775">
        <v>6</v>
      </c>
      <c r="B35" s="1776" t="s">
        <v>1508</v>
      </c>
      <c r="C35" s="1821"/>
      <c r="D35" s="1822"/>
      <c r="E35" s="1823"/>
      <c r="F35" s="1780"/>
      <c r="G35" s="1824"/>
      <c r="H35" s="1692"/>
      <c r="I35" s="1792"/>
      <c r="J35" s="1711" t="s">
        <v>1416</v>
      </c>
      <c r="K35" s="1712"/>
      <c r="L35" s="1712"/>
      <c r="M35" s="1713"/>
      <c r="N35" s="1713"/>
      <c r="O35" s="1713"/>
      <c r="P35" s="1713"/>
      <c r="Q35" s="1713"/>
      <c r="R35" s="1825">
        <f>R40+R41+R43</f>
        <v>0</v>
      </c>
      <c r="S35" s="1685"/>
      <c r="T35" s="1685" t="s">
        <v>1417</v>
      </c>
      <c r="U35" s="1685"/>
      <c r="V35" s="1693"/>
    </row>
    <row r="36" spans="1:23" s="1670" customFormat="1" ht="13.15" customHeight="1">
      <c r="A36" s="1775">
        <v>7</v>
      </c>
      <c r="B36" s="1826" t="s">
        <v>1509</v>
      </c>
      <c r="C36" s="1827"/>
      <c r="D36" s="1828"/>
      <c r="E36" s="1829"/>
      <c r="F36" s="1830">
        <f>C36+D36+E36</f>
        <v>0</v>
      </c>
      <c r="G36" s="1685"/>
      <c r="H36" s="1692"/>
      <c r="I36" s="1693"/>
      <c r="J36" s="3381">
        <v>1</v>
      </c>
      <c r="K36" s="3384" t="s">
        <v>1510</v>
      </c>
      <c r="L36" s="1719"/>
      <c r="M36" s="1720"/>
      <c r="N36" s="1720"/>
      <c r="O36" s="1720"/>
      <c r="P36" s="1720"/>
      <c r="Q36" s="1720"/>
      <c r="R36" s="1702" t="s">
        <v>1426</v>
      </c>
      <c r="S36" s="1685"/>
      <c r="T36" s="1685" t="s">
        <v>1427</v>
      </c>
      <c r="U36" s="1685"/>
      <c r="V36" s="1693"/>
    </row>
    <row r="37" spans="1:23" s="1670" customFormat="1" ht="13.15" customHeight="1">
      <c r="A37" s="1775"/>
      <c r="B37" s="1776"/>
      <c r="C37" s="1776"/>
      <c r="D37" s="1776"/>
      <c r="E37" s="1776"/>
      <c r="F37" s="1780"/>
      <c r="G37" s="1685"/>
      <c r="H37" s="1692"/>
      <c r="I37" s="1693"/>
      <c r="J37" s="3381"/>
      <c r="K37" s="3385"/>
      <c r="L37" s="1728"/>
      <c r="M37" s="1729"/>
      <c r="N37" s="1704"/>
      <c r="O37" s="1730"/>
      <c r="P37" s="1730"/>
      <c r="Q37" s="1731"/>
      <c r="R37" s="1732"/>
      <c r="S37" s="1685"/>
      <c r="T37" s="1685" t="s">
        <v>1430</v>
      </c>
      <c r="U37" s="1685"/>
      <c r="V37" s="1693"/>
    </row>
    <row r="38" spans="1:23" s="1670" customFormat="1" ht="13.15" customHeight="1">
      <c r="A38" s="1775">
        <v>8</v>
      </c>
      <c r="B38" s="1776"/>
      <c r="C38" s="1736" t="e">
        <f>ROUND(C32*(1-((1+C35)/(1+C34))^C36)/(C34-C35),0)</f>
        <v>#DIV/0!</v>
      </c>
      <c r="D38" s="1736">
        <f>IF(D23=0,0,ROUND(D32*(1-((1+D35)/(1+D34))^D36)/(D34-D35),0))</f>
        <v>0</v>
      </c>
      <c r="E38" s="1736">
        <f>IF(E23=0,0,ROUND(E32*(1-((1+E35)/(1+E34))^E36)/(E34-E35),0))</f>
        <v>0</v>
      </c>
      <c r="F38" s="1780"/>
      <c r="G38" s="1685"/>
      <c r="H38" s="1692"/>
      <c r="I38" s="1693"/>
      <c r="J38" s="3381"/>
      <c r="K38" s="3385"/>
      <c r="L38" s="1728"/>
      <c r="M38" s="1729"/>
      <c r="N38" s="1704"/>
      <c r="O38" s="1730"/>
      <c r="P38" s="1730"/>
      <c r="Q38" s="1731"/>
      <c r="R38" s="1732"/>
      <c r="S38" s="1685"/>
      <c r="T38" s="1685" t="s">
        <v>1437</v>
      </c>
      <c r="U38" s="1685"/>
      <c r="V38" s="1693"/>
    </row>
    <row r="39" spans="1:23" s="1670" customFormat="1" ht="13.15" customHeight="1">
      <c r="A39" s="1775">
        <v>9</v>
      </c>
      <c r="B39" s="1776" t="s">
        <v>1511</v>
      </c>
      <c r="C39" s="1746" t="e">
        <f>C38</f>
        <v>#DIV/0!</v>
      </c>
      <c r="D39" s="1776">
        <f>D38/(1+D34)^C36</f>
        <v>0</v>
      </c>
      <c r="E39" s="1776">
        <f>E38/(1+E34)^(C36+D36)</f>
        <v>0</v>
      </c>
      <c r="F39" s="1780"/>
      <c r="G39" s="1693"/>
      <c r="H39" s="1692"/>
      <c r="I39" s="1693"/>
      <c r="J39" s="3381"/>
      <c r="K39" s="3385"/>
      <c r="L39" s="1728"/>
      <c r="M39" s="1729"/>
      <c r="N39" s="1704"/>
      <c r="O39" s="1730"/>
      <c r="P39" s="1730"/>
      <c r="Q39" s="1731"/>
      <c r="R39" s="1732"/>
      <c r="S39" s="1685"/>
      <c r="T39" s="1685"/>
      <c r="U39" s="1685"/>
      <c r="V39" s="1693"/>
    </row>
    <row r="40" spans="1:23" s="1670" customFormat="1" ht="13.15" customHeight="1">
      <c r="A40" s="1831">
        <v>10</v>
      </c>
      <c r="B40" s="1776" t="s">
        <v>1512</v>
      </c>
      <c r="C40" s="1832" t="e">
        <f>C39+D39+E39</f>
        <v>#DIV/0!</v>
      </c>
      <c r="D40" s="1833"/>
      <c r="E40" s="1833"/>
      <c r="F40" s="1834"/>
      <c r="G40" s="1685"/>
      <c r="H40" s="1692"/>
      <c r="I40" s="1693"/>
      <c r="J40" s="3381"/>
      <c r="K40" s="3386"/>
      <c r="L40" s="1751" t="s">
        <v>1455</v>
      </c>
      <c r="M40" s="1752"/>
      <c r="N40" s="1752"/>
      <c r="O40" s="1753"/>
      <c r="P40" s="1753"/>
      <c r="Q40" s="1754"/>
      <c r="R40" s="1696">
        <f>SUM(R37:R39)</f>
        <v>0</v>
      </c>
      <c r="S40" s="1685"/>
      <c r="T40" s="1685"/>
      <c r="U40" s="1685"/>
      <c r="V40" s="1693"/>
    </row>
    <row r="41" spans="1:23" s="1670" customFormat="1" ht="13.15" customHeight="1">
      <c r="A41" s="1835">
        <v>11</v>
      </c>
      <c r="B41" s="1836" t="s">
        <v>1513</v>
      </c>
      <c r="C41" s="1836" t="e">
        <f>ROUND(C40*10000/B4,0)</f>
        <v>#DIV/0!</v>
      </c>
      <c r="D41" s="1837"/>
      <c r="E41" s="1837"/>
      <c r="F41" s="1838"/>
      <c r="G41" s="1692"/>
      <c r="H41" s="1692"/>
      <c r="I41" s="1693"/>
      <c r="J41" s="1718">
        <v>2</v>
      </c>
      <c r="K41" s="1788" t="s">
        <v>1492</v>
      </c>
      <c r="L41" s="1789"/>
      <c r="M41" s="1789"/>
      <c r="N41" s="1789"/>
      <c r="O41" s="1789"/>
      <c r="P41" s="1790"/>
      <c r="Q41" s="1791"/>
      <c r="R41" s="1767">
        <f>ROUND(R40*Q41,0)</f>
        <v>0</v>
      </c>
      <c r="S41" s="1685"/>
      <c r="T41" s="1685"/>
      <c r="U41" s="1739"/>
      <c r="V41" s="1693"/>
    </row>
    <row r="42" spans="1:23" s="1670" customFormat="1" ht="13.15" customHeight="1">
      <c r="G42" s="1692"/>
      <c r="H42" s="1692"/>
      <c r="I42" s="1693"/>
      <c r="J42" s="3382">
        <v>3</v>
      </c>
      <c r="K42" s="1793" t="s">
        <v>1494</v>
      </c>
      <c r="L42" s="1794"/>
      <c r="M42" s="1795"/>
      <c r="N42" s="1796" t="s">
        <v>508</v>
      </c>
      <c r="O42" s="1796" t="s">
        <v>1495</v>
      </c>
      <c r="P42" s="1797" t="s">
        <v>1496</v>
      </c>
      <c r="Q42" s="1797" t="s">
        <v>1497</v>
      </c>
      <c r="R42" s="1702" t="s">
        <v>1426</v>
      </c>
      <c r="S42" s="1739"/>
      <c r="T42" s="1739"/>
      <c r="U42" s="1685"/>
      <c r="V42" s="1693"/>
    </row>
    <row r="43" spans="1:23" ht="13.15" customHeight="1">
      <c r="A43" s="1670"/>
      <c r="B43" s="1670"/>
      <c r="C43" s="1670"/>
      <c r="D43" s="1670"/>
      <c r="E43" s="1670"/>
      <c r="F43" s="1670"/>
      <c r="I43" s="1673"/>
      <c r="J43" s="3383"/>
      <c r="K43" s="1800"/>
      <c r="L43" s="1801"/>
      <c r="M43" s="1802"/>
      <c r="N43" s="1729"/>
      <c r="O43" s="1729"/>
      <c r="P43" s="1729"/>
      <c r="Q43" s="1791"/>
      <c r="R43" s="1767">
        <f>ROUND(O43*N43*P43*(1-Q43)/10000,0)</f>
        <v>0</v>
      </c>
      <c r="S43" s="1685"/>
      <c r="T43" s="1685"/>
      <c r="V43" s="1675"/>
      <c r="W43" s="1839"/>
    </row>
    <row r="44" spans="1:23" ht="13.15" customHeight="1">
      <c r="J44" s="1805">
        <v>6</v>
      </c>
      <c r="K44" s="1806" t="s">
        <v>1500</v>
      </c>
      <c r="L44" s="1840" t="s">
        <v>1501</v>
      </c>
      <c r="M44" s="1808"/>
      <c r="N44" s="1840" t="s">
        <v>1502</v>
      </c>
      <c r="O44" s="1808"/>
      <c r="P44" s="1840" t="s">
        <v>1503</v>
      </c>
      <c r="Q44" s="1810">
        <v>1.4999999999999999E-2</v>
      </c>
      <c r="R44" s="18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L27" sqref="L27"/>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1514</v>
      </c>
      <c r="B1" s="802"/>
      <c r="C1" s="802"/>
      <c r="D1" s="802"/>
      <c r="E1" s="1652"/>
      <c r="F1" s="1653"/>
      <c r="G1" s="1512"/>
      <c r="H1" s="1512"/>
      <c r="I1" s="1512"/>
      <c r="J1" s="1512"/>
      <c r="K1" s="1512"/>
      <c r="L1" s="1512"/>
      <c r="M1" s="1512"/>
      <c r="N1" s="1512"/>
      <c r="O1" s="1512"/>
      <c r="P1" s="1512"/>
      <c r="Q1" s="1512"/>
      <c r="R1" s="1512"/>
      <c r="S1" s="1512"/>
    </row>
    <row r="2" spans="1:22" ht="15.75">
      <c r="A2" s="1654" t="s">
        <v>1045</v>
      </c>
      <c r="B2" s="528">
        <f ca="1">SUMIF(B6:B13,"&lt;&gt;#ref!",B6:B13)</f>
        <v>40761</v>
      </c>
      <c r="C2" s="1655" t="s">
        <v>1515</v>
      </c>
      <c r="D2" s="1656" t="s">
        <v>1516</v>
      </c>
      <c r="E2" s="1657">
        <f>SUM(E6:E13)</f>
        <v>50585.8</v>
      </c>
      <c r="F2" s="1653"/>
      <c r="G2" s="1512"/>
      <c r="H2" s="1512"/>
      <c r="I2" s="1512"/>
      <c r="J2" s="1512"/>
      <c r="K2" s="1512"/>
      <c r="L2" s="1512"/>
      <c r="M2" s="1512"/>
      <c r="N2" s="1512"/>
      <c r="O2" s="1512"/>
      <c r="P2" s="1512"/>
      <c r="Q2" s="1512"/>
      <c r="R2" s="1512"/>
      <c r="S2" s="1512"/>
    </row>
    <row r="3" spans="1:22" ht="15.75">
      <c r="A3" s="1654" t="s">
        <v>1047</v>
      </c>
      <c r="B3" s="1658">
        <f ca="1">ROUND(B2*10000/E2,0)</f>
        <v>8058</v>
      </c>
      <c r="C3" s="1655" t="s">
        <v>1517</v>
      </c>
      <c r="D3" s="1653"/>
      <c r="E3" s="1659"/>
      <c r="F3" s="1653"/>
      <c r="G3" s="1512"/>
      <c r="H3" s="1512"/>
      <c r="I3" s="1512"/>
      <c r="J3" s="1512"/>
      <c r="K3" s="1512"/>
      <c r="L3" s="1512"/>
      <c r="M3" s="1512"/>
      <c r="N3" s="1512"/>
      <c r="O3" s="1512"/>
      <c r="P3" s="1512"/>
      <c r="Q3" s="1512"/>
      <c r="R3" s="1512"/>
      <c r="S3" s="1512"/>
    </row>
    <row r="4" spans="1:22" ht="15.75">
      <c r="A4" s="1660"/>
      <c r="B4" s="1653"/>
      <c r="C4" s="1653"/>
      <c r="D4" s="1653"/>
      <c r="E4" s="1659"/>
      <c r="F4" s="1653"/>
      <c r="G4" s="1512"/>
      <c r="H4" s="1512"/>
      <c r="I4" s="1512"/>
      <c r="J4" s="1512"/>
      <c r="K4" s="1512"/>
      <c r="L4" s="1512"/>
      <c r="M4" s="1512"/>
      <c r="N4" s="1512"/>
      <c r="O4" s="1512"/>
      <c r="P4" s="1512"/>
      <c r="Q4" s="1512"/>
      <c r="R4" s="1512"/>
      <c r="S4" s="1512"/>
    </row>
    <row r="5" spans="1:22" ht="15">
      <c r="A5" s="1661" t="s">
        <v>1518</v>
      </c>
      <c r="B5" s="3387" t="s">
        <v>1519</v>
      </c>
      <c r="C5" s="3388"/>
      <c r="D5" s="1663"/>
      <c r="E5" s="1662" t="s">
        <v>1520</v>
      </c>
      <c r="F5" s="1611" t="s">
        <v>1521</v>
      </c>
      <c r="G5" s="1512"/>
      <c r="H5" s="1512"/>
      <c r="I5" s="1512"/>
      <c r="J5" s="1512"/>
      <c r="K5" s="1512"/>
      <c r="L5" s="1512"/>
      <c r="M5" s="1512"/>
      <c r="N5" s="1512"/>
      <c r="O5" s="1512"/>
      <c r="P5" s="1512"/>
      <c r="Q5" s="1512"/>
      <c r="R5" s="1512"/>
      <c r="S5" s="1512"/>
    </row>
    <row r="6" spans="1:22">
      <c r="A6" s="1664" t="str">
        <f>'数据-取费表'!AN6</f>
        <v>收益法-出租</v>
      </c>
      <c r="B6" s="887">
        <f ca="1">IF(F6="是",'数据-取费表'!AO6,0)</f>
        <v>29186</v>
      </c>
      <c r="C6" s="1655" t="s">
        <v>1515</v>
      </c>
      <c r="D6" s="1653"/>
      <c r="E6" s="1665">
        <f>IF(OR(A6=0,F6="否"),0,'数据-取费表'!K6+'数据-取费表'!S6)</f>
        <v>27074.12</v>
      </c>
      <c r="F6" s="1666" t="s">
        <v>1522</v>
      </c>
      <c r="G6" s="1512"/>
      <c r="H6" s="1512"/>
      <c r="I6" s="1512"/>
      <c r="J6" s="1512"/>
      <c r="K6" s="1512"/>
      <c r="L6" s="1512"/>
      <c r="M6" s="1512"/>
      <c r="N6" s="1512"/>
      <c r="O6" s="1512"/>
      <c r="P6" s="1512"/>
      <c r="Q6" s="1512"/>
      <c r="R6" s="1512"/>
      <c r="S6" s="1512"/>
    </row>
    <row r="7" spans="1:22">
      <c r="A7" s="1664" t="str">
        <f>'数据-取费表'!AN7</f>
        <v>收益法-空置</v>
      </c>
      <c r="B7" s="887">
        <f ca="1">IF(F7="是",'数据-取费表'!AO7,0)</f>
        <v>11212</v>
      </c>
      <c r="C7" s="1655" t="s">
        <v>1515</v>
      </c>
      <c r="D7" s="1653"/>
      <c r="E7" s="1665">
        <f>IF(OR(A7=0,F7="否"),0,'数据-取费表'!K7+'数据-取费表'!S7)</f>
        <v>15314.350000000002</v>
      </c>
      <c r="F7" s="1666" t="s">
        <v>1522</v>
      </c>
      <c r="G7" s="1512"/>
      <c r="H7" s="1512"/>
      <c r="I7" s="1512"/>
      <c r="J7" s="1512"/>
      <c r="K7" s="1512"/>
      <c r="L7" s="1512"/>
      <c r="M7" s="1512"/>
      <c r="N7" s="1512"/>
      <c r="O7" s="1512"/>
      <c r="P7" s="1512"/>
      <c r="Q7" s="1512"/>
      <c r="R7" s="1512"/>
      <c r="S7" s="1512"/>
    </row>
    <row r="8" spans="1:22">
      <c r="A8" s="1664" t="str">
        <f>'数据-取费表'!AN8</f>
        <v>收益法-车库</v>
      </c>
      <c r="B8" s="887">
        <f ca="1">IF(F8="是",'数据-取费表'!AO8,0)</f>
        <v>363</v>
      </c>
      <c r="C8" s="1655" t="s">
        <v>1515</v>
      </c>
      <c r="D8" s="1653"/>
      <c r="E8" s="1665">
        <f>IF(OR(A8=0,F8="否"),0,'数据-取费表'!K8+'数据-取费表'!S8)</f>
        <v>8197.33</v>
      </c>
      <c r="F8" s="1666" t="s">
        <v>1522</v>
      </c>
      <c r="G8" s="1512"/>
      <c r="H8" s="1512"/>
      <c r="I8" s="1512"/>
      <c r="J8" s="1512"/>
      <c r="K8" s="1512"/>
      <c r="L8" s="1512"/>
      <c r="M8" s="1512"/>
      <c r="N8" s="1512"/>
      <c r="O8" s="1512"/>
      <c r="P8" s="1512"/>
      <c r="Q8" s="1512"/>
      <c r="R8" s="1512"/>
      <c r="S8" s="1512"/>
    </row>
    <row r="9" spans="1:22">
      <c r="A9" s="1664">
        <f>'数据-取费表'!AN9</f>
        <v>0</v>
      </c>
      <c r="B9" s="887" t="e">
        <f ca="1">IF(F9="是",'数据-取费表'!AO9,0)</f>
        <v>#REF!</v>
      </c>
      <c r="C9" s="1655" t="s">
        <v>1515</v>
      </c>
      <c r="D9" s="1653"/>
      <c r="E9" s="1665">
        <f>IF(OR(A9=0,F9="否"),0,'数据-取费表'!K9+'数据-取费表'!S9)</f>
        <v>0</v>
      </c>
      <c r="F9" s="1666" t="s">
        <v>1522</v>
      </c>
      <c r="G9" s="1512"/>
      <c r="H9" s="1512"/>
      <c r="I9" s="1512"/>
      <c r="J9" s="1512"/>
      <c r="K9" s="1512"/>
      <c r="L9" s="1512"/>
      <c r="M9" s="1512"/>
      <c r="N9" s="1512"/>
      <c r="O9" s="1512"/>
      <c r="P9" s="1512"/>
      <c r="Q9" s="1512"/>
      <c r="R9" s="1512"/>
      <c r="S9" s="1512"/>
    </row>
    <row r="10" spans="1:22">
      <c r="A10" s="1664">
        <f>'数据-取费表'!AN10</f>
        <v>0</v>
      </c>
      <c r="B10" s="887" t="e">
        <f ca="1">IF(F10="是",'数据-取费表'!AO10,0)</f>
        <v>#REF!</v>
      </c>
      <c r="C10" s="1655" t="s">
        <v>1515</v>
      </c>
      <c r="D10" s="1653"/>
      <c r="E10" s="1665">
        <f>IF(OR(A10=0,F10="否"),0,'数据-取费表'!K10+'数据-取费表'!S10)</f>
        <v>0</v>
      </c>
      <c r="F10" s="1666" t="s">
        <v>1522</v>
      </c>
      <c r="G10" s="1512"/>
      <c r="H10" s="1512"/>
      <c r="I10" s="1512"/>
      <c r="J10" s="1512"/>
      <c r="K10" s="1512"/>
      <c r="L10" s="1512"/>
      <c r="M10" s="1512"/>
      <c r="N10" s="1512"/>
      <c r="O10" s="1512"/>
      <c r="P10" s="1512"/>
      <c r="Q10" s="1512"/>
      <c r="R10" s="1512"/>
      <c r="S10" s="1512"/>
    </row>
    <row r="11" spans="1:22">
      <c r="A11" s="1664">
        <f>'数据-取费表'!AN11</f>
        <v>0</v>
      </c>
      <c r="B11" s="887" t="e">
        <f ca="1">IF(F11="是",'数据-取费表'!AO11,0)</f>
        <v>#REF!</v>
      </c>
      <c r="C11" s="1655" t="s">
        <v>1515</v>
      </c>
      <c r="D11" s="1653"/>
      <c r="E11" s="1665">
        <f>IF(OR(A11=0,F11="否"),0,'数据-取费表'!K11+'数据-取费表'!S11)</f>
        <v>0</v>
      </c>
      <c r="F11" s="1666" t="s">
        <v>1522</v>
      </c>
      <c r="G11" s="1512"/>
      <c r="H11" s="1512"/>
      <c r="I11" s="1512"/>
      <c r="J11" s="1512"/>
      <c r="K11" s="1512"/>
      <c r="L11" s="1512"/>
      <c r="M11" s="1512"/>
      <c r="N11" s="1512"/>
      <c r="O11" s="1512"/>
      <c r="P11" s="1512"/>
      <c r="Q11" s="1512"/>
      <c r="R11" s="1512"/>
      <c r="S11" s="1512"/>
    </row>
    <row r="12" spans="1:22">
      <c r="A12" s="1664">
        <f>'数据-取费表'!AN12</f>
        <v>0</v>
      </c>
      <c r="B12" s="887" t="e">
        <f ca="1">IF(F12="是",'数据-取费表'!AO12,0)</f>
        <v>#REF!</v>
      </c>
      <c r="C12" s="1655" t="s">
        <v>1515</v>
      </c>
      <c r="D12" s="1653"/>
      <c r="E12" s="1665">
        <f>IF(OR(A12=0,F12="否"),0,'数据-取费表'!K12+'数据-取费表'!S12)</f>
        <v>0</v>
      </c>
      <c r="F12" s="1666" t="s">
        <v>1522</v>
      </c>
      <c r="G12" s="1512"/>
      <c r="H12" s="1512"/>
      <c r="I12" s="1512"/>
      <c r="J12" s="1512"/>
      <c r="K12" s="1512"/>
      <c r="L12" s="1512"/>
      <c r="M12" s="1512"/>
      <c r="N12" s="1512"/>
      <c r="O12" s="1512"/>
      <c r="P12" s="1512"/>
      <c r="Q12" s="1512"/>
      <c r="R12" s="1512"/>
      <c r="S12" s="1512"/>
    </row>
    <row r="13" spans="1:22">
      <c r="A13" s="1667">
        <f>'数据-取费表'!AN13</f>
        <v>0</v>
      </c>
      <c r="B13" s="887" t="e">
        <f ca="1">IF(F13="是",'数据-取费表'!AO13,0)</f>
        <v>#REF!</v>
      </c>
      <c r="C13" s="1668" t="s">
        <v>1515</v>
      </c>
      <c r="D13" s="1669"/>
      <c r="E13" s="1665">
        <f>IF(OR(A13=0,F13="否"),0,'数据-取费表'!K13+'数据-取费表'!S13)</f>
        <v>0</v>
      </c>
      <c r="F13" s="1666" t="s">
        <v>1522</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M116"/>
  <sheetViews>
    <sheetView topLeftCell="A67" workbookViewId="0">
      <selection activeCell="I34" sqref="I34"/>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customWidth="1"/>
    <col min="9" max="9" width="10.5" customWidth="1"/>
    <col min="10" max="10" width="16.125" customWidth="1"/>
    <col min="11" max="11" width="12.75" customWidth="1"/>
    <col min="12" max="12" width="12.625"/>
    <col min="13" max="13" width="12.75" customWidth="1"/>
    <col min="15" max="15" width="12.625"/>
  </cols>
  <sheetData>
    <row r="1" spans="1:13" ht="40.5">
      <c r="A1" s="1641" t="s">
        <v>1523</v>
      </c>
      <c r="B1" s="1642" t="s">
        <v>1524</v>
      </c>
      <c r="C1" s="1641" t="s">
        <v>1525</v>
      </c>
      <c r="D1" s="1641" t="s">
        <v>1526</v>
      </c>
      <c r="E1" s="1641" t="s">
        <v>1527</v>
      </c>
      <c r="F1" s="1641" t="s">
        <v>1528</v>
      </c>
      <c r="G1" s="1641" t="s">
        <v>1529</v>
      </c>
      <c r="H1" s="1642" t="s">
        <v>1530</v>
      </c>
      <c r="I1" s="1642" t="s">
        <v>1531</v>
      </c>
      <c r="J1" s="1643" t="s">
        <v>1532</v>
      </c>
      <c r="K1" s="1641" t="s">
        <v>1533</v>
      </c>
      <c r="L1" s="280" t="s">
        <v>1534</v>
      </c>
    </row>
    <row r="2" spans="1:13">
      <c r="A2" s="1644">
        <v>2018</v>
      </c>
      <c r="B2" s="1645">
        <v>43200</v>
      </c>
      <c r="C2" s="1646">
        <v>46852</v>
      </c>
      <c r="D2" s="1647" t="s">
        <v>1535</v>
      </c>
      <c r="E2" s="1647" t="s">
        <v>1536</v>
      </c>
      <c r="F2" s="1647">
        <v>7.65</v>
      </c>
      <c r="G2" s="1647">
        <v>8.0299999999999994</v>
      </c>
      <c r="H2" s="1647">
        <v>1407</v>
      </c>
      <c r="I2" s="1648">
        <v>263.02999999999997</v>
      </c>
      <c r="J2" s="1649">
        <v>5706068.3399999999</v>
      </c>
      <c r="K2" s="1650">
        <v>570606.82999999996</v>
      </c>
      <c r="L2">
        <f>K2/I2/365</f>
        <v>5.9434527755831796</v>
      </c>
      <c r="M2">
        <f>L2*I2</f>
        <v>1563.3063835616399</v>
      </c>
    </row>
    <row r="3" spans="1:13" hidden="1">
      <c r="A3" s="1644">
        <v>2018</v>
      </c>
      <c r="B3" s="1645">
        <v>43200</v>
      </c>
      <c r="C3" s="1646">
        <v>46852</v>
      </c>
      <c r="D3" s="1647" t="s">
        <v>1535</v>
      </c>
      <c r="E3" s="1647" t="s">
        <v>1536</v>
      </c>
      <c r="F3" s="1647">
        <v>13.08</v>
      </c>
      <c r="G3" s="1647">
        <v>13.73</v>
      </c>
      <c r="H3" s="1647">
        <v>101</v>
      </c>
      <c r="I3" s="1648">
        <v>717.29</v>
      </c>
      <c r="J3" s="1649">
        <v>23544962.690000001</v>
      </c>
      <c r="K3" s="1650">
        <v>2354496.2799999998</v>
      </c>
      <c r="L3">
        <f t="shared" ref="L3:L66" si="0">K3/I3/365</f>
        <v>8.9931195746853092</v>
      </c>
      <c r="M3">
        <f t="shared" ref="M3:M66" si="1">L3*I3</f>
        <v>6450.6747397260297</v>
      </c>
    </row>
    <row r="4" spans="1:13" hidden="1">
      <c r="A4" s="1644">
        <v>2021</v>
      </c>
      <c r="B4" s="1645">
        <v>45417</v>
      </c>
      <c r="C4" s="1646">
        <v>47242</v>
      </c>
      <c r="D4" s="1647" t="s">
        <v>1537</v>
      </c>
      <c r="E4" s="1647" t="s">
        <v>1536</v>
      </c>
      <c r="F4" s="1647">
        <v>3.75</v>
      </c>
      <c r="G4" s="1647">
        <v>3.75</v>
      </c>
      <c r="H4" s="1647">
        <v>209</v>
      </c>
      <c r="I4" s="1648">
        <v>547.21</v>
      </c>
      <c r="J4" s="1649">
        <v>3682552.26</v>
      </c>
      <c r="K4" s="1650">
        <v>748993.68</v>
      </c>
      <c r="L4">
        <f t="shared" si="0"/>
        <v>3.7499999624496199</v>
      </c>
      <c r="M4">
        <f t="shared" si="1"/>
        <v>2052.0374794520499</v>
      </c>
    </row>
    <row r="5" spans="1:13">
      <c r="A5" s="1644">
        <v>2022</v>
      </c>
      <c r="B5" s="1645">
        <v>44842</v>
      </c>
      <c r="C5" s="1646">
        <v>47064</v>
      </c>
      <c r="D5" s="1647" t="s">
        <v>1538</v>
      </c>
      <c r="E5" s="1647" t="s">
        <v>1536</v>
      </c>
      <c r="F5" s="1647">
        <v>5</v>
      </c>
      <c r="G5" s="1647">
        <v>5.25</v>
      </c>
      <c r="H5" s="1647" t="s">
        <v>1539</v>
      </c>
      <c r="I5" s="1648">
        <v>926.13</v>
      </c>
      <c r="J5" s="1649">
        <v>10443763.08</v>
      </c>
      <c r="K5" s="1650">
        <v>1487364.84</v>
      </c>
      <c r="L5">
        <f t="shared" si="0"/>
        <v>4.4000001774951301</v>
      </c>
      <c r="M5">
        <f t="shared" si="1"/>
        <v>4074.9721643835601</v>
      </c>
    </row>
    <row r="6" spans="1:13">
      <c r="A6" s="1644">
        <v>2022</v>
      </c>
      <c r="B6" s="1645">
        <v>44805</v>
      </c>
      <c r="C6" s="1646">
        <v>46173</v>
      </c>
      <c r="D6" s="1647" t="s">
        <v>1540</v>
      </c>
      <c r="E6" s="1647" t="s">
        <v>1536</v>
      </c>
      <c r="F6" s="1647">
        <v>4.0999999999999996</v>
      </c>
      <c r="G6" s="1647">
        <v>4.0999999999999996</v>
      </c>
      <c r="H6" s="1647">
        <v>517</v>
      </c>
      <c r="I6" s="1648">
        <v>74.099999999999994</v>
      </c>
      <c r="J6" s="1649">
        <v>572751.35999999999</v>
      </c>
      <c r="K6" s="1650">
        <v>125098.416</v>
      </c>
      <c r="L6">
        <f t="shared" si="0"/>
        <v>4.6253088569685499</v>
      </c>
      <c r="M6">
        <f t="shared" si="1"/>
        <v>342.73538630137</v>
      </c>
    </row>
    <row r="7" spans="1:13" hidden="1">
      <c r="A7" s="1644">
        <v>2022</v>
      </c>
      <c r="B7" s="1645">
        <v>44896</v>
      </c>
      <c r="C7" s="1646">
        <v>46721</v>
      </c>
      <c r="D7" s="1647" t="s">
        <v>1541</v>
      </c>
      <c r="E7" s="1647" t="s">
        <v>1542</v>
      </c>
      <c r="F7" s="1647"/>
      <c r="G7" s="1647"/>
      <c r="H7" s="1647">
        <v>102</v>
      </c>
      <c r="I7" s="1648">
        <v>107.4</v>
      </c>
      <c r="J7" s="1649">
        <v>0</v>
      </c>
      <c r="K7" s="1650"/>
      <c r="L7" s="1651">
        <f t="shared" si="0"/>
        <v>0</v>
      </c>
      <c r="M7" s="1651">
        <f t="shared" si="1"/>
        <v>0</v>
      </c>
    </row>
    <row r="8" spans="1:13">
      <c r="A8" s="1644">
        <v>2022</v>
      </c>
      <c r="B8" s="1645">
        <v>44900</v>
      </c>
      <c r="C8" s="1646">
        <v>45995</v>
      </c>
      <c r="D8" s="1647" t="s">
        <v>1543</v>
      </c>
      <c r="E8" s="1647" t="s">
        <v>1536</v>
      </c>
      <c r="F8" s="1647">
        <v>4.93</v>
      </c>
      <c r="G8" s="1647">
        <v>4.93</v>
      </c>
      <c r="H8" s="1647" t="s">
        <v>1544</v>
      </c>
      <c r="I8" s="1648">
        <v>222.3</v>
      </c>
      <c r="J8" s="1649">
        <v>1200053.1599999999</v>
      </c>
      <c r="K8" s="1650">
        <v>400017.72</v>
      </c>
      <c r="L8">
        <f t="shared" si="0"/>
        <v>4.9299998151331996</v>
      </c>
      <c r="M8">
        <f t="shared" si="1"/>
        <v>1095.93895890411</v>
      </c>
    </row>
    <row r="9" spans="1:13">
      <c r="A9" s="1644">
        <v>2023</v>
      </c>
      <c r="B9" s="1645">
        <v>44977</v>
      </c>
      <c r="C9" s="1646">
        <v>46072</v>
      </c>
      <c r="D9" s="1647" t="s">
        <v>1545</v>
      </c>
      <c r="E9" s="1647" t="s">
        <v>1542</v>
      </c>
      <c r="F9" s="1647">
        <v>4.9000000000000004</v>
      </c>
      <c r="G9" s="1647">
        <v>4.9000000000000004</v>
      </c>
      <c r="H9" s="1647">
        <v>814</v>
      </c>
      <c r="I9" s="1648">
        <v>149.87</v>
      </c>
      <c r="J9" s="1649">
        <v>804127.32</v>
      </c>
      <c r="K9" s="1650">
        <v>268042.44</v>
      </c>
      <c r="L9">
        <f t="shared" si="0"/>
        <v>4.8999989945624103</v>
      </c>
      <c r="M9">
        <f t="shared" si="1"/>
        <v>734.36284931506896</v>
      </c>
    </row>
    <row r="10" spans="1:13">
      <c r="A10" s="1644">
        <v>2023</v>
      </c>
      <c r="B10" s="1645">
        <v>45025</v>
      </c>
      <c r="C10" s="1646">
        <v>46851</v>
      </c>
      <c r="D10" s="1647" t="s">
        <v>1546</v>
      </c>
      <c r="E10" s="1647" t="s">
        <v>1536</v>
      </c>
      <c r="F10" s="1647">
        <v>4.9800000000000004</v>
      </c>
      <c r="G10" s="1647">
        <v>4.9800000000000004</v>
      </c>
      <c r="H10" s="1647" t="s">
        <v>1547</v>
      </c>
      <c r="I10" s="1648">
        <v>411.23</v>
      </c>
      <c r="J10" s="1649">
        <v>3737463.6</v>
      </c>
      <c r="K10" s="1650">
        <v>747492.72</v>
      </c>
      <c r="L10">
        <f t="shared" si="0"/>
        <v>4.9799996602241396</v>
      </c>
      <c r="M10">
        <f t="shared" si="1"/>
        <v>2047.92526027397</v>
      </c>
    </row>
    <row r="11" spans="1:13" ht="27" hidden="1">
      <c r="A11" s="1644">
        <v>2023</v>
      </c>
      <c r="B11" s="1645">
        <v>45025</v>
      </c>
      <c r="C11" s="1646">
        <v>46851</v>
      </c>
      <c r="D11" s="1647" t="s">
        <v>1548</v>
      </c>
      <c r="E11" s="1647" t="s">
        <v>1549</v>
      </c>
      <c r="F11" s="1647">
        <v>2</v>
      </c>
      <c r="G11" s="1647">
        <v>2</v>
      </c>
      <c r="H11" s="1647" t="s">
        <v>1550</v>
      </c>
      <c r="I11" s="1648">
        <v>25</v>
      </c>
      <c r="J11" s="1649">
        <v>91250.4</v>
      </c>
      <c r="K11" s="1650">
        <v>18250.080000000002</v>
      </c>
      <c r="L11">
        <f t="shared" si="0"/>
        <v>2.00000876712329</v>
      </c>
      <c r="M11">
        <f t="shared" si="1"/>
        <v>50.000219178082197</v>
      </c>
    </row>
    <row r="12" spans="1:13">
      <c r="A12" s="1644">
        <v>2023</v>
      </c>
      <c r="B12" s="1645">
        <v>44986</v>
      </c>
      <c r="C12" s="1646">
        <v>46112</v>
      </c>
      <c r="D12" s="1647" t="s">
        <v>1551</v>
      </c>
      <c r="E12" s="1647" t="s">
        <v>1536</v>
      </c>
      <c r="F12" s="1647">
        <v>5.0999999999999996</v>
      </c>
      <c r="G12" s="1647">
        <v>5.0999999999999996</v>
      </c>
      <c r="H12" s="1647">
        <v>1009</v>
      </c>
      <c r="I12" s="1648">
        <v>263.02999999999997</v>
      </c>
      <c r="J12" s="1649">
        <v>1468891.08</v>
      </c>
      <c r="K12" s="1650">
        <v>482447.64</v>
      </c>
      <c r="L12">
        <f t="shared" si="0"/>
        <v>5.0251847932341702</v>
      </c>
      <c r="M12">
        <f t="shared" si="1"/>
        <v>1321.7743561643799</v>
      </c>
    </row>
    <row r="13" spans="1:13" hidden="1">
      <c r="A13" s="1644">
        <v>2023</v>
      </c>
      <c r="B13" s="1645">
        <v>45139</v>
      </c>
      <c r="C13" s="1646">
        <v>46965</v>
      </c>
      <c r="D13" s="1647" t="s">
        <v>1552</v>
      </c>
      <c r="E13" s="1647" t="s">
        <v>1536</v>
      </c>
      <c r="F13" s="1647">
        <v>8.16</v>
      </c>
      <c r="G13" s="1647">
        <v>8.16</v>
      </c>
      <c r="H13" s="1647">
        <v>103</v>
      </c>
      <c r="I13" s="1648">
        <v>80</v>
      </c>
      <c r="J13" s="1649">
        <v>1191360</v>
      </c>
      <c r="K13" s="1650">
        <v>238272</v>
      </c>
      <c r="L13">
        <f t="shared" si="0"/>
        <v>8.16</v>
      </c>
      <c r="M13">
        <f t="shared" si="1"/>
        <v>652.79999999999995</v>
      </c>
    </row>
    <row r="14" spans="1:13">
      <c r="A14" s="1644">
        <v>2023</v>
      </c>
      <c r="B14" s="1645">
        <v>45180</v>
      </c>
      <c r="C14" s="1646">
        <v>47006</v>
      </c>
      <c r="D14" s="1647" t="s">
        <v>1553</v>
      </c>
      <c r="E14" s="1647" t="s">
        <v>1536</v>
      </c>
      <c r="F14" s="1647">
        <v>5.73</v>
      </c>
      <c r="G14" s="1647">
        <v>5.73</v>
      </c>
      <c r="H14" s="1647" t="s">
        <v>1554</v>
      </c>
      <c r="I14" s="1648">
        <v>1997.88</v>
      </c>
      <c r="J14" s="1649">
        <v>20892330.600000001</v>
      </c>
      <c r="K14" s="1650">
        <v>4178466.12</v>
      </c>
      <c r="L14">
        <f t="shared" si="0"/>
        <v>5.7299999917721003</v>
      </c>
      <c r="M14">
        <f t="shared" si="1"/>
        <v>11447.8523835616</v>
      </c>
    </row>
    <row r="15" spans="1:13" ht="27" hidden="1">
      <c r="A15" s="1644">
        <v>2023</v>
      </c>
      <c r="B15" s="1645">
        <v>45180</v>
      </c>
      <c r="C15" s="1646">
        <v>47006</v>
      </c>
      <c r="D15" s="1647" t="s">
        <v>1553</v>
      </c>
      <c r="E15" s="1647" t="s">
        <v>1549</v>
      </c>
      <c r="F15" s="1647">
        <v>4</v>
      </c>
      <c r="G15" s="1647">
        <v>4</v>
      </c>
      <c r="H15" s="1647" t="s">
        <v>1555</v>
      </c>
      <c r="I15" s="1648">
        <v>25</v>
      </c>
      <c r="J15" s="1649">
        <v>182500</v>
      </c>
      <c r="K15" s="1650">
        <v>36500</v>
      </c>
      <c r="L15">
        <f t="shared" si="0"/>
        <v>4</v>
      </c>
      <c r="M15">
        <f t="shared" si="1"/>
        <v>100</v>
      </c>
    </row>
    <row r="16" spans="1:13">
      <c r="A16" s="1644">
        <v>2023</v>
      </c>
      <c r="B16" s="1645">
        <v>45057</v>
      </c>
      <c r="C16" s="1646">
        <v>46152</v>
      </c>
      <c r="D16" s="1647" t="s">
        <v>1556</v>
      </c>
      <c r="E16" s="1647" t="s">
        <v>1542</v>
      </c>
      <c r="F16" s="1647">
        <v>4.5999999999999996</v>
      </c>
      <c r="G16" s="1647">
        <v>4.5999999999999996</v>
      </c>
      <c r="H16" s="1647">
        <v>1115</v>
      </c>
      <c r="I16" s="1648">
        <v>263.02999999999997</v>
      </c>
      <c r="J16" s="1649">
        <v>1324882.08</v>
      </c>
      <c r="K16" s="1650">
        <v>441627.36</v>
      </c>
      <c r="L16">
        <f t="shared" si="0"/>
        <v>4.5999998958397903</v>
      </c>
      <c r="M16">
        <f t="shared" si="1"/>
        <v>1209.93797260274</v>
      </c>
    </row>
    <row r="17" spans="1:13">
      <c r="A17" s="1644">
        <v>2023</v>
      </c>
      <c r="B17" s="1645">
        <v>45078</v>
      </c>
      <c r="C17" s="1646">
        <v>46173</v>
      </c>
      <c r="D17" s="1647" t="s">
        <v>1557</v>
      </c>
      <c r="E17" s="1647" t="s">
        <v>1542</v>
      </c>
      <c r="F17" s="1647">
        <v>4.5999999999999996</v>
      </c>
      <c r="G17" s="1647">
        <v>4.5999999999999996</v>
      </c>
      <c r="H17" s="1647">
        <v>1114</v>
      </c>
      <c r="I17" s="1648">
        <v>148.19999999999999</v>
      </c>
      <c r="J17" s="1649">
        <v>746483.4</v>
      </c>
      <c r="K17" s="1650">
        <v>248827.8</v>
      </c>
      <c r="L17">
        <f t="shared" si="0"/>
        <v>4.5999999999999996</v>
      </c>
      <c r="M17">
        <f t="shared" si="1"/>
        <v>681.72</v>
      </c>
    </row>
    <row r="18" spans="1:13">
      <c r="A18" s="1644">
        <v>2023</v>
      </c>
      <c r="B18" s="1645">
        <v>45087</v>
      </c>
      <c r="C18" s="1646">
        <v>46182</v>
      </c>
      <c r="D18" s="1647" t="s">
        <v>1558</v>
      </c>
      <c r="E18" s="1647" t="s">
        <v>1542</v>
      </c>
      <c r="F18" s="1647">
        <v>5.13</v>
      </c>
      <c r="G18" s="1647">
        <v>4.3</v>
      </c>
      <c r="H18" s="1647">
        <v>806</v>
      </c>
      <c r="I18" s="1648">
        <v>148.19999999999999</v>
      </c>
      <c r="J18" s="1649">
        <v>787594.2</v>
      </c>
      <c r="K18" s="1650">
        <v>277497.12</v>
      </c>
      <c r="L18">
        <f t="shared" si="0"/>
        <v>5.1300005546004099</v>
      </c>
      <c r="M18">
        <f t="shared" si="1"/>
        <v>760.26608219178104</v>
      </c>
    </row>
    <row r="19" spans="1:13">
      <c r="A19" s="1644">
        <v>2023</v>
      </c>
      <c r="B19" s="1645">
        <v>45199</v>
      </c>
      <c r="C19" s="1646">
        <v>46294</v>
      </c>
      <c r="D19" s="1647" t="s">
        <v>1559</v>
      </c>
      <c r="E19" s="1647" t="s">
        <v>1536</v>
      </c>
      <c r="F19" s="1647">
        <v>6.12</v>
      </c>
      <c r="G19" s="1647">
        <v>6.12</v>
      </c>
      <c r="H19" s="1647">
        <v>1305</v>
      </c>
      <c r="I19" s="1648">
        <v>111.15</v>
      </c>
      <c r="J19" s="1649">
        <v>694554.6</v>
      </c>
      <c r="K19" s="1650">
        <v>248286.84</v>
      </c>
      <c r="L19">
        <f t="shared" si="0"/>
        <v>6.11999926053279</v>
      </c>
      <c r="M19">
        <f t="shared" si="1"/>
        <v>680.23791780821898</v>
      </c>
    </row>
    <row r="20" spans="1:13" ht="27" hidden="1">
      <c r="A20" s="1644">
        <v>2023</v>
      </c>
      <c r="B20" s="1645">
        <v>45139</v>
      </c>
      <c r="C20" s="1646">
        <v>46965</v>
      </c>
      <c r="D20" s="1647" t="s">
        <v>1552</v>
      </c>
      <c r="E20" s="1647" t="s">
        <v>1549</v>
      </c>
      <c r="F20" s="1647"/>
      <c r="G20" s="1647"/>
      <c r="H20" s="1647" t="s">
        <v>1560</v>
      </c>
      <c r="I20" s="1648">
        <v>12</v>
      </c>
      <c r="J20" s="1649">
        <v>54750</v>
      </c>
      <c r="K20" s="1650">
        <v>10950</v>
      </c>
      <c r="L20">
        <f t="shared" si="0"/>
        <v>2.5</v>
      </c>
      <c r="M20">
        <f t="shared" si="1"/>
        <v>30</v>
      </c>
    </row>
    <row r="21" spans="1:13">
      <c r="A21" s="1644">
        <v>2023</v>
      </c>
      <c r="B21" s="1645">
        <v>45214</v>
      </c>
      <c r="C21" s="1646">
        <v>46309</v>
      </c>
      <c r="D21" s="1647" t="s">
        <v>1561</v>
      </c>
      <c r="E21" s="1647" t="s">
        <v>1536</v>
      </c>
      <c r="F21" s="1647">
        <v>5.5</v>
      </c>
      <c r="G21" s="1647">
        <v>5.5</v>
      </c>
      <c r="H21" s="1647" t="s">
        <v>1562</v>
      </c>
      <c r="I21" s="1648">
        <v>625.41</v>
      </c>
      <c r="J21" s="1649">
        <v>3766532.04</v>
      </c>
      <c r="K21" s="1650">
        <v>1255510.68</v>
      </c>
      <c r="L21">
        <f t="shared" si="0"/>
        <v>5.5000004599722301</v>
      </c>
      <c r="M21">
        <f t="shared" si="1"/>
        <v>3439.7552876712298</v>
      </c>
    </row>
    <row r="22" spans="1:13">
      <c r="A22" s="1644">
        <v>2024</v>
      </c>
      <c r="B22" s="1645">
        <v>45292</v>
      </c>
      <c r="C22" s="1646">
        <v>47177</v>
      </c>
      <c r="D22" s="1647" t="s">
        <v>1563</v>
      </c>
      <c r="E22" s="1647" t="s">
        <v>1542</v>
      </c>
      <c r="F22" s="1647">
        <v>4.5999999999999996</v>
      </c>
      <c r="G22" s="1647">
        <v>4.5999999999999996</v>
      </c>
      <c r="H22" s="1647" t="s">
        <v>1564</v>
      </c>
      <c r="I22" s="1648">
        <v>370.5</v>
      </c>
      <c r="J22" s="1649">
        <v>3110347.8</v>
      </c>
      <c r="K22" s="1650">
        <v>622069.56000000006</v>
      </c>
      <c r="L22">
        <f t="shared" si="0"/>
        <v>4.6000004436803303</v>
      </c>
      <c r="M22">
        <f t="shared" si="1"/>
        <v>1704.3001643835601</v>
      </c>
    </row>
    <row r="23" spans="1:13">
      <c r="A23" s="1644">
        <v>2024</v>
      </c>
      <c r="B23" s="1645">
        <v>45322</v>
      </c>
      <c r="C23" s="1646">
        <v>46052</v>
      </c>
      <c r="D23" s="1647" t="s">
        <v>1565</v>
      </c>
      <c r="E23" s="1647" t="s">
        <v>1542</v>
      </c>
      <c r="F23" s="1647">
        <v>4.7</v>
      </c>
      <c r="G23" s="1647">
        <v>4.7</v>
      </c>
      <c r="H23" s="1647">
        <v>1011</v>
      </c>
      <c r="I23" s="1648">
        <v>111.15</v>
      </c>
      <c r="J23" s="1649">
        <v>381355.68</v>
      </c>
      <c r="K23" s="1650">
        <v>190677.84</v>
      </c>
      <c r="L23">
        <f t="shared" si="0"/>
        <v>4.7000003697336101</v>
      </c>
      <c r="M23">
        <f t="shared" si="1"/>
        <v>522.40504109589006</v>
      </c>
    </row>
    <row r="24" spans="1:13">
      <c r="A24" s="1644">
        <v>2024</v>
      </c>
      <c r="B24" s="1645">
        <v>45320</v>
      </c>
      <c r="C24" s="1646">
        <v>46415</v>
      </c>
      <c r="D24" s="1647" t="s">
        <v>1566</v>
      </c>
      <c r="E24" s="1647" t="s">
        <v>1536</v>
      </c>
      <c r="F24" s="1647">
        <v>4.5999999999999996</v>
      </c>
      <c r="G24" s="1647">
        <v>4.5999999999999996</v>
      </c>
      <c r="H24" s="1647">
        <v>915</v>
      </c>
      <c r="I24" s="1648">
        <v>285.51</v>
      </c>
      <c r="J24" s="1649">
        <v>1403879.76</v>
      </c>
      <c r="K24" s="1650">
        <v>479371.32</v>
      </c>
      <c r="L24">
        <f t="shared" si="0"/>
        <v>4.6000002878770703</v>
      </c>
      <c r="M24">
        <f t="shared" si="1"/>
        <v>1313.3460821917799</v>
      </c>
    </row>
    <row r="25" spans="1:13">
      <c r="A25" s="1644">
        <v>2024</v>
      </c>
      <c r="B25" s="1645">
        <v>45349</v>
      </c>
      <c r="C25" s="1646">
        <v>46444</v>
      </c>
      <c r="D25" s="1647" t="s">
        <v>1567</v>
      </c>
      <c r="E25" s="1647" t="s">
        <v>1536</v>
      </c>
      <c r="F25" s="1647">
        <v>5.6</v>
      </c>
      <c r="G25" s="1647">
        <v>5.6</v>
      </c>
      <c r="H25" s="1647">
        <v>518</v>
      </c>
      <c r="I25" s="1648">
        <v>74.099999999999994</v>
      </c>
      <c r="J25" s="1649">
        <v>454381.2</v>
      </c>
      <c r="K25" s="1650">
        <v>151460.4</v>
      </c>
      <c r="L25">
        <f t="shared" si="0"/>
        <v>5.6</v>
      </c>
      <c r="M25">
        <f t="shared" si="1"/>
        <v>414.96</v>
      </c>
    </row>
    <row r="26" spans="1:13">
      <c r="A26" s="1644">
        <v>2024</v>
      </c>
      <c r="B26" s="1645">
        <v>45320</v>
      </c>
      <c r="C26" s="1646">
        <v>46415</v>
      </c>
      <c r="D26" s="1647" t="s">
        <v>1568</v>
      </c>
      <c r="E26" s="1647" t="s">
        <v>1542</v>
      </c>
      <c r="F26" s="1647">
        <v>4.5</v>
      </c>
      <c r="G26" s="1647">
        <v>4.5</v>
      </c>
      <c r="H26" s="1647">
        <v>603</v>
      </c>
      <c r="I26" s="1648">
        <v>74.099999999999994</v>
      </c>
      <c r="J26" s="1649">
        <v>365127.84</v>
      </c>
      <c r="K26" s="1650">
        <v>365127.84</v>
      </c>
      <c r="L26">
        <f t="shared" si="0"/>
        <v>13.500003327602499</v>
      </c>
      <c r="M26">
        <f t="shared" si="1"/>
        <v>1000.35024657534</v>
      </c>
    </row>
    <row r="27" spans="1:13">
      <c r="A27" s="1644">
        <v>2024</v>
      </c>
      <c r="B27" s="1645">
        <v>45348</v>
      </c>
      <c r="C27" s="1646">
        <v>46443</v>
      </c>
      <c r="D27" s="1647" t="s">
        <v>1568</v>
      </c>
      <c r="E27" s="1647" t="s">
        <v>1542</v>
      </c>
      <c r="F27" s="1647">
        <v>4.5</v>
      </c>
      <c r="G27" s="1647">
        <v>4.5</v>
      </c>
      <c r="H27" s="1647">
        <v>627</v>
      </c>
      <c r="I27" s="1648">
        <v>74.099999999999994</v>
      </c>
      <c r="J27" s="1649">
        <v>365127.84</v>
      </c>
      <c r="K27" s="1650">
        <v>365127.84</v>
      </c>
      <c r="L27">
        <f t="shared" si="0"/>
        <v>13.500003327602499</v>
      </c>
      <c r="M27">
        <f t="shared" si="1"/>
        <v>1000.35024657534</v>
      </c>
    </row>
    <row r="28" spans="1:13">
      <c r="A28" s="1644">
        <v>2024</v>
      </c>
      <c r="B28" s="1645">
        <v>45362</v>
      </c>
      <c r="C28" s="1646">
        <v>46091</v>
      </c>
      <c r="D28" s="1647" t="s">
        <v>1569</v>
      </c>
      <c r="E28" s="1647" t="s">
        <v>1542</v>
      </c>
      <c r="F28" s="1647">
        <v>4.7</v>
      </c>
      <c r="G28" s="1647">
        <v>4.7</v>
      </c>
      <c r="H28" s="1647">
        <v>1404</v>
      </c>
      <c r="I28" s="1648">
        <v>111.15</v>
      </c>
      <c r="J28" s="1649">
        <v>381355.68</v>
      </c>
      <c r="K28" s="1650">
        <v>190677.84</v>
      </c>
      <c r="L28">
        <f t="shared" si="0"/>
        <v>4.7000003697336101</v>
      </c>
      <c r="M28">
        <f t="shared" si="1"/>
        <v>522.40504109589006</v>
      </c>
    </row>
    <row r="29" spans="1:13" ht="27">
      <c r="A29" s="1644">
        <v>2024</v>
      </c>
      <c r="B29" s="1645">
        <v>45357</v>
      </c>
      <c r="C29" s="1646">
        <v>46451</v>
      </c>
      <c r="D29" s="1647" t="s">
        <v>1570</v>
      </c>
      <c r="E29" s="1647" t="s">
        <v>1536</v>
      </c>
      <c r="F29" s="1647">
        <v>6</v>
      </c>
      <c r="G29" s="1647">
        <v>6</v>
      </c>
      <c r="H29" s="1647" t="s">
        <v>1571</v>
      </c>
      <c r="I29" s="1648">
        <v>371</v>
      </c>
      <c r="J29" s="1649">
        <v>2437470</v>
      </c>
      <c r="K29" s="1650">
        <v>812490</v>
      </c>
      <c r="L29">
        <f t="shared" si="0"/>
        <v>6</v>
      </c>
      <c r="M29">
        <f t="shared" si="1"/>
        <v>2226</v>
      </c>
    </row>
    <row r="30" spans="1:13" ht="40.5" hidden="1">
      <c r="A30" s="1644">
        <v>2024</v>
      </c>
      <c r="B30" s="1645">
        <v>45323</v>
      </c>
      <c r="C30" s="1646">
        <v>47149</v>
      </c>
      <c r="D30" s="1647" t="s">
        <v>1572</v>
      </c>
      <c r="E30" s="1647" t="s">
        <v>1536</v>
      </c>
      <c r="F30" s="1647">
        <v>9.8699999999999992</v>
      </c>
      <c r="G30" s="1647">
        <v>9.8699999999999992</v>
      </c>
      <c r="H30" s="1647" t="s">
        <v>1573</v>
      </c>
      <c r="I30" s="1648">
        <v>1025.82</v>
      </c>
      <c r="J30" s="1649">
        <v>18477839.399999999</v>
      </c>
      <c r="K30" s="1650">
        <v>3695567.88</v>
      </c>
      <c r="L30">
        <f t="shared" si="0"/>
        <v>9.8700001041599101</v>
      </c>
      <c r="M30">
        <f t="shared" si="1"/>
        <v>10124.8435068493</v>
      </c>
    </row>
    <row r="31" spans="1:13">
      <c r="A31" s="1644">
        <v>2024</v>
      </c>
      <c r="B31" s="1645">
        <v>45366</v>
      </c>
      <c r="C31" s="1646">
        <v>47191</v>
      </c>
      <c r="D31" s="1647" t="s">
        <v>1574</v>
      </c>
      <c r="E31" s="1647" t="s">
        <v>1536</v>
      </c>
      <c r="F31" s="1647">
        <v>5.2</v>
      </c>
      <c r="G31" s="1647">
        <v>5.2</v>
      </c>
      <c r="H31" s="1647">
        <v>807</v>
      </c>
      <c r="I31" s="1648">
        <v>270.14999999999998</v>
      </c>
      <c r="J31" s="1649">
        <v>2553863.4</v>
      </c>
      <c r="K31" s="1650">
        <v>512744.76</v>
      </c>
      <c r="L31">
        <f t="shared" si="0"/>
        <v>5.2000006084899599</v>
      </c>
      <c r="M31">
        <f t="shared" si="1"/>
        <v>1404.7801643835601</v>
      </c>
    </row>
    <row r="32" spans="1:13">
      <c r="A32" s="1644">
        <v>2024</v>
      </c>
      <c r="B32" s="1645">
        <v>45410</v>
      </c>
      <c r="C32" s="1646">
        <v>47235</v>
      </c>
      <c r="D32" s="1647" t="s">
        <v>1575</v>
      </c>
      <c r="E32" s="1647" t="s">
        <v>1542</v>
      </c>
      <c r="F32" s="1647">
        <v>3.9</v>
      </c>
      <c r="G32" s="1647">
        <v>3.9</v>
      </c>
      <c r="H32" s="1647" t="s">
        <v>1576</v>
      </c>
      <c r="I32" s="1648">
        <v>888.44</v>
      </c>
      <c r="J32" s="1649">
        <v>6453184.3200000003</v>
      </c>
      <c r="K32" s="1650">
        <v>1290636.8600000001</v>
      </c>
      <c r="L32">
        <f t="shared" si="0"/>
        <v>3.98000022202993</v>
      </c>
      <c r="M32">
        <f t="shared" si="1"/>
        <v>3535.9913972602699</v>
      </c>
    </row>
    <row r="33" spans="1:13">
      <c r="A33" s="1644">
        <v>2024</v>
      </c>
      <c r="B33" s="1645">
        <v>45376</v>
      </c>
      <c r="C33" s="1646">
        <v>46470</v>
      </c>
      <c r="D33" s="1647" t="s">
        <v>1577</v>
      </c>
      <c r="E33" s="1647" t="s">
        <v>1542</v>
      </c>
      <c r="F33" s="1647">
        <v>4.5999999999999996</v>
      </c>
      <c r="G33" s="1647">
        <v>4.5999999999999996</v>
      </c>
      <c r="H33" s="1647" t="s">
        <v>1578</v>
      </c>
      <c r="I33" s="1648">
        <v>200.62</v>
      </c>
      <c r="J33" s="1649">
        <v>1010522.88</v>
      </c>
      <c r="K33" s="1650">
        <v>336840.96000000002</v>
      </c>
      <c r="L33">
        <f t="shared" si="0"/>
        <v>4.5999997268740902</v>
      </c>
      <c r="M33">
        <f t="shared" si="1"/>
        <v>922.85194520547896</v>
      </c>
    </row>
    <row r="34" spans="1:13">
      <c r="A34" s="1644">
        <v>2024</v>
      </c>
      <c r="B34" s="1645">
        <v>45698</v>
      </c>
      <c r="C34" s="1646">
        <v>46317</v>
      </c>
      <c r="D34" s="1647" t="s">
        <v>1579</v>
      </c>
      <c r="E34" s="1647" t="s">
        <v>1536</v>
      </c>
      <c r="F34" s="1647">
        <v>4.5999999999999996</v>
      </c>
      <c r="G34" s="1647">
        <v>4.5999999999999996</v>
      </c>
      <c r="H34" s="1647">
        <v>809</v>
      </c>
      <c r="I34" s="1648">
        <v>285.51</v>
      </c>
      <c r="J34" s="1649">
        <v>776078.09</v>
      </c>
      <c r="K34" s="1650">
        <v>479371.32</v>
      </c>
      <c r="L34">
        <f t="shared" si="0"/>
        <v>4.6000002878770703</v>
      </c>
      <c r="M34">
        <f t="shared" si="1"/>
        <v>1313.3460821917799</v>
      </c>
    </row>
    <row r="35" spans="1:13">
      <c r="A35" s="1644">
        <v>2024</v>
      </c>
      <c r="B35" s="1645">
        <v>45409</v>
      </c>
      <c r="C35" s="1646">
        <v>46503</v>
      </c>
      <c r="D35" s="1647" t="s">
        <v>1580</v>
      </c>
      <c r="E35" s="1647" t="s">
        <v>1536</v>
      </c>
      <c r="F35" s="1647">
        <v>5.0999999999999996</v>
      </c>
      <c r="G35" s="1647">
        <v>5.36</v>
      </c>
      <c r="H35" s="1647">
        <v>1014</v>
      </c>
      <c r="I35" s="1648">
        <v>148.19999999999999</v>
      </c>
      <c r="J35" s="1649">
        <v>1054813.56</v>
      </c>
      <c r="K35" s="1650">
        <v>259646.4</v>
      </c>
      <c r="L35">
        <f t="shared" si="0"/>
        <v>4.8</v>
      </c>
      <c r="M35">
        <f t="shared" si="1"/>
        <v>711.36</v>
      </c>
    </row>
    <row r="36" spans="1:13">
      <c r="A36" s="1644">
        <v>2024</v>
      </c>
      <c r="B36" s="1645">
        <v>45422</v>
      </c>
      <c r="C36" s="1646">
        <v>46516</v>
      </c>
      <c r="D36" s="1647" t="s">
        <v>1581</v>
      </c>
      <c r="E36" s="1647" t="s">
        <v>1542</v>
      </c>
      <c r="F36" s="1647">
        <v>3.99</v>
      </c>
      <c r="G36" s="1647">
        <v>3.99</v>
      </c>
      <c r="H36" s="1647" t="s">
        <v>1582</v>
      </c>
      <c r="I36" s="1648">
        <v>1851.74</v>
      </c>
      <c r="J36" s="1649">
        <v>8090344.7999999998</v>
      </c>
      <c r="K36" s="1650">
        <v>2696781.6</v>
      </c>
      <c r="L36">
        <f t="shared" si="0"/>
        <v>3.9900000754566101</v>
      </c>
      <c r="M36">
        <f t="shared" si="1"/>
        <v>7388.4427397260297</v>
      </c>
    </row>
    <row r="37" spans="1:13">
      <c r="A37" s="1644">
        <v>2024</v>
      </c>
      <c r="B37" s="1645">
        <v>45492</v>
      </c>
      <c r="C37" s="1646">
        <v>46952</v>
      </c>
      <c r="D37" s="1647" t="s">
        <v>1574</v>
      </c>
      <c r="E37" s="1647" t="s">
        <v>1542</v>
      </c>
      <c r="F37" s="1647">
        <v>4</v>
      </c>
      <c r="G37" s="1647">
        <v>4</v>
      </c>
      <c r="H37" s="1647">
        <v>808</v>
      </c>
      <c r="I37" s="1648">
        <v>214.18</v>
      </c>
      <c r="J37" s="1649">
        <v>1250810.8799999999</v>
      </c>
      <c r="K37" s="1650">
        <v>312702.71999999997</v>
      </c>
      <c r="L37">
        <f t="shared" si="0"/>
        <v>3.9999989766641</v>
      </c>
      <c r="M37">
        <f t="shared" si="1"/>
        <v>856.71978082191799</v>
      </c>
    </row>
    <row r="38" spans="1:13">
      <c r="A38" s="1644">
        <v>2024</v>
      </c>
      <c r="B38" s="1645">
        <v>45439</v>
      </c>
      <c r="C38" s="1646">
        <v>46533</v>
      </c>
      <c r="D38" s="1647" t="s">
        <v>1583</v>
      </c>
      <c r="E38" s="1647" t="s">
        <v>1536</v>
      </c>
      <c r="F38" s="1647">
        <v>4.3</v>
      </c>
      <c r="G38" s="1647">
        <v>4.3</v>
      </c>
      <c r="H38" s="1647">
        <v>911</v>
      </c>
      <c r="I38" s="1648">
        <v>112.4</v>
      </c>
      <c r="J38" s="1649">
        <v>529235.64</v>
      </c>
      <c r="K38" s="1650">
        <v>176411.88</v>
      </c>
      <c r="L38">
        <f t="shared" si="0"/>
        <v>4.3000019499829403</v>
      </c>
      <c r="M38">
        <f t="shared" si="1"/>
        <v>483.32021917808203</v>
      </c>
    </row>
    <row r="39" spans="1:13">
      <c r="A39" s="1644">
        <v>2024</v>
      </c>
      <c r="B39" s="1645">
        <v>45419</v>
      </c>
      <c r="C39" s="1646">
        <v>46148</v>
      </c>
      <c r="D39" s="1647" t="s">
        <v>1584</v>
      </c>
      <c r="E39" s="1647" t="s">
        <v>1536</v>
      </c>
      <c r="F39" s="1647">
        <v>5.13</v>
      </c>
      <c r="G39" s="1647">
        <v>5.13</v>
      </c>
      <c r="H39" s="1647">
        <v>816</v>
      </c>
      <c r="I39" s="1648">
        <v>214.18</v>
      </c>
      <c r="J39" s="1649">
        <v>719216.4</v>
      </c>
      <c r="K39" s="1650">
        <v>359608.2</v>
      </c>
      <c r="L39">
        <f t="shared" si="0"/>
        <v>4.5999997441660296</v>
      </c>
      <c r="M39">
        <f t="shared" si="1"/>
        <v>985.22794520547995</v>
      </c>
    </row>
    <row r="40" spans="1:13">
      <c r="A40" s="1644">
        <v>2024</v>
      </c>
      <c r="B40" s="1645">
        <v>45466</v>
      </c>
      <c r="C40" s="1646">
        <v>46560</v>
      </c>
      <c r="D40" s="1647" t="s">
        <v>1585</v>
      </c>
      <c r="E40" s="1647" t="s">
        <v>1536</v>
      </c>
      <c r="F40" s="1647">
        <v>5.0999999999999996</v>
      </c>
      <c r="G40" s="1647">
        <v>5.0999999999999996</v>
      </c>
      <c r="H40" s="1647">
        <v>506</v>
      </c>
      <c r="I40" s="1648">
        <v>74.099999999999994</v>
      </c>
      <c r="J40" s="1649">
        <v>570681.12</v>
      </c>
      <c r="K40" s="1650">
        <v>137937.12</v>
      </c>
      <c r="L40">
        <f t="shared" si="0"/>
        <v>5.0999988907991796</v>
      </c>
      <c r="M40">
        <f t="shared" si="1"/>
        <v>377.90991780821901</v>
      </c>
    </row>
    <row r="41" spans="1:13" ht="27">
      <c r="A41" s="1644">
        <v>2024</v>
      </c>
      <c r="B41" s="1645">
        <v>45488</v>
      </c>
      <c r="C41" s="1646">
        <v>46217</v>
      </c>
      <c r="D41" s="1647" t="s">
        <v>1586</v>
      </c>
      <c r="E41" s="1647" t="s">
        <v>1536</v>
      </c>
      <c r="F41" s="1647">
        <v>4.8</v>
      </c>
      <c r="G41" s="1647">
        <v>4.8</v>
      </c>
      <c r="H41" s="1647" t="s">
        <v>1587</v>
      </c>
      <c r="I41" s="1648">
        <v>148.19999999999999</v>
      </c>
      <c r="J41" s="1649">
        <v>508474.32</v>
      </c>
      <c r="K41" s="1650">
        <v>286692.96000000002</v>
      </c>
      <c r="L41">
        <f t="shared" si="0"/>
        <v>5.3000011092008199</v>
      </c>
      <c r="M41">
        <f t="shared" si="1"/>
        <v>785.46016438356196</v>
      </c>
    </row>
    <row r="42" spans="1:13">
      <c r="A42" s="1644">
        <v>2024</v>
      </c>
      <c r="B42" s="1645">
        <v>45505</v>
      </c>
      <c r="C42" s="1646">
        <v>46608</v>
      </c>
      <c r="D42" s="1647" t="s">
        <v>1581</v>
      </c>
      <c r="E42" s="1647" t="s">
        <v>1542</v>
      </c>
      <c r="F42" s="1647">
        <v>3.99</v>
      </c>
      <c r="G42" s="1647">
        <v>3.99</v>
      </c>
      <c r="H42" s="1647" t="s">
        <v>1588</v>
      </c>
      <c r="I42" s="1648">
        <v>477.21</v>
      </c>
      <c r="J42" s="1649">
        <v>2084954.4</v>
      </c>
      <c r="K42" s="1650"/>
      <c r="L42">
        <f>J42/I42/365/3</f>
        <v>3.99000009472869</v>
      </c>
      <c r="M42">
        <f t="shared" si="1"/>
        <v>1904.0679452054801</v>
      </c>
    </row>
    <row r="43" spans="1:13" ht="27">
      <c r="A43" s="1644">
        <v>2024</v>
      </c>
      <c r="B43" s="1645">
        <v>45545</v>
      </c>
      <c r="C43" s="1646">
        <v>46274</v>
      </c>
      <c r="D43" s="1647" t="s">
        <v>1589</v>
      </c>
      <c r="E43" s="1647" t="s">
        <v>1536</v>
      </c>
      <c r="F43" s="1647">
        <v>5</v>
      </c>
      <c r="G43" s="1647">
        <v>5</v>
      </c>
      <c r="H43" s="1647">
        <v>606</v>
      </c>
      <c r="I43" s="1648">
        <v>74.099999999999994</v>
      </c>
      <c r="J43" s="1649">
        <v>260465.12</v>
      </c>
      <c r="K43" s="1650">
        <v>135232.56</v>
      </c>
      <c r="L43">
        <f t="shared" si="0"/>
        <v>5.0000022184016402</v>
      </c>
      <c r="M43">
        <f t="shared" si="1"/>
        <v>370.50016438356198</v>
      </c>
    </row>
    <row r="44" spans="1:13">
      <c r="A44" s="1644">
        <v>2024</v>
      </c>
      <c r="B44" s="1645">
        <v>45573</v>
      </c>
      <c r="C44" s="1646">
        <v>46667</v>
      </c>
      <c r="D44" s="1647" t="s">
        <v>1590</v>
      </c>
      <c r="E44" s="1647" t="s">
        <v>1536</v>
      </c>
      <c r="F44" s="1647">
        <v>4.5999999999999996</v>
      </c>
      <c r="G44" s="1647">
        <v>4.5999999999999996</v>
      </c>
      <c r="H44" s="1647">
        <v>902</v>
      </c>
      <c r="I44" s="1648">
        <v>148.19999999999999</v>
      </c>
      <c r="J44" s="1649">
        <v>746483.4</v>
      </c>
      <c r="K44" s="1650">
        <v>186620.85</v>
      </c>
      <c r="L44">
        <f t="shared" si="0"/>
        <v>3.45</v>
      </c>
      <c r="M44">
        <f t="shared" si="1"/>
        <v>511.29</v>
      </c>
    </row>
    <row r="45" spans="1:13">
      <c r="A45" s="1644">
        <v>2024</v>
      </c>
      <c r="B45" s="1645">
        <v>45580</v>
      </c>
      <c r="C45" s="1646">
        <v>46674</v>
      </c>
      <c r="D45" s="1647" t="s">
        <v>1591</v>
      </c>
      <c r="E45" s="1647" t="s">
        <v>1542</v>
      </c>
      <c r="F45" s="1647">
        <v>4.5999999999999996</v>
      </c>
      <c r="G45" s="1647">
        <v>4.5999999999999996</v>
      </c>
      <c r="H45" s="1647">
        <v>914</v>
      </c>
      <c r="I45" s="1648">
        <v>149.87</v>
      </c>
      <c r="J45" s="1649">
        <v>638167.42000000004</v>
      </c>
      <c r="K45" s="1650">
        <v>212722.47</v>
      </c>
      <c r="L45">
        <f t="shared" si="0"/>
        <v>3.8887121349918798</v>
      </c>
      <c r="M45">
        <f t="shared" si="1"/>
        <v>582.80128767123301</v>
      </c>
    </row>
    <row r="46" spans="1:13">
      <c r="A46" s="1644">
        <v>2024</v>
      </c>
      <c r="B46" s="1645">
        <v>45574</v>
      </c>
      <c r="C46" s="1646">
        <v>46791</v>
      </c>
      <c r="D46" s="1647" t="s">
        <v>1592</v>
      </c>
      <c r="E46" s="1647" t="s">
        <v>1536</v>
      </c>
      <c r="F46" s="1647">
        <v>4.5</v>
      </c>
      <c r="G46" s="1647">
        <v>4.5</v>
      </c>
      <c r="H46" s="1647">
        <v>813</v>
      </c>
      <c r="I46" s="1648">
        <v>112.4</v>
      </c>
      <c r="J46" s="1649">
        <v>615390.12</v>
      </c>
      <c r="K46" s="1650">
        <v>205130.04</v>
      </c>
      <c r="L46">
        <f t="shared" si="0"/>
        <v>5.0000009749914698</v>
      </c>
      <c r="M46">
        <f t="shared" si="1"/>
        <v>562.00010958904102</v>
      </c>
    </row>
    <row r="47" spans="1:13">
      <c r="A47" s="1644">
        <v>2025</v>
      </c>
      <c r="B47" s="1645">
        <v>45698</v>
      </c>
      <c r="C47" s="1646">
        <v>46062</v>
      </c>
      <c r="D47" s="1647" t="s">
        <v>1593</v>
      </c>
      <c r="E47" s="1647" t="s">
        <v>1536</v>
      </c>
      <c r="F47" s="1647">
        <v>4</v>
      </c>
      <c r="G47" s="1647">
        <v>4</v>
      </c>
      <c r="H47" s="1647">
        <v>527</v>
      </c>
      <c r="I47" s="1648">
        <v>74.099999999999994</v>
      </c>
      <c r="J47" s="1649">
        <v>100072.08</v>
      </c>
      <c r="K47" s="1650">
        <v>100072.08</v>
      </c>
      <c r="L47">
        <f t="shared" si="0"/>
        <v>3.7000011092008198</v>
      </c>
      <c r="M47">
        <f t="shared" si="1"/>
        <v>274.17008219178098</v>
      </c>
    </row>
    <row r="48" spans="1:13">
      <c r="A48" s="1644">
        <v>2024</v>
      </c>
      <c r="B48" s="1645">
        <v>45566</v>
      </c>
      <c r="C48" s="1646">
        <v>46311</v>
      </c>
      <c r="D48" s="1647" t="s">
        <v>1594</v>
      </c>
      <c r="E48" s="1647" t="s">
        <v>1542</v>
      </c>
      <c r="F48" s="1647">
        <v>5.3</v>
      </c>
      <c r="G48" s="1647">
        <v>5.3</v>
      </c>
      <c r="H48" s="1647" t="s">
        <v>1595</v>
      </c>
      <c r="I48" s="1648">
        <v>259.35000000000002</v>
      </c>
      <c r="J48" s="1649">
        <v>1003425.36</v>
      </c>
      <c r="K48" s="1650">
        <v>501712.68</v>
      </c>
      <c r="L48">
        <f t="shared" si="0"/>
        <v>5.3000011092008199</v>
      </c>
      <c r="M48">
        <f t="shared" si="1"/>
        <v>1374.55528767123</v>
      </c>
    </row>
    <row r="49" spans="1:13">
      <c r="A49" s="1644">
        <v>2024</v>
      </c>
      <c r="B49" s="1645">
        <v>45588</v>
      </c>
      <c r="C49" s="1646">
        <v>46682</v>
      </c>
      <c r="D49" s="1647" t="s">
        <v>1596</v>
      </c>
      <c r="E49" s="1647" t="s">
        <v>1542</v>
      </c>
      <c r="F49" s="1647">
        <v>4.5</v>
      </c>
      <c r="G49" s="1647">
        <v>4.5</v>
      </c>
      <c r="H49" s="1647">
        <v>531</v>
      </c>
      <c r="I49" s="1648">
        <v>79.290000000000006</v>
      </c>
      <c r="J49" s="1649">
        <v>390701.52</v>
      </c>
      <c r="K49" s="1650">
        <v>130233.84</v>
      </c>
      <c r="L49">
        <f t="shared" si="0"/>
        <v>4.5000005182985303</v>
      </c>
      <c r="M49">
        <f t="shared" si="1"/>
        <v>356.80504109588998</v>
      </c>
    </row>
    <row r="50" spans="1:13">
      <c r="A50" s="1644">
        <v>2024</v>
      </c>
      <c r="B50" s="1645">
        <v>45612</v>
      </c>
      <c r="C50" s="1646">
        <v>45976</v>
      </c>
      <c r="D50" s="1647" t="s">
        <v>1597</v>
      </c>
      <c r="E50" s="1647" t="s">
        <v>1542</v>
      </c>
      <c r="F50" s="1647">
        <v>5.3</v>
      </c>
      <c r="G50" s="1647">
        <v>5.3</v>
      </c>
      <c r="H50" s="1647">
        <v>610</v>
      </c>
      <c r="I50" s="1648">
        <v>74.099999999999994</v>
      </c>
      <c r="J50" s="1649">
        <v>143346.48000000001</v>
      </c>
      <c r="K50" s="1650">
        <v>143346.48000000001</v>
      </c>
      <c r="L50">
        <f t="shared" si="0"/>
        <v>5.3000011092008199</v>
      </c>
      <c r="M50">
        <f t="shared" si="1"/>
        <v>392.73008219178098</v>
      </c>
    </row>
    <row r="51" spans="1:13" ht="27">
      <c r="A51" s="1644">
        <v>2024</v>
      </c>
      <c r="B51" s="1645">
        <v>45611</v>
      </c>
      <c r="C51" s="1646">
        <v>46705</v>
      </c>
      <c r="D51" s="1647" t="s">
        <v>1598</v>
      </c>
      <c r="E51" s="1647" t="s">
        <v>1542</v>
      </c>
      <c r="F51" s="1647">
        <v>5</v>
      </c>
      <c r="G51" s="1647">
        <v>5</v>
      </c>
      <c r="H51" s="1647" t="s">
        <v>1599</v>
      </c>
      <c r="I51" s="1648">
        <v>222.3</v>
      </c>
      <c r="J51" s="1649">
        <v>1217092.68</v>
      </c>
      <c r="K51" s="1650"/>
      <c r="L51">
        <f>J51/I51/365/3</f>
        <v>5.0000007394672101</v>
      </c>
      <c r="M51">
        <f t="shared" si="1"/>
        <v>1111.5001643835601</v>
      </c>
    </row>
    <row r="52" spans="1:13">
      <c r="A52" s="1644">
        <v>2024</v>
      </c>
      <c r="B52" s="1645">
        <v>45666</v>
      </c>
      <c r="C52" s="1646">
        <v>46030</v>
      </c>
      <c r="D52" s="1647" t="s">
        <v>1600</v>
      </c>
      <c r="E52" s="1647" t="s">
        <v>1536</v>
      </c>
      <c r="F52" s="1647">
        <v>4</v>
      </c>
      <c r="G52" s="1647">
        <v>4</v>
      </c>
      <c r="H52" s="1647">
        <v>1406</v>
      </c>
      <c r="I52" s="1648">
        <v>148.19999999999999</v>
      </c>
      <c r="J52" s="1649">
        <v>216372</v>
      </c>
      <c r="K52" s="1650">
        <v>216372</v>
      </c>
      <c r="L52">
        <f t="shared" si="0"/>
        <v>4</v>
      </c>
      <c r="M52">
        <f t="shared" si="1"/>
        <v>592.79999999999995</v>
      </c>
    </row>
    <row r="53" spans="1:13">
      <c r="A53" s="1644">
        <v>2024</v>
      </c>
      <c r="B53" s="1645">
        <v>45614</v>
      </c>
      <c r="C53" s="1646">
        <v>46708</v>
      </c>
      <c r="D53" s="1647" t="s">
        <v>1601</v>
      </c>
      <c r="E53" s="1647" t="s">
        <v>1542</v>
      </c>
      <c r="F53" s="1647">
        <v>4.2</v>
      </c>
      <c r="G53" s="1647">
        <v>4.2</v>
      </c>
      <c r="H53" s="1647">
        <v>526</v>
      </c>
      <c r="I53" s="1648">
        <v>74.099999999999994</v>
      </c>
      <c r="J53" s="1649">
        <v>340786.08</v>
      </c>
      <c r="K53" s="1650">
        <v>113595.36</v>
      </c>
      <c r="L53">
        <f t="shared" si="0"/>
        <v>4.2000022184016403</v>
      </c>
      <c r="M53">
        <f t="shared" si="1"/>
        <v>311.22016438356201</v>
      </c>
    </row>
    <row r="54" spans="1:13">
      <c r="A54" s="1644">
        <v>2024</v>
      </c>
      <c r="B54" s="1645">
        <v>45600</v>
      </c>
      <c r="C54" s="1646">
        <v>46694</v>
      </c>
      <c r="D54" s="1647" t="s">
        <v>1602</v>
      </c>
      <c r="E54" s="1647" t="s">
        <v>1542</v>
      </c>
      <c r="F54" s="1647">
        <v>4</v>
      </c>
      <c r="G54" s="1647">
        <v>4</v>
      </c>
      <c r="H54" s="1647">
        <v>1410</v>
      </c>
      <c r="I54" s="1648">
        <v>148.19999999999999</v>
      </c>
      <c r="J54" s="1649">
        <v>649116</v>
      </c>
      <c r="K54" s="1650">
        <v>216372</v>
      </c>
      <c r="L54">
        <f t="shared" si="0"/>
        <v>4</v>
      </c>
      <c r="M54">
        <f t="shared" si="1"/>
        <v>592.79999999999995</v>
      </c>
    </row>
    <row r="55" spans="1:13">
      <c r="A55" s="1644">
        <v>2024</v>
      </c>
      <c r="B55" s="1645">
        <v>45612</v>
      </c>
      <c r="C55" s="1646">
        <v>47437</v>
      </c>
      <c r="D55" s="1647" t="s">
        <v>1603</v>
      </c>
      <c r="E55" s="1647" t="s">
        <v>1542</v>
      </c>
      <c r="F55" s="1647">
        <v>4</v>
      </c>
      <c r="G55" s="1647">
        <v>4</v>
      </c>
      <c r="H55" s="1647" t="s">
        <v>1604</v>
      </c>
      <c r="I55" s="1648">
        <v>758.56</v>
      </c>
      <c r="J55" s="1649">
        <v>5537487.5999999996</v>
      </c>
      <c r="K55" s="1650">
        <v>1107497.52</v>
      </c>
      <c r="L55">
        <f t="shared" si="0"/>
        <v>3.9999997110603198</v>
      </c>
      <c r="M55">
        <f t="shared" si="1"/>
        <v>3034.2397808219198</v>
      </c>
    </row>
    <row r="56" spans="1:13">
      <c r="A56" s="1644">
        <v>2024</v>
      </c>
      <c r="B56" s="1645">
        <v>45639</v>
      </c>
      <c r="C56" s="1646">
        <v>46034</v>
      </c>
      <c r="D56" s="1647" t="s">
        <v>1605</v>
      </c>
      <c r="E56" s="1647" t="s">
        <v>1536</v>
      </c>
      <c r="F56" s="1647">
        <v>5.3</v>
      </c>
      <c r="G56" s="1647">
        <v>5.3</v>
      </c>
      <c r="H56" s="1647">
        <v>632</v>
      </c>
      <c r="I56" s="1648">
        <v>79.290000000000006</v>
      </c>
      <c r="J56" s="1649">
        <v>143386.51999999999</v>
      </c>
      <c r="K56" s="1650">
        <v>128386.52</v>
      </c>
      <c r="L56">
        <f t="shared" si="0"/>
        <v>4.4361696356534104</v>
      </c>
      <c r="M56">
        <f t="shared" si="1"/>
        <v>351.74389041095901</v>
      </c>
    </row>
    <row r="57" spans="1:13">
      <c r="A57" s="1644">
        <v>2024</v>
      </c>
      <c r="B57" s="1645">
        <v>45666</v>
      </c>
      <c r="C57" s="1646">
        <v>46760</v>
      </c>
      <c r="D57" s="1647" t="s">
        <v>1606</v>
      </c>
      <c r="E57" s="1647" t="s">
        <v>1536</v>
      </c>
      <c r="F57" s="1647">
        <v>4.53</v>
      </c>
      <c r="G57" s="1647">
        <v>4.53</v>
      </c>
      <c r="H57" s="1647">
        <v>625</v>
      </c>
      <c r="I57" s="1648">
        <v>74.099999999999994</v>
      </c>
      <c r="J57" s="1649">
        <v>367561.8</v>
      </c>
      <c r="K57" s="1650">
        <v>122520.6</v>
      </c>
      <c r="L57">
        <f t="shared" si="0"/>
        <v>4.5299983361987701</v>
      </c>
      <c r="M57">
        <f t="shared" si="1"/>
        <v>335.67287671232901</v>
      </c>
    </row>
    <row r="58" spans="1:13">
      <c r="A58" s="1644">
        <v>2024</v>
      </c>
      <c r="B58" s="1645">
        <v>45665</v>
      </c>
      <c r="C58" s="1646">
        <v>46759</v>
      </c>
      <c r="D58" s="1647" t="s">
        <v>1607</v>
      </c>
      <c r="E58" s="1647" t="s">
        <v>1536</v>
      </c>
      <c r="F58" s="1647">
        <v>4.53</v>
      </c>
      <c r="G58" s="1647">
        <v>4.53</v>
      </c>
      <c r="H58" s="1647">
        <v>1002</v>
      </c>
      <c r="I58" s="1648">
        <v>148.19999999999999</v>
      </c>
      <c r="J58" s="1649">
        <v>735123.96</v>
      </c>
      <c r="K58" s="1650">
        <v>245041.32</v>
      </c>
      <c r="L58">
        <f t="shared" si="0"/>
        <v>4.5300005546004103</v>
      </c>
      <c r="M58">
        <f t="shared" si="1"/>
        <v>671.34608219178097</v>
      </c>
    </row>
    <row r="59" spans="1:13">
      <c r="A59" s="1644">
        <v>2024</v>
      </c>
      <c r="B59" s="1645">
        <v>45652</v>
      </c>
      <c r="C59" s="1646">
        <v>46016</v>
      </c>
      <c r="D59" s="1647" t="s">
        <v>1608</v>
      </c>
      <c r="E59" s="1647" t="s">
        <v>1536</v>
      </c>
      <c r="F59" s="1647">
        <v>4.95</v>
      </c>
      <c r="G59" s="1647">
        <v>4.95</v>
      </c>
      <c r="H59" s="1647">
        <v>621</v>
      </c>
      <c r="I59" s="1648">
        <v>74.099999999999994</v>
      </c>
      <c r="J59" s="1649">
        <v>133880.16</v>
      </c>
      <c r="K59" s="1650">
        <v>133880.16</v>
      </c>
      <c r="L59">
        <f t="shared" si="0"/>
        <v>4.9499994453995901</v>
      </c>
      <c r="M59">
        <f t="shared" si="1"/>
        <v>366.79495890410999</v>
      </c>
    </row>
    <row r="60" spans="1:13">
      <c r="A60" s="1644">
        <v>2024</v>
      </c>
      <c r="B60" s="1645">
        <v>45671</v>
      </c>
      <c r="C60" s="1646">
        <v>46765</v>
      </c>
      <c r="D60" s="1647" t="s">
        <v>1609</v>
      </c>
      <c r="E60" s="1647" t="s">
        <v>1536</v>
      </c>
      <c r="F60" s="1647">
        <v>4.08</v>
      </c>
      <c r="G60" s="1647">
        <v>4.08</v>
      </c>
      <c r="H60" s="1647">
        <v>916</v>
      </c>
      <c r="I60" s="1648">
        <v>214.18</v>
      </c>
      <c r="J60" s="1649">
        <v>956870.28</v>
      </c>
      <c r="K60" s="1650">
        <v>318956.76</v>
      </c>
      <c r="L60">
        <f t="shared" si="0"/>
        <v>4.0799987719969204</v>
      </c>
      <c r="M60">
        <f t="shared" si="1"/>
        <v>873.854136986301</v>
      </c>
    </row>
    <row r="61" spans="1:13">
      <c r="A61" s="1644">
        <v>2024</v>
      </c>
      <c r="B61" s="1645">
        <v>45651</v>
      </c>
      <c r="C61" s="1646">
        <v>46745</v>
      </c>
      <c r="D61" s="1647" t="s">
        <v>1610</v>
      </c>
      <c r="E61" s="1647" t="s">
        <v>1542</v>
      </c>
      <c r="F61" s="1647">
        <v>4.08</v>
      </c>
      <c r="G61" s="1647">
        <v>4.08</v>
      </c>
      <c r="H61" s="1647">
        <v>528</v>
      </c>
      <c r="I61" s="1648">
        <v>74.099999999999994</v>
      </c>
      <c r="J61" s="1649">
        <v>331049.15999999997</v>
      </c>
      <c r="K61" s="1650">
        <v>110349.72</v>
      </c>
      <c r="L61">
        <f t="shared" si="0"/>
        <v>4.08</v>
      </c>
      <c r="M61">
        <f t="shared" si="1"/>
        <v>302.32799999999997</v>
      </c>
    </row>
    <row r="62" spans="1:13">
      <c r="A62" s="1644">
        <v>2024</v>
      </c>
      <c r="B62" s="1645">
        <v>45616</v>
      </c>
      <c r="C62" s="1646">
        <v>45980</v>
      </c>
      <c r="D62" s="1647" t="s">
        <v>1611</v>
      </c>
      <c r="E62" s="1647" t="s">
        <v>1542</v>
      </c>
      <c r="F62" s="1647">
        <v>4.7699999999999996</v>
      </c>
      <c r="G62" s="1647">
        <v>4.7699999999999996</v>
      </c>
      <c r="H62" s="1647">
        <v>608</v>
      </c>
      <c r="I62" s="1648">
        <v>74.099999999999994</v>
      </c>
      <c r="J62" s="1649">
        <v>129011.76</v>
      </c>
      <c r="K62" s="1650"/>
      <c r="L62">
        <f>J62/I62/365</f>
        <v>4.7699983361987703</v>
      </c>
      <c r="M62">
        <f t="shared" si="1"/>
        <v>353.45687671232901</v>
      </c>
    </row>
    <row r="63" spans="1:13">
      <c r="A63" s="1644">
        <v>2024</v>
      </c>
      <c r="B63" s="1645">
        <v>45618</v>
      </c>
      <c r="C63" s="1646">
        <v>45982</v>
      </c>
      <c r="D63" s="1647" t="s">
        <v>1612</v>
      </c>
      <c r="E63" s="1647" t="s">
        <v>1542</v>
      </c>
      <c r="F63" s="1647">
        <v>4.5999999999999996</v>
      </c>
      <c r="G63" s="1647">
        <v>4.5999999999999996</v>
      </c>
      <c r="H63" s="1647">
        <v>1110</v>
      </c>
      <c r="I63" s="1648">
        <v>148.19999999999999</v>
      </c>
      <c r="J63" s="1649">
        <v>248827.8</v>
      </c>
      <c r="K63" s="1650">
        <v>248827.8</v>
      </c>
      <c r="L63">
        <f t="shared" si="0"/>
        <v>4.5999999999999996</v>
      </c>
      <c r="M63">
        <f t="shared" si="1"/>
        <v>681.72</v>
      </c>
    </row>
    <row r="64" spans="1:13">
      <c r="A64" s="1644">
        <v>2024</v>
      </c>
      <c r="B64" s="1645">
        <v>45641</v>
      </c>
      <c r="C64" s="1646">
        <v>46735</v>
      </c>
      <c r="D64" s="1647" t="s">
        <v>1613</v>
      </c>
      <c r="E64" s="1647" t="s">
        <v>1542</v>
      </c>
      <c r="F64" s="1647">
        <v>4.22</v>
      </c>
      <c r="G64" s="1647">
        <v>4.22</v>
      </c>
      <c r="H64" s="1647">
        <v>618</v>
      </c>
      <c r="I64" s="1648">
        <v>74.099999999999994</v>
      </c>
      <c r="J64" s="1649">
        <v>342408.6</v>
      </c>
      <c r="K64" s="1650">
        <v>114136.2</v>
      </c>
      <c r="L64">
        <f t="shared" si="0"/>
        <v>4.2199988907991797</v>
      </c>
      <c r="M64">
        <f t="shared" si="1"/>
        <v>312.70191780821898</v>
      </c>
    </row>
    <row r="65" spans="1:13">
      <c r="A65" s="1644">
        <v>2024</v>
      </c>
      <c r="B65" s="1645">
        <v>45658</v>
      </c>
      <c r="C65" s="1646">
        <v>46022</v>
      </c>
      <c r="D65" s="1647" t="s">
        <v>1614</v>
      </c>
      <c r="E65" s="1647" t="s">
        <v>1536</v>
      </c>
      <c r="F65" s="1647">
        <v>4.5</v>
      </c>
      <c r="G65" s="1647">
        <v>4.5</v>
      </c>
      <c r="H65" s="1647" t="s">
        <v>1615</v>
      </c>
      <c r="I65" s="1648">
        <v>223.55</v>
      </c>
      <c r="J65" s="1649">
        <v>299772.65999999997</v>
      </c>
      <c r="K65" s="1650">
        <v>299772.65999999997</v>
      </c>
      <c r="L65">
        <f t="shared" si="0"/>
        <v>3.6738759065269901</v>
      </c>
      <c r="M65">
        <f t="shared" si="1"/>
        <v>821.29495890410999</v>
      </c>
    </row>
    <row r="66" spans="1:13">
      <c r="A66" s="1644">
        <v>2024</v>
      </c>
      <c r="B66" s="1645">
        <v>45639</v>
      </c>
      <c r="C66" s="1646">
        <v>47464</v>
      </c>
      <c r="D66" s="1647" t="s">
        <v>1616</v>
      </c>
      <c r="E66" s="1647" t="s">
        <v>1542</v>
      </c>
      <c r="F66" s="1647">
        <v>4.25</v>
      </c>
      <c r="G66" s="1647">
        <v>4.25</v>
      </c>
      <c r="H66" s="1647">
        <v>901</v>
      </c>
      <c r="I66" s="1648">
        <v>285.51</v>
      </c>
      <c r="J66" s="1649">
        <v>2214487.2000000002</v>
      </c>
      <c r="K66" s="1650">
        <v>442897.44</v>
      </c>
      <c r="L66">
        <f t="shared" si="0"/>
        <v>4.2500005037848601</v>
      </c>
      <c r="M66">
        <f t="shared" si="1"/>
        <v>1213.4176438356201</v>
      </c>
    </row>
    <row r="67" spans="1:13">
      <c r="A67" s="1644">
        <v>2025</v>
      </c>
      <c r="B67" s="1645">
        <v>45684</v>
      </c>
      <c r="C67" s="1646">
        <v>46778</v>
      </c>
      <c r="D67" s="1647" t="s">
        <v>1617</v>
      </c>
      <c r="E67" s="1647" t="s">
        <v>1536</v>
      </c>
      <c r="F67" s="1647">
        <v>5.46</v>
      </c>
      <c r="G67" s="1647">
        <v>5.46</v>
      </c>
      <c r="H67" s="1647">
        <v>604</v>
      </c>
      <c r="I67" s="1648">
        <v>74.099999999999994</v>
      </c>
      <c r="J67" s="1649">
        <v>421925.4</v>
      </c>
      <c r="K67" s="1650">
        <v>140641.79999999999</v>
      </c>
      <c r="L67">
        <f t="shared" ref="L67:L99" si="2">K67/I67/365</f>
        <v>5.2</v>
      </c>
      <c r="M67">
        <f t="shared" ref="M67:M115" si="3">L67*I67</f>
        <v>385.32</v>
      </c>
    </row>
    <row r="68" spans="1:13">
      <c r="A68" s="1644">
        <v>2024</v>
      </c>
      <c r="B68" s="1645">
        <v>45718</v>
      </c>
      <c r="C68" s="1646">
        <v>46813</v>
      </c>
      <c r="D68" s="1647" t="s">
        <v>1618</v>
      </c>
      <c r="E68" s="1647" t="s">
        <v>1536</v>
      </c>
      <c r="F68" s="1647">
        <v>5.2</v>
      </c>
      <c r="G68" s="1647">
        <v>5.2</v>
      </c>
      <c r="H68" s="1647">
        <v>523</v>
      </c>
      <c r="I68" s="1648">
        <v>74.099999999999994</v>
      </c>
      <c r="J68" s="1649">
        <v>248827.92</v>
      </c>
      <c r="K68" s="1650">
        <v>124413.96</v>
      </c>
      <c r="L68">
        <f t="shared" si="2"/>
        <v>4.6000022184016398</v>
      </c>
      <c r="M68">
        <f t="shared" si="3"/>
        <v>340.86016438356199</v>
      </c>
    </row>
    <row r="69" spans="1:13" hidden="1">
      <c r="A69" s="1644">
        <v>2024</v>
      </c>
      <c r="B69" s="1645">
        <v>45658</v>
      </c>
      <c r="C69" s="1646">
        <v>46752</v>
      </c>
      <c r="D69" s="1647" t="s">
        <v>1619</v>
      </c>
      <c r="E69" s="1647" t="s">
        <v>1542</v>
      </c>
      <c r="F69" s="1647">
        <v>4.08</v>
      </c>
      <c r="G69" s="1647">
        <v>4.08</v>
      </c>
      <c r="H69" s="1647">
        <v>106</v>
      </c>
      <c r="I69" s="1648">
        <v>67</v>
      </c>
      <c r="J69" s="1649">
        <v>300000</v>
      </c>
      <c r="K69" s="1650">
        <v>100000</v>
      </c>
      <c r="L69">
        <f t="shared" si="2"/>
        <v>4.08914332447352</v>
      </c>
      <c r="M69">
        <f t="shared" si="3"/>
        <v>273.97260273972603</v>
      </c>
    </row>
    <row r="70" spans="1:13">
      <c r="A70" s="1644">
        <v>2025</v>
      </c>
      <c r="B70" s="1645">
        <v>45741</v>
      </c>
      <c r="C70" s="1646">
        <v>46836</v>
      </c>
      <c r="D70" s="1647" t="s">
        <v>1620</v>
      </c>
      <c r="E70" s="1647" t="s">
        <v>1536</v>
      </c>
      <c r="F70" s="1647">
        <v>5</v>
      </c>
      <c r="G70" s="1647">
        <v>5</v>
      </c>
      <c r="H70" s="1647" t="s">
        <v>1621</v>
      </c>
      <c r="I70" s="1648">
        <v>649.55999999999995</v>
      </c>
      <c r="J70" s="1649">
        <v>1185447</v>
      </c>
      <c r="K70" s="1650">
        <v>1185447</v>
      </c>
      <c r="L70">
        <f t="shared" si="2"/>
        <v>5</v>
      </c>
      <c r="M70">
        <f t="shared" si="3"/>
        <v>3247.8</v>
      </c>
    </row>
    <row r="71" spans="1:13" ht="27">
      <c r="A71" s="1644">
        <v>2025</v>
      </c>
      <c r="B71" s="1645">
        <v>45754</v>
      </c>
      <c r="C71" s="1646">
        <v>46118</v>
      </c>
      <c r="D71" s="1647" t="s">
        <v>1622</v>
      </c>
      <c r="E71" s="1647" t="s">
        <v>1536</v>
      </c>
      <c r="F71" s="1647">
        <v>5</v>
      </c>
      <c r="G71" s="1647">
        <v>5</v>
      </c>
      <c r="H71" s="1647" t="s">
        <v>1623</v>
      </c>
      <c r="I71" s="1648">
        <v>418.35</v>
      </c>
      <c r="J71" s="1649">
        <v>763488.84</v>
      </c>
      <c r="K71" s="1650">
        <v>763488.84</v>
      </c>
      <c r="L71">
        <f t="shared" si="2"/>
        <v>5.00000058939965</v>
      </c>
      <c r="M71">
        <f t="shared" si="3"/>
        <v>2091.75024657534</v>
      </c>
    </row>
    <row r="72" spans="1:13">
      <c r="A72" s="1644">
        <v>2025</v>
      </c>
      <c r="B72" s="1645">
        <v>45699</v>
      </c>
      <c r="C72" s="1646">
        <v>46152</v>
      </c>
      <c r="D72" s="1647" t="s">
        <v>1624</v>
      </c>
      <c r="E72" s="1647" t="s">
        <v>1536</v>
      </c>
      <c r="F72" s="1647">
        <v>4.5999999999999996</v>
      </c>
      <c r="G72" s="1647">
        <v>4.5999999999999996</v>
      </c>
      <c r="H72" s="1647" t="s">
        <v>1625</v>
      </c>
      <c r="I72" s="1648">
        <v>477.21</v>
      </c>
      <c r="J72" s="1649">
        <v>1001544.6</v>
      </c>
      <c r="K72" s="1650">
        <v>801235.68</v>
      </c>
      <c r="L72">
        <f t="shared" si="2"/>
        <v>4.60000051670196</v>
      </c>
      <c r="M72">
        <f t="shared" si="3"/>
        <v>2195.1662465753402</v>
      </c>
    </row>
    <row r="73" spans="1:13">
      <c r="A73" s="1644">
        <v>2025</v>
      </c>
      <c r="B73" s="1645">
        <v>45701</v>
      </c>
      <c r="C73" s="1646">
        <v>46795</v>
      </c>
      <c r="D73" s="1647" t="s">
        <v>1626</v>
      </c>
      <c r="E73" s="1647" t="s">
        <v>1542</v>
      </c>
      <c r="F73" s="1647">
        <v>4.5</v>
      </c>
      <c r="G73" s="1647">
        <v>4.5</v>
      </c>
      <c r="H73" s="1647">
        <v>521</v>
      </c>
      <c r="I73" s="1648">
        <v>74.099999999999994</v>
      </c>
      <c r="J73" s="1649">
        <v>365127.84</v>
      </c>
      <c r="K73" s="1650">
        <v>121709.28</v>
      </c>
      <c r="L73">
        <f t="shared" si="2"/>
        <v>4.5000011092008201</v>
      </c>
      <c r="M73">
        <f t="shared" si="3"/>
        <v>333.45008219178101</v>
      </c>
    </row>
    <row r="74" spans="1:13">
      <c r="A74" s="1644">
        <v>2025</v>
      </c>
      <c r="B74" s="1645">
        <v>45719</v>
      </c>
      <c r="C74" s="1646">
        <v>46463</v>
      </c>
      <c r="D74" s="1647" t="s">
        <v>1627</v>
      </c>
      <c r="E74" s="1647" t="s">
        <v>1542</v>
      </c>
      <c r="F74" s="1647">
        <v>4</v>
      </c>
      <c r="G74" s="1647">
        <v>4</v>
      </c>
      <c r="H74" s="1647">
        <v>624</v>
      </c>
      <c r="I74" s="1648">
        <v>74.099999999999994</v>
      </c>
      <c r="J74" s="1649">
        <v>216372</v>
      </c>
      <c r="K74" s="1650">
        <v>108186</v>
      </c>
      <c r="L74">
        <f t="shared" si="2"/>
        <v>4</v>
      </c>
      <c r="M74">
        <f t="shared" si="3"/>
        <v>296.39999999999998</v>
      </c>
    </row>
    <row r="75" spans="1:13">
      <c r="A75" s="1644">
        <v>2025</v>
      </c>
      <c r="B75" s="1645">
        <v>45887</v>
      </c>
      <c r="C75" s="1646">
        <v>47712</v>
      </c>
      <c r="D75" s="1647" t="s">
        <v>1628</v>
      </c>
      <c r="E75" s="1647" t="s">
        <v>1542</v>
      </c>
      <c r="F75" s="1647">
        <v>4.3</v>
      </c>
      <c r="G75" s="1647">
        <v>4.3</v>
      </c>
      <c r="H75" s="1647" t="s">
        <v>1629</v>
      </c>
      <c r="I75" s="1648">
        <v>520.71</v>
      </c>
      <c r="J75" s="1649">
        <v>340522.65</v>
      </c>
      <c r="K75" s="1650">
        <v>817254.36</v>
      </c>
      <c r="L75">
        <f t="shared" si="2"/>
        <v>4.3000000789227997</v>
      </c>
      <c r="M75">
        <f t="shared" si="3"/>
        <v>2239.05304109589</v>
      </c>
    </row>
    <row r="76" spans="1:13" ht="27">
      <c r="A76" s="1644">
        <v>2025</v>
      </c>
      <c r="B76" s="1645">
        <v>45714</v>
      </c>
      <c r="C76" s="1646">
        <v>45986</v>
      </c>
      <c r="D76" s="1647" t="s">
        <v>1630</v>
      </c>
      <c r="E76" s="1647" t="s">
        <v>1536</v>
      </c>
      <c r="F76" s="1647">
        <v>5.6</v>
      </c>
      <c r="G76" s="1647">
        <v>5.6</v>
      </c>
      <c r="H76" s="1647">
        <v>612</v>
      </c>
      <c r="I76" s="1648">
        <v>74.099999999999994</v>
      </c>
      <c r="J76" s="1649">
        <v>56158.89</v>
      </c>
      <c r="K76" s="1650">
        <v>56158.89</v>
      </c>
      <c r="L76">
        <f t="shared" si="2"/>
        <v>2.0763828961233401</v>
      </c>
      <c r="M76">
        <f t="shared" si="3"/>
        <v>153.85997260273999</v>
      </c>
    </row>
    <row r="77" spans="1:13">
      <c r="A77" s="1644">
        <v>2025</v>
      </c>
      <c r="B77" s="1645">
        <v>45726</v>
      </c>
      <c r="C77" s="1646">
        <v>46090</v>
      </c>
      <c r="D77" s="1647" t="s">
        <v>1631</v>
      </c>
      <c r="E77" s="1647" t="s">
        <v>1542</v>
      </c>
      <c r="F77" s="1647">
        <v>4.8</v>
      </c>
      <c r="G77" s="1647">
        <v>4.8</v>
      </c>
      <c r="H77" s="1647">
        <v>609</v>
      </c>
      <c r="I77" s="1648">
        <v>74.099999999999994</v>
      </c>
      <c r="J77" s="1649">
        <v>129823.2</v>
      </c>
      <c r="K77" s="1650">
        <v>129823.2</v>
      </c>
      <c r="L77">
        <f t="shared" si="2"/>
        <v>4.8</v>
      </c>
      <c r="M77">
        <f t="shared" si="3"/>
        <v>355.68</v>
      </c>
    </row>
    <row r="78" spans="1:13" ht="27" hidden="1">
      <c r="A78" s="1644">
        <v>2025</v>
      </c>
      <c r="B78" s="1645">
        <v>45736</v>
      </c>
      <c r="C78" s="1646">
        <v>46831</v>
      </c>
      <c r="D78" s="1647" t="s">
        <v>1632</v>
      </c>
      <c r="E78" s="1647" t="s">
        <v>1549</v>
      </c>
      <c r="F78" s="1647">
        <v>2.5</v>
      </c>
      <c r="G78" s="1647">
        <v>2.5</v>
      </c>
      <c r="H78" s="1647" t="s">
        <v>1633</v>
      </c>
      <c r="I78" s="1648">
        <v>12</v>
      </c>
      <c r="J78" s="1649">
        <v>32850</v>
      </c>
      <c r="K78" s="1650">
        <v>10950</v>
      </c>
      <c r="L78">
        <f t="shared" si="2"/>
        <v>2.5</v>
      </c>
      <c r="M78">
        <f t="shared" si="3"/>
        <v>30</v>
      </c>
    </row>
    <row r="79" spans="1:13">
      <c r="A79" s="1644">
        <v>2025</v>
      </c>
      <c r="B79" s="1645">
        <v>45762</v>
      </c>
      <c r="C79" s="1646">
        <v>46491</v>
      </c>
      <c r="D79" s="1647" t="s">
        <v>1634</v>
      </c>
      <c r="E79" s="1647" t="s">
        <v>1542</v>
      </c>
      <c r="F79" s="1647">
        <v>4.8</v>
      </c>
      <c r="G79" s="1647">
        <v>4.8</v>
      </c>
      <c r="H79" s="1647" t="s">
        <v>1635</v>
      </c>
      <c r="I79" s="1648">
        <v>148.19999999999999</v>
      </c>
      <c r="J79" s="1649">
        <v>259646.4</v>
      </c>
      <c r="K79" s="1650">
        <v>259646.4</v>
      </c>
      <c r="L79">
        <f t="shared" si="2"/>
        <v>4.8</v>
      </c>
      <c r="M79">
        <f t="shared" si="3"/>
        <v>711.36</v>
      </c>
    </row>
    <row r="80" spans="1:13">
      <c r="A80" s="1644">
        <v>2025</v>
      </c>
      <c r="B80" s="1645">
        <v>45812</v>
      </c>
      <c r="C80" s="1646">
        <v>46907</v>
      </c>
      <c r="D80" s="1647" t="s">
        <v>1636</v>
      </c>
      <c r="E80" s="1647" t="s">
        <v>1536</v>
      </c>
      <c r="F80" s="1647">
        <v>4.8600000000000003</v>
      </c>
      <c r="G80" s="1647">
        <v>4.8600000000000003</v>
      </c>
      <c r="H80" s="1647">
        <v>810</v>
      </c>
      <c r="I80" s="1648">
        <v>149.87</v>
      </c>
      <c r="J80" s="1649">
        <v>722073.59999999998</v>
      </c>
      <c r="K80" s="1650">
        <v>265854.36</v>
      </c>
      <c r="L80">
        <f t="shared" si="2"/>
        <v>4.8599993967374502</v>
      </c>
      <c r="M80">
        <f t="shared" si="3"/>
        <v>728.36810958904096</v>
      </c>
    </row>
    <row r="81" spans="1:13">
      <c r="A81" s="1644">
        <v>2025</v>
      </c>
      <c r="B81" s="1645">
        <v>45798</v>
      </c>
      <c r="C81" s="1646">
        <v>46162</v>
      </c>
      <c r="D81" s="1647" t="s">
        <v>1637</v>
      </c>
      <c r="E81" s="1647" t="s">
        <v>1536</v>
      </c>
      <c r="F81" s="1647">
        <v>4.5999999999999996</v>
      </c>
      <c r="G81" s="1647">
        <v>4.5999999999999996</v>
      </c>
      <c r="H81" s="1647">
        <v>510</v>
      </c>
      <c r="I81" s="1648">
        <v>74.099999999999994</v>
      </c>
      <c r="J81" s="1649">
        <v>124413.96</v>
      </c>
      <c r="K81" s="1650"/>
      <c r="L81">
        <f>J81/I81/365</f>
        <v>4.6000022184016398</v>
      </c>
      <c r="M81">
        <f t="shared" si="3"/>
        <v>340.86016438356199</v>
      </c>
    </row>
    <row r="82" spans="1:13">
      <c r="A82" s="1644">
        <v>2025</v>
      </c>
      <c r="B82" s="1645">
        <v>45763</v>
      </c>
      <c r="C82" s="1646">
        <v>46858</v>
      </c>
      <c r="D82" s="1647" t="s">
        <v>1638</v>
      </c>
      <c r="E82" s="1647" t="s">
        <v>1536</v>
      </c>
      <c r="F82" s="1647">
        <v>4.5</v>
      </c>
      <c r="G82" s="1647">
        <v>4.5</v>
      </c>
      <c r="H82" s="1647" t="s">
        <v>1639</v>
      </c>
      <c r="I82" s="1648">
        <v>148.19999999999999</v>
      </c>
      <c r="J82" s="1649">
        <v>243418.56</v>
      </c>
      <c r="K82" s="1650">
        <v>243418.56</v>
      </c>
      <c r="L82">
        <f t="shared" si="2"/>
        <v>4.5000011092008201</v>
      </c>
      <c r="M82">
        <f t="shared" si="3"/>
        <v>666.90016438356201</v>
      </c>
    </row>
    <row r="83" spans="1:13" ht="27">
      <c r="A83" s="1644">
        <v>2025</v>
      </c>
      <c r="B83" s="1645">
        <v>45762</v>
      </c>
      <c r="C83" s="1646">
        <v>46577</v>
      </c>
      <c r="D83" s="1647" t="s">
        <v>1640</v>
      </c>
      <c r="E83" s="1647" t="s">
        <v>1542</v>
      </c>
      <c r="F83" s="1647">
        <v>3.95</v>
      </c>
      <c r="G83" s="1647">
        <v>3.95</v>
      </c>
      <c r="H83" s="1647">
        <v>1201</v>
      </c>
      <c r="I83" s="1648">
        <v>263.02999999999997</v>
      </c>
      <c r="J83" s="1649">
        <v>816456.11</v>
      </c>
      <c r="K83" s="1650">
        <v>408228.06</v>
      </c>
      <c r="L83">
        <f t="shared" si="2"/>
        <v>4.2521120826365504</v>
      </c>
      <c r="M83">
        <f t="shared" si="3"/>
        <v>1118.4330410958901</v>
      </c>
    </row>
    <row r="84" spans="1:13" ht="27" hidden="1">
      <c r="A84" s="1644">
        <v>2025</v>
      </c>
      <c r="B84" s="1645">
        <v>45809</v>
      </c>
      <c r="C84" s="1646">
        <v>46173</v>
      </c>
      <c r="D84" s="1647" t="s">
        <v>1641</v>
      </c>
      <c r="E84" s="1647" t="s">
        <v>1549</v>
      </c>
      <c r="F84" s="1647">
        <v>2.5</v>
      </c>
      <c r="G84" s="1647">
        <v>2.5</v>
      </c>
      <c r="H84" s="1647" t="s">
        <v>1642</v>
      </c>
      <c r="I84" s="1648">
        <v>12</v>
      </c>
      <c r="J84" s="1649">
        <v>10950</v>
      </c>
      <c r="K84" s="1650"/>
      <c r="L84">
        <f>J84/I84/365</f>
        <v>2.5</v>
      </c>
      <c r="M84">
        <f t="shared" si="3"/>
        <v>30</v>
      </c>
    </row>
    <row r="85" spans="1:13">
      <c r="A85" s="1644">
        <v>2025</v>
      </c>
      <c r="B85" s="1645">
        <v>45861</v>
      </c>
      <c r="C85" s="1646">
        <v>46317</v>
      </c>
      <c r="D85" s="1647" t="s">
        <v>1643</v>
      </c>
      <c r="E85" s="1647" t="s">
        <v>1536</v>
      </c>
      <c r="F85" s="1647">
        <v>4.5999999999999996</v>
      </c>
      <c r="G85" s="1647">
        <v>4.5999999999999996</v>
      </c>
      <c r="H85" s="1647">
        <v>811</v>
      </c>
      <c r="I85" s="1648">
        <v>112.4</v>
      </c>
      <c r="J85" s="1649">
        <v>283079.52</v>
      </c>
      <c r="K85" s="1650">
        <v>188719.68</v>
      </c>
      <c r="L85">
        <f t="shared" si="2"/>
        <v>4.6000019499829401</v>
      </c>
      <c r="M85">
        <f t="shared" si="3"/>
        <v>517.040219178082</v>
      </c>
    </row>
    <row r="86" spans="1:13">
      <c r="A86" s="1644">
        <v>2025</v>
      </c>
      <c r="B86" s="1645">
        <v>45818</v>
      </c>
      <c r="C86" s="1646">
        <v>46317</v>
      </c>
      <c r="D86" s="1647" t="s">
        <v>1644</v>
      </c>
      <c r="E86" s="1647" t="s">
        <v>1536</v>
      </c>
      <c r="F86" s="1647">
        <v>4.5999999999999996</v>
      </c>
      <c r="G86" s="1647">
        <v>4.5999999999999996</v>
      </c>
      <c r="H86" s="1647">
        <v>805</v>
      </c>
      <c r="I86" s="1648">
        <v>111.15</v>
      </c>
      <c r="J86" s="1649">
        <v>255474.61</v>
      </c>
      <c r="K86" s="1650">
        <v>186620.88</v>
      </c>
      <c r="L86">
        <f t="shared" si="2"/>
        <v>4.6000007394672098</v>
      </c>
      <c r="M86">
        <f t="shared" si="3"/>
        <v>511.29008219178098</v>
      </c>
    </row>
    <row r="87" spans="1:13">
      <c r="A87" s="1644">
        <v>2025</v>
      </c>
      <c r="B87" s="1645">
        <v>45856</v>
      </c>
      <c r="C87" s="1646">
        <v>46585</v>
      </c>
      <c r="D87" s="1647" t="s">
        <v>1645</v>
      </c>
      <c r="E87" s="1647" t="s">
        <v>1536</v>
      </c>
      <c r="F87" s="1647">
        <v>4.25</v>
      </c>
      <c r="G87" s="1647">
        <v>4.25</v>
      </c>
      <c r="H87" s="1647">
        <v>1010</v>
      </c>
      <c r="I87" s="1648">
        <v>148.19999999999999</v>
      </c>
      <c r="J87" s="1649">
        <v>460000</v>
      </c>
      <c r="K87" s="1650">
        <v>230000</v>
      </c>
      <c r="L87">
        <f t="shared" si="2"/>
        <v>4.2519364797663304</v>
      </c>
      <c r="M87">
        <f t="shared" si="3"/>
        <v>630.13698630137003</v>
      </c>
    </row>
    <row r="88" spans="1:13">
      <c r="A88" s="1644">
        <v>2025</v>
      </c>
      <c r="B88" s="1645">
        <v>45895</v>
      </c>
      <c r="C88" s="1646">
        <v>46259</v>
      </c>
      <c r="D88" s="1647" t="s">
        <v>1646</v>
      </c>
      <c r="E88" s="1647" t="s">
        <v>1536</v>
      </c>
      <c r="F88" s="1647">
        <v>4.3</v>
      </c>
      <c r="G88" s="1647">
        <v>4.3</v>
      </c>
      <c r="H88" s="1647">
        <v>507</v>
      </c>
      <c r="I88" s="1648">
        <v>74.099999999999994</v>
      </c>
      <c r="J88" s="1649">
        <v>112919.12</v>
      </c>
      <c r="K88" s="1650"/>
      <c r="L88">
        <f>J88/I88/365</f>
        <v>4.1749993529661902</v>
      </c>
      <c r="M88">
        <f t="shared" si="3"/>
        <v>309.367452054794</v>
      </c>
    </row>
    <row r="89" spans="1:13">
      <c r="A89" s="1644">
        <v>2025</v>
      </c>
      <c r="B89" s="1645">
        <v>45855</v>
      </c>
      <c r="C89" s="1646">
        <v>46219</v>
      </c>
      <c r="D89" s="1647" t="s">
        <v>1647</v>
      </c>
      <c r="E89" s="1647" t="s">
        <v>1536</v>
      </c>
      <c r="F89" s="1647">
        <v>4.8</v>
      </c>
      <c r="G89" s="1647">
        <v>4.8</v>
      </c>
      <c r="H89" s="1647">
        <v>801</v>
      </c>
      <c r="I89" s="1648">
        <v>285.51</v>
      </c>
      <c r="J89" s="1649">
        <v>500213.64</v>
      </c>
      <c r="K89" s="1650"/>
      <c r="L89">
        <f>J89/I89/365</f>
        <v>4.8000011515082601</v>
      </c>
      <c r="M89">
        <f t="shared" si="3"/>
        <v>1370.4483287671201</v>
      </c>
    </row>
    <row r="90" spans="1:13" ht="27">
      <c r="A90" s="1644">
        <v>2025</v>
      </c>
      <c r="B90" s="1645">
        <v>45848</v>
      </c>
      <c r="C90" s="1646">
        <v>46608</v>
      </c>
      <c r="D90" s="1647" t="s">
        <v>1648</v>
      </c>
      <c r="E90" s="1647" t="s">
        <v>1542</v>
      </c>
      <c r="F90" s="1647">
        <v>4</v>
      </c>
      <c r="G90" s="1647">
        <v>4</v>
      </c>
      <c r="H90" s="1647" t="s">
        <v>1649</v>
      </c>
      <c r="I90" s="1648">
        <v>222.3</v>
      </c>
      <c r="J90" s="1649">
        <v>627765.93000000005</v>
      </c>
      <c r="K90" s="1650">
        <v>313882.96000000002</v>
      </c>
      <c r="L90">
        <f t="shared" si="2"/>
        <v>3.8684359652203901</v>
      </c>
      <c r="M90">
        <f t="shared" si="3"/>
        <v>859.953315068493</v>
      </c>
    </row>
    <row r="91" spans="1:13" ht="27" hidden="1">
      <c r="A91" s="1644">
        <v>2025</v>
      </c>
      <c r="B91" s="1645">
        <v>45821</v>
      </c>
      <c r="C91" s="1646">
        <v>46185</v>
      </c>
      <c r="D91" s="1647" t="s">
        <v>1650</v>
      </c>
      <c r="E91" s="1647" t="s">
        <v>1549</v>
      </c>
      <c r="F91" s="1647">
        <v>2.5</v>
      </c>
      <c r="G91" s="1647">
        <v>2.5</v>
      </c>
      <c r="H91" s="1647" t="s">
        <v>1651</v>
      </c>
      <c r="I91" s="1648">
        <v>12</v>
      </c>
      <c r="J91" s="1649">
        <v>10950</v>
      </c>
      <c r="K91" s="1650">
        <v>10950</v>
      </c>
      <c r="L91">
        <f t="shared" si="2"/>
        <v>2.5</v>
      </c>
      <c r="M91">
        <f t="shared" si="3"/>
        <v>30</v>
      </c>
    </row>
    <row r="92" spans="1:13">
      <c r="A92" s="1644">
        <v>2025</v>
      </c>
      <c r="B92" s="1645">
        <v>45962</v>
      </c>
      <c r="C92" s="1646">
        <v>47057</v>
      </c>
      <c r="D92" s="1647" t="s">
        <v>1652</v>
      </c>
      <c r="E92" s="1647" t="s">
        <v>1536</v>
      </c>
      <c r="F92" s="1647">
        <v>4.5999999999999996</v>
      </c>
      <c r="G92" s="1647">
        <v>4.5999999999999996</v>
      </c>
      <c r="H92" s="1647">
        <v>607</v>
      </c>
      <c r="I92" s="1648">
        <v>74.099999999999994</v>
      </c>
      <c r="J92" s="1649">
        <v>373241.88</v>
      </c>
      <c r="K92" s="1650">
        <v>124413.96</v>
      </c>
      <c r="L92">
        <f t="shared" si="2"/>
        <v>4.6000022184016398</v>
      </c>
      <c r="M92">
        <f t="shared" si="3"/>
        <v>340.86016438356199</v>
      </c>
    </row>
    <row r="93" spans="1:13" ht="27">
      <c r="A93" s="1644">
        <v>2025</v>
      </c>
      <c r="B93" s="1645">
        <v>45880</v>
      </c>
      <c r="C93" s="1646">
        <v>46122</v>
      </c>
      <c r="D93" s="1647" t="s">
        <v>1653</v>
      </c>
      <c r="E93" s="1647" t="s">
        <v>1536</v>
      </c>
      <c r="F93" s="1647">
        <v>4</v>
      </c>
      <c r="G93" s="1647">
        <v>4</v>
      </c>
      <c r="H93" s="1647">
        <v>524</v>
      </c>
      <c r="I93" s="1648">
        <v>74.099999999999994</v>
      </c>
      <c r="J93" s="1649">
        <v>72025.2</v>
      </c>
      <c r="K93" s="1650"/>
      <c r="L93">
        <f>J93/I93/365</f>
        <v>2.6630136986301398</v>
      </c>
      <c r="M93">
        <f t="shared" si="3"/>
        <v>197.329315068493</v>
      </c>
    </row>
    <row r="94" spans="1:13">
      <c r="A94" s="1644">
        <v>2025</v>
      </c>
      <c r="B94" s="1645">
        <v>45894</v>
      </c>
      <c r="C94" s="1646">
        <v>46989</v>
      </c>
      <c r="D94" s="1647" t="s">
        <v>1652</v>
      </c>
      <c r="E94" s="1647" t="s">
        <v>1542</v>
      </c>
      <c r="F94" s="1647">
        <v>4.4000000000000004</v>
      </c>
      <c r="G94" s="1647">
        <v>4.4000000000000004</v>
      </c>
      <c r="H94" s="1647">
        <v>620</v>
      </c>
      <c r="I94" s="1648">
        <v>74.099999999999994</v>
      </c>
      <c r="J94" s="1649">
        <v>357013.8</v>
      </c>
      <c r="K94" s="1650"/>
      <c r="L94">
        <f>J94/I94/365/3</f>
        <v>4.4000000000000004</v>
      </c>
      <c r="M94">
        <f t="shared" si="3"/>
        <v>326.04000000000002</v>
      </c>
    </row>
    <row r="95" spans="1:13" ht="27">
      <c r="A95" s="1644">
        <v>2025</v>
      </c>
      <c r="B95" s="1645">
        <v>45879</v>
      </c>
      <c r="C95" s="1646">
        <v>46608</v>
      </c>
      <c r="D95" s="1647" t="s">
        <v>1654</v>
      </c>
      <c r="E95" s="1647" t="s">
        <v>1542</v>
      </c>
      <c r="F95" s="1647">
        <v>4.22</v>
      </c>
      <c r="G95" s="1647">
        <v>4.22</v>
      </c>
      <c r="H95" s="1647">
        <v>1001</v>
      </c>
      <c r="I95" s="1648">
        <v>263.02999999999997</v>
      </c>
      <c r="J95" s="1649">
        <v>607717.62</v>
      </c>
      <c r="K95" s="1650"/>
      <c r="L95">
        <f>J95/I95/365/2</f>
        <v>3.16499977345154</v>
      </c>
      <c r="M95">
        <f t="shared" si="3"/>
        <v>832.48989041095899</v>
      </c>
    </row>
    <row r="96" spans="1:13">
      <c r="A96" s="1644">
        <v>2025</v>
      </c>
      <c r="B96" s="1645">
        <v>45901</v>
      </c>
      <c r="C96" s="1646">
        <v>46996</v>
      </c>
      <c r="D96" s="1647" t="s">
        <v>1655</v>
      </c>
      <c r="E96" s="1647" t="s">
        <v>1542</v>
      </c>
      <c r="F96" s="1647">
        <v>4.3</v>
      </c>
      <c r="G96" s="1647">
        <v>4.3</v>
      </c>
      <c r="H96" s="1647">
        <v>509</v>
      </c>
      <c r="I96" s="1648">
        <v>74.099999999999994</v>
      </c>
      <c r="J96" s="1649">
        <v>348899.76</v>
      </c>
      <c r="K96" s="1650">
        <v>116299.92</v>
      </c>
      <c r="L96">
        <f t="shared" si="2"/>
        <v>4.2999988907991797</v>
      </c>
      <c r="M96">
        <f t="shared" si="3"/>
        <v>318.62991780821898</v>
      </c>
    </row>
    <row r="97" spans="1:13">
      <c r="A97" s="1644">
        <v>2025</v>
      </c>
      <c r="B97" s="1645">
        <v>45920</v>
      </c>
      <c r="C97" s="1646">
        <v>46284</v>
      </c>
      <c r="D97" s="1647" t="s">
        <v>1656</v>
      </c>
      <c r="E97" s="1647" t="s">
        <v>1542</v>
      </c>
      <c r="F97" s="1647">
        <v>4.3</v>
      </c>
      <c r="G97" s="1647">
        <v>4.3</v>
      </c>
      <c r="H97" s="1647">
        <v>1311</v>
      </c>
      <c r="I97" s="1648">
        <v>111.15</v>
      </c>
      <c r="J97" s="1649">
        <v>174450</v>
      </c>
      <c r="K97" s="1650">
        <v>174450</v>
      </c>
      <c r="L97">
        <f t="shared" si="2"/>
        <v>4.30000184866803</v>
      </c>
      <c r="M97">
        <f t="shared" si="3"/>
        <v>477.945205479452</v>
      </c>
    </row>
    <row r="98" spans="1:13">
      <c r="A98" s="1644">
        <v>2025</v>
      </c>
      <c r="B98" s="1645">
        <v>45929</v>
      </c>
      <c r="C98" s="1646">
        <v>46293</v>
      </c>
      <c r="D98" s="1647" t="s">
        <v>1657</v>
      </c>
      <c r="E98" s="1647" t="s">
        <v>1542</v>
      </c>
      <c r="F98" s="1647">
        <v>4.38</v>
      </c>
      <c r="G98" s="1647">
        <v>4.38</v>
      </c>
      <c r="H98" s="1647">
        <v>715</v>
      </c>
      <c r="I98" s="1648">
        <v>285.51</v>
      </c>
      <c r="J98" s="1649">
        <v>456444.84</v>
      </c>
      <c r="K98" s="1650"/>
      <c r="L98">
        <f>J98/I98/365</f>
        <v>4.3800000287877099</v>
      </c>
      <c r="M98">
        <f t="shared" si="3"/>
        <v>1250.5338082191799</v>
      </c>
    </row>
    <row r="99" spans="1:13">
      <c r="A99" s="1644">
        <v>2025</v>
      </c>
      <c r="B99" s="1645">
        <v>45900</v>
      </c>
      <c r="C99" s="1646">
        <v>46995</v>
      </c>
      <c r="D99" s="1647" t="s">
        <v>1658</v>
      </c>
      <c r="E99" s="1647" t="s">
        <v>1536</v>
      </c>
      <c r="F99" s="1647">
        <v>4.5999999999999996</v>
      </c>
      <c r="G99" s="1647">
        <v>4.5999999999999996</v>
      </c>
      <c r="H99" s="1647">
        <v>1012</v>
      </c>
      <c r="I99" s="1648">
        <v>111.15</v>
      </c>
      <c r="J99" s="1649">
        <v>559862.64</v>
      </c>
      <c r="K99" s="1650">
        <v>186620.88</v>
      </c>
      <c r="L99">
        <f t="shared" si="2"/>
        <v>4.6000007394672098</v>
      </c>
      <c r="M99">
        <f t="shared" si="3"/>
        <v>511.29008219178098</v>
      </c>
    </row>
    <row r="100" spans="1:13">
      <c r="A100" s="1644">
        <v>2025</v>
      </c>
      <c r="B100" s="1645">
        <v>45918</v>
      </c>
      <c r="C100" s="1646">
        <v>47013</v>
      </c>
      <c r="D100" s="1647" t="s">
        <v>1659</v>
      </c>
      <c r="E100" s="1647" t="s">
        <v>1542</v>
      </c>
      <c r="F100" s="1647">
        <v>4</v>
      </c>
      <c r="G100" s="1647">
        <v>4</v>
      </c>
      <c r="H100" s="1647">
        <v>619</v>
      </c>
      <c r="I100" s="1648">
        <v>74.099999999999994</v>
      </c>
      <c r="J100" s="1649"/>
      <c r="K100" s="1650"/>
      <c r="L100">
        <f>G100</f>
        <v>4</v>
      </c>
      <c r="M100">
        <f t="shared" si="3"/>
        <v>296.39999999999998</v>
      </c>
    </row>
    <row r="101" spans="1:13">
      <c r="A101" s="1644">
        <v>2025</v>
      </c>
      <c r="B101" s="1645">
        <v>45926</v>
      </c>
      <c r="C101" s="1646">
        <v>46655</v>
      </c>
      <c r="D101" s="1647" t="s">
        <v>1660</v>
      </c>
      <c r="E101" s="1647" t="s">
        <v>1542</v>
      </c>
      <c r="F101" s="1647">
        <v>4.38</v>
      </c>
      <c r="G101" s="1647">
        <v>4.38</v>
      </c>
      <c r="H101" s="1647">
        <v>713</v>
      </c>
      <c r="I101" s="1648">
        <v>112.4</v>
      </c>
      <c r="J101" s="1649">
        <v>179693.88</v>
      </c>
      <c r="K101" s="1650"/>
      <c r="L101">
        <f>J101/I101/365/2</f>
        <v>2.19</v>
      </c>
      <c r="M101">
        <f t="shared" si="3"/>
        <v>246.15600000000001</v>
      </c>
    </row>
    <row r="102" spans="1:13" ht="15">
      <c r="A102" s="1644">
        <v>2021</v>
      </c>
      <c r="B102" s="1645">
        <v>44444</v>
      </c>
      <c r="C102" s="1646">
        <v>46269</v>
      </c>
      <c r="D102" s="1647" t="s">
        <v>1661</v>
      </c>
      <c r="E102" s="1647" t="s">
        <v>1536</v>
      </c>
      <c r="F102" s="1647">
        <v>7.3</v>
      </c>
      <c r="G102" s="1647"/>
      <c r="H102" s="1647" t="s">
        <v>1662</v>
      </c>
      <c r="I102" s="1648">
        <v>78.7</v>
      </c>
      <c r="J102" s="1649"/>
      <c r="K102" s="1649">
        <v>213717.72</v>
      </c>
      <c r="L102">
        <f>K102/I102/365</f>
        <v>7.44</v>
      </c>
      <c r="M102">
        <f t="shared" si="3"/>
        <v>585.52800000000002</v>
      </c>
    </row>
    <row r="103" spans="1:13" ht="74.25">
      <c r="A103" s="1644">
        <v>2023</v>
      </c>
      <c r="B103" s="1645">
        <v>44986</v>
      </c>
      <c r="C103" s="1646">
        <v>46384</v>
      </c>
      <c r="D103" s="1647" t="s">
        <v>1663</v>
      </c>
      <c r="E103" s="1647" t="s">
        <v>1536</v>
      </c>
      <c r="F103" s="1647">
        <v>7.03</v>
      </c>
      <c r="G103" s="1647"/>
      <c r="H103" s="1647" t="s">
        <v>1664</v>
      </c>
      <c r="I103" s="1648">
        <v>515.78</v>
      </c>
      <c r="J103" s="1649"/>
      <c r="K103" s="1649">
        <v>363256.06</v>
      </c>
      <c r="L103">
        <f>K103/I103/365</f>
        <v>1.92954764083869</v>
      </c>
      <c r="M103">
        <f t="shared" si="3"/>
        <v>995.22208219178106</v>
      </c>
    </row>
    <row r="104" spans="1:13" ht="27">
      <c r="A104" s="1644">
        <v>2023</v>
      </c>
      <c r="B104" s="1645">
        <v>45180</v>
      </c>
      <c r="C104" s="1646">
        <v>47006</v>
      </c>
      <c r="D104" s="1647" t="s">
        <v>1665</v>
      </c>
      <c r="E104" s="1647" t="s">
        <v>1536</v>
      </c>
      <c r="F104" s="1647">
        <v>8</v>
      </c>
      <c r="G104" s="1647"/>
      <c r="H104" s="1647" t="s">
        <v>1666</v>
      </c>
      <c r="I104" s="1648">
        <v>130.19999999999999</v>
      </c>
      <c r="J104" s="1649"/>
      <c r="K104" s="1649">
        <v>370184</v>
      </c>
      <c r="L104">
        <f>K104/I104/365</f>
        <v>7.7895755739326198</v>
      </c>
      <c r="M104">
        <f t="shared" si="3"/>
        <v>1014.20273972603</v>
      </c>
    </row>
    <row r="105" spans="1:13" ht="15">
      <c r="A105" s="1644">
        <v>2024</v>
      </c>
      <c r="B105" s="1645">
        <v>45354</v>
      </c>
      <c r="C105" s="1646">
        <v>46448</v>
      </c>
      <c r="D105" s="1647" t="s">
        <v>1667</v>
      </c>
      <c r="E105" s="1647" t="s">
        <v>1536</v>
      </c>
      <c r="F105" s="1647" t="s">
        <v>1668</v>
      </c>
      <c r="G105" s="1647"/>
      <c r="H105" s="1647" t="s">
        <v>1669</v>
      </c>
      <c r="I105" s="1648"/>
      <c r="J105" s="1649"/>
      <c r="K105" s="1649">
        <v>15000</v>
      </c>
      <c r="M105">
        <f t="shared" si="3"/>
        <v>0</v>
      </c>
    </row>
    <row r="106" spans="1:13" ht="27">
      <c r="A106" s="1644">
        <v>2024</v>
      </c>
      <c r="B106" s="1645">
        <v>45453</v>
      </c>
      <c r="C106" s="1646">
        <v>47006</v>
      </c>
      <c r="D106" s="1647" t="s">
        <v>1665</v>
      </c>
      <c r="E106" s="1647" t="s">
        <v>1542</v>
      </c>
      <c r="F106" s="1647">
        <v>8</v>
      </c>
      <c r="G106" s="1647"/>
      <c r="H106" s="1647" t="s">
        <v>1670</v>
      </c>
      <c r="I106" s="1648">
        <v>84.76</v>
      </c>
      <c r="J106" s="1649"/>
      <c r="K106" s="1649">
        <v>247499.28</v>
      </c>
      <c r="L106">
        <f t="shared" ref="L106:L111" si="4">K106/I106/365</f>
        <v>8.0000025858669392</v>
      </c>
      <c r="M106">
        <f t="shared" si="3"/>
        <v>678.08021917808196</v>
      </c>
    </row>
    <row r="107" spans="1:13" ht="14.25">
      <c r="A107" s="1644">
        <v>2024</v>
      </c>
      <c r="B107" s="1645">
        <v>45611</v>
      </c>
      <c r="C107" s="1646">
        <v>46705</v>
      </c>
      <c r="D107" s="1647" t="s">
        <v>1671</v>
      </c>
      <c r="E107" s="1647" t="s">
        <v>1542</v>
      </c>
      <c r="F107" s="1647">
        <v>5.5</v>
      </c>
      <c r="G107" s="1647"/>
      <c r="H107" s="1647" t="s">
        <v>1672</v>
      </c>
      <c r="I107" s="1648">
        <v>122.06</v>
      </c>
      <c r="J107" s="1649"/>
      <c r="K107" s="1649">
        <v>245035.44</v>
      </c>
      <c r="L107">
        <f t="shared" si="4"/>
        <v>5.4999997755426797</v>
      </c>
      <c r="M107">
        <f t="shared" si="3"/>
        <v>671.32997260273999</v>
      </c>
    </row>
    <row r="108" spans="1:13">
      <c r="A108" s="1644">
        <v>2024</v>
      </c>
      <c r="B108" s="1645">
        <v>45611</v>
      </c>
      <c r="C108" s="1646">
        <v>46705</v>
      </c>
      <c r="D108" s="1647" t="s">
        <v>1673</v>
      </c>
      <c r="E108" s="1647" t="s">
        <v>1542</v>
      </c>
      <c r="F108" s="1647">
        <v>5.5</v>
      </c>
      <c r="G108" s="1647"/>
      <c r="H108" s="1647" t="s">
        <v>1674</v>
      </c>
      <c r="I108" s="1648">
        <v>111.76</v>
      </c>
      <c r="J108" s="1649"/>
      <c r="K108" s="1649">
        <v>224358.12</v>
      </c>
      <c r="L108">
        <f t="shared" si="4"/>
        <v>5.4999980388503698</v>
      </c>
      <c r="M108">
        <f t="shared" si="3"/>
        <v>614.67978082191803</v>
      </c>
    </row>
    <row r="109" spans="1:13" ht="14.25">
      <c r="A109" s="1644">
        <v>2024</v>
      </c>
      <c r="B109" s="1645">
        <v>45611</v>
      </c>
      <c r="C109" s="1646">
        <v>46705</v>
      </c>
      <c r="D109" s="1647" t="s">
        <v>1675</v>
      </c>
      <c r="E109" s="1647" t="s">
        <v>1542</v>
      </c>
      <c r="F109" s="1647">
        <v>5.5</v>
      </c>
      <c r="G109" s="1647"/>
      <c r="H109" s="1647" t="s">
        <v>1676</v>
      </c>
      <c r="I109" s="1648">
        <v>105.88</v>
      </c>
      <c r="J109" s="1649"/>
      <c r="K109" s="1649">
        <v>212554.08</v>
      </c>
      <c r="L109">
        <f t="shared" si="4"/>
        <v>5.4999994824846903</v>
      </c>
      <c r="M109">
        <f t="shared" si="3"/>
        <v>582.33994520547901</v>
      </c>
    </row>
    <row r="110" spans="1:13">
      <c r="A110" s="1644">
        <v>2025</v>
      </c>
      <c r="B110" s="1645">
        <v>45658</v>
      </c>
      <c r="C110" s="1646">
        <v>46022</v>
      </c>
      <c r="D110" s="1647" t="s">
        <v>1677</v>
      </c>
      <c r="E110" s="1647" t="s">
        <v>1542</v>
      </c>
      <c r="F110" s="1647">
        <v>5.5</v>
      </c>
      <c r="G110" s="1647"/>
      <c r="H110" s="1647" t="s">
        <v>1678</v>
      </c>
      <c r="I110" s="1648">
        <v>47.06</v>
      </c>
      <c r="J110" s="1649"/>
      <c r="K110" s="1649">
        <v>94473</v>
      </c>
      <c r="L110">
        <f t="shared" si="4"/>
        <v>5.5000029108861304</v>
      </c>
      <c r="M110">
        <f t="shared" si="3"/>
        <v>258.830136986301</v>
      </c>
    </row>
    <row r="111" spans="1:13">
      <c r="A111" s="1644">
        <v>2025</v>
      </c>
      <c r="B111" s="1645">
        <v>45658</v>
      </c>
      <c r="C111" s="1646">
        <v>46022</v>
      </c>
      <c r="D111" s="1647" t="s">
        <v>1675</v>
      </c>
      <c r="E111" s="1647" t="s">
        <v>1542</v>
      </c>
      <c r="F111" s="1647">
        <v>5.5</v>
      </c>
      <c r="G111" s="1647"/>
      <c r="H111" s="1647" t="s">
        <v>1679</v>
      </c>
      <c r="I111" s="1648">
        <v>47.06</v>
      </c>
      <c r="J111" s="1649"/>
      <c r="K111" s="1649">
        <v>94473</v>
      </c>
      <c r="L111">
        <f t="shared" si="4"/>
        <v>5.5000029108861304</v>
      </c>
      <c r="M111">
        <f t="shared" si="3"/>
        <v>258.830136986301</v>
      </c>
    </row>
    <row r="112" spans="1:13" hidden="1">
      <c r="A112" s="1644">
        <v>2025</v>
      </c>
      <c r="B112" s="1645">
        <v>45742</v>
      </c>
      <c r="C112" s="1646">
        <v>46106</v>
      </c>
      <c r="D112" s="1647" t="s">
        <v>1680</v>
      </c>
      <c r="E112" s="1647"/>
      <c r="F112" s="1647"/>
      <c r="G112" s="1647"/>
      <c r="H112" s="1647" t="s">
        <v>1681</v>
      </c>
      <c r="I112" s="1648">
        <v>7.5</v>
      </c>
      <c r="J112" s="1649"/>
      <c r="K112" s="1649">
        <v>9600</v>
      </c>
      <c r="L112" s="1651"/>
      <c r="M112" s="1651"/>
    </row>
    <row r="113" spans="1:13">
      <c r="A113" s="1644">
        <v>2025</v>
      </c>
      <c r="B113" s="1645">
        <v>45663</v>
      </c>
      <c r="C113" s="1646">
        <v>46027</v>
      </c>
      <c r="D113" s="1647" t="s">
        <v>1682</v>
      </c>
      <c r="E113" s="1647" t="s">
        <v>1542</v>
      </c>
      <c r="F113" s="1647"/>
      <c r="G113" s="1647"/>
      <c r="H113" s="1647" t="s">
        <v>1683</v>
      </c>
      <c r="I113" s="1648"/>
      <c r="J113" s="1649"/>
      <c r="K113" s="1649">
        <v>9600</v>
      </c>
      <c r="L113" s="1651"/>
      <c r="M113" s="1651"/>
    </row>
    <row r="114" spans="1:13" ht="27">
      <c r="A114" s="1644">
        <v>2025</v>
      </c>
      <c r="B114" s="1645">
        <v>45810</v>
      </c>
      <c r="C114" s="1646">
        <v>45992</v>
      </c>
      <c r="D114" s="1647" t="s">
        <v>1665</v>
      </c>
      <c r="E114" s="1647" t="s">
        <v>1536</v>
      </c>
      <c r="F114" s="1647">
        <v>8</v>
      </c>
      <c r="G114" s="1647"/>
      <c r="H114" s="1647" t="s">
        <v>1684</v>
      </c>
      <c r="I114" s="1648">
        <v>53.9</v>
      </c>
      <c r="J114" s="1649"/>
      <c r="K114" s="1649">
        <v>78693.960000000006</v>
      </c>
      <c r="L114">
        <f>K114/I114/365</f>
        <v>3.9999979668081398</v>
      </c>
      <c r="M114">
        <f t="shared" si="3"/>
        <v>215.59989041095901</v>
      </c>
    </row>
    <row r="115" spans="1:13">
      <c r="A115" s="1644">
        <v>2025</v>
      </c>
      <c r="B115" s="1645">
        <v>45809</v>
      </c>
      <c r="C115" s="1646">
        <v>45992</v>
      </c>
      <c r="D115" s="1647" t="s">
        <v>1685</v>
      </c>
      <c r="E115" s="1647" t="s">
        <v>1536</v>
      </c>
      <c r="F115" s="1647">
        <v>8</v>
      </c>
      <c r="G115" s="1647"/>
      <c r="H115" s="1647" t="s">
        <v>1686</v>
      </c>
      <c r="I115" s="1648">
        <v>47.33</v>
      </c>
      <c r="J115" s="1649"/>
      <c r="K115" s="1649">
        <v>69101.759999999995</v>
      </c>
      <c r="L115">
        <f>K115/I115/365</f>
        <v>3.9999976845755101</v>
      </c>
      <c r="M115">
        <f t="shared" si="3"/>
        <v>189.319890410959</v>
      </c>
    </row>
    <row r="116" spans="1:13">
      <c r="A116" s="1644"/>
      <c r="B116" s="1645"/>
      <c r="C116" s="1646"/>
      <c r="D116" s="1647" t="s">
        <v>2926</v>
      </c>
      <c r="E116" s="1647"/>
      <c r="F116" s="1647"/>
      <c r="G116" s="1647"/>
      <c r="H116" s="1647"/>
      <c r="I116" s="1648">
        <f>SUM(I2:I115)-I112-I113-I7</f>
        <v>25133.34</v>
      </c>
      <c r="J116" s="1649"/>
      <c r="K116" s="1649"/>
      <c r="L116">
        <f>ROUND(M116/I116,2)</f>
        <v>4.9800000000000004</v>
      </c>
      <c r="M116">
        <f>SUM(M2:M115)</f>
        <v>125215.586975342</v>
      </c>
    </row>
  </sheetData>
  <autoFilter ref="A1:M116" xr:uid="{00000000-0009-0000-0000-00001C000000}">
    <filterColumn colId="7">
      <filters blank="1">
        <filter val="1001"/>
        <filter val="1002"/>
        <filter val="1004、1005"/>
        <filter val="1006、1007"/>
        <filter val="1009"/>
        <filter val="1010"/>
        <filter val="1011"/>
        <filter val="1012"/>
        <filter val="1014"/>
        <filter val="1015、1016"/>
        <filter val="1104-1106"/>
        <filter val="1107、1108"/>
        <filter val="1110"/>
        <filter val="1114"/>
        <filter val="1115"/>
        <filter val="1116、1101"/>
        <filter val="1201"/>
        <filter val="1202-1213"/>
        <filter val="1214-1216"/>
        <filter val="1301、1314-1316"/>
        <filter val="1305"/>
        <filter val="1307——1310"/>
        <filter val="1311"/>
        <filter val="1312、1313"/>
        <filter val="1404"/>
        <filter val="1406"/>
        <filter val="1407"/>
        <filter val="1410"/>
        <filter val="1415、1416、1401"/>
        <filter val="301-304、308-316"/>
        <filter val="506"/>
        <filter val="507"/>
        <filter val="509"/>
        <filter val="510"/>
        <filter val="512、513、515"/>
        <filter val="517"/>
        <filter val="518"/>
        <filter val="519、520"/>
        <filter val="521"/>
        <filter val="523"/>
        <filter val="524"/>
        <filter val="526"/>
        <filter val="527"/>
        <filter val="528"/>
        <filter val="531"/>
        <filter val="601-602"/>
        <filter val="603"/>
        <filter val="604"/>
        <filter val="606"/>
        <filter val="607"/>
        <filter val="608"/>
        <filter val="609"/>
        <filter val="610"/>
        <filter val="611、613"/>
        <filter val="612"/>
        <filter val="618"/>
        <filter val="619"/>
        <filter val="620"/>
        <filter val="621"/>
        <filter val="622、623"/>
        <filter val="624"/>
        <filter val="625"/>
        <filter val="627"/>
        <filter val="632"/>
        <filter val="713"/>
        <filter val="715"/>
        <filter val="801"/>
        <filter val="802、803"/>
        <filter val="805"/>
        <filter val="806"/>
        <filter val="807"/>
        <filter val="808"/>
        <filter val="809"/>
        <filter val="810"/>
        <filter val="811"/>
        <filter val="813"/>
        <filter val="814"/>
        <filter val="816"/>
        <filter val="901"/>
        <filter val="902"/>
        <filter val="903、904"/>
        <filter val="905、912"/>
        <filter val="906、907"/>
        <filter val="908、909、910"/>
        <filter val="911"/>
        <filter val="914"/>
        <filter val="915"/>
        <filter val="916"/>
        <filter val="十五层1512室"/>
        <filter val="十五层1513室"/>
        <filter val="十五层1516室"/>
        <filter val="十五层1517室"/>
        <filter val="十五层1518室"/>
        <filter val="四层4034室"/>
        <filter val="四层4101室"/>
        <filter val="四层4103、4105、4117、4118、4119、4120、4122、4125、4126、融合会议室、演说家会议室"/>
        <filter val="四层4111-6室"/>
        <filter val="四层4115、4116室"/>
        <filter val="四层4123、4128室"/>
        <filter val="四层4126室"/>
        <filter val="四层4127室"/>
      </filters>
    </filterColumn>
  </autoFilter>
  <phoneticPr fontId="2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54">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2025年11月19日（评估专业人员实地查勘之日）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1" t="str">
        <f>IF(项目基本情况!B9="房地产市场价值","——",IF(项目基本情况!E9="——","",定义!C57))</f>
        <v/>
      </c>
    </row>
    <row r="23" spans="1:1" ht="18.75">
      <c r="A23" s="3150" t="s">
        <v>92</v>
      </c>
    </row>
    <row r="24" spans="1:1" ht="18">
      <c r="A24" s="3125" t="str">
        <f>"本次评估采用的主估价方法为"&amp;结果表!K4&amp;"和"&amp;结果表!L4&amp;"。"</f>
        <v>本次评估采用的主估价方法为收益法和收益法。</v>
      </c>
    </row>
    <row r="25" spans="1:1" ht="18">
      <c r="A25" s="3125"/>
    </row>
    <row r="26" spans="1:1" ht="18.75">
      <c r="A26" s="3156"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1688</v>
      </c>
      <c r="C1" s="1382" t="s">
        <v>1689</v>
      </c>
      <c r="D1" s="1375"/>
      <c r="E1" s="1544"/>
      <c r="F1" s="1377"/>
      <c r="G1" s="1378" t="s">
        <v>1690</v>
      </c>
      <c r="H1" s="1379"/>
      <c r="I1" s="1379"/>
      <c r="J1" s="1379"/>
      <c r="K1" s="1380"/>
      <c r="L1" s="1381"/>
      <c r="M1" s="1382"/>
      <c r="N1" s="1382"/>
      <c r="O1" s="1382"/>
      <c r="P1" s="1564"/>
      <c r="Q1" s="1374"/>
      <c r="R1" s="1374"/>
      <c r="S1" s="1374"/>
      <c r="T1" s="1374"/>
      <c r="U1" s="1374"/>
      <c r="V1" s="1374"/>
      <c r="W1" s="1374"/>
      <c r="X1" s="1374"/>
      <c r="Y1" s="1374"/>
      <c r="Z1" s="1374"/>
      <c r="AA1" s="1374"/>
      <c r="AB1" s="1374"/>
      <c r="AC1" s="1383"/>
    </row>
    <row r="2" spans="1:29" s="1563" customFormat="1" ht="28.5" customHeight="1">
      <c r="A2" s="1384" t="s">
        <v>1045</v>
      </c>
      <c r="B2" s="156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341"/>
      <c r="H2" s="1341"/>
      <c r="I2" s="1341"/>
      <c r="J2" s="1341"/>
      <c r="K2" s="1566"/>
      <c r="L2" s="1567"/>
      <c r="M2" s="1568"/>
      <c r="N2" s="1568"/>
      <c r="O2" s="1568"/>
      <c r="P2" s="1569"/>
      <c r="Q2" s="1570"/>
      <c r="R2" s="1570"/>
      <c r="S2" s="1570"/>
      <c r="T2" s="1570"/>
      <c r="U2" s="1570"/>
      <c r="V2" s="1570"/>
      <c r="W2" s="1570"/>
      <c r="X2" s="1570"/>
      <c r="Y2" s="1570"/>
      <c r="Z2" s="1570"/>
      <c r="AA2" s="1570"/>
      <c r="AB2" s="1570"/>
      <c r="AC2" s="1571"/>
    </row>
    <row r="3" spans="1:29" s="1563" customFormat="1" ht="28.5" customHeight="1">
      <c r="A3" s="348" t="s">
        <v>1047</v>
      </c>
      <c r="B3" s="1390">
        <f>IF(C2="——",C49,ROUND(B2*10000/D3,0))</f>
        <v>0</v>
      </c>
      <c r="C3" s="1389" t="s">
        <v>1691</v>
      </c>
      <c r="D3" s="1390">
        <f>IF(D1="",'数据-汇总表'!E3,SUMIF('数据-汇总表'!$C19:$C33,D1,'数据-汇总表'!$E19:$E33))</f>
        <v>50585.8</v>
      </c>
      <c r="E3" s="1341"/>
      <c r="F3" s="1572"/>
      <c r="G3" s="1341"/>
      <c r="H3" s="1341"/>
      <c r="I3" s="1341"/>
      <c r="J3" s="1341"/>
      <c r="K3" s="1566"/>
      <c r="L3" s="1567"/>
      <c r="M3" s="1568"/>
      <c r="N3" s="1568"/>
      <c r="O3" s="1568"/>
      <c r="P3" s="1569"/>
      <c r="Q3" s="1570"/>
      <c r="R3" s="1570"/>
      <c r="S3" s="1570"/>
      <c r="T3" s="1570"/>
      <c r="U3" s="1570"/>
      <c r="V3" s="1570"/>
      <c r="W3" s="1570"/>
      <c r="X3" s="1570"/>
      <c r="Y3" s="1570"/>
      <c r="Z3" s="1570"/>
      <c r="AA3" s="1570"/>
      <c r="AB3" s="1570"/>
      <c r="AC3" s="1571"/>
    </row>
    <row r="4" spans="1:29" ht="15">
      <c r="A4" s="1038" t="s">
        <v>1692</v>
      </c>
      <c r="B4" s="1039"/>
      <c r="C4" s="3389" t="s">
        <v>1693</v>
      </c>
      <c r="D4" s="3390"/>
      <c r="E4" s="3391" t="s">
        <v>1694</v>
      </c>
      <c r="F4" s="3392"/>
      <c r="G4" s="3389" t="s">
        <v>1695</v>
      </c>
      <c r="H4" s="3390"/>
      <c r="I4" s="3389" t="s">
        <v>1696</v>
      </c>
      <c r="J4" s="3390"/>
      <c r="K4" s="1573"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19" t="s">
        <v>1695</v>
      </c>
      <c r="AC4" s="3419" t="s">
        <v>1696</v>
      </c>
    </row>
    <row r="5" spans="1:29" ht="15">
      <c r="A5" s="1049"/>
      <c r="B5" s="1050"/>
      <c r="C5" s="3393" t="s">
        <v>1699</v>
      </c>
      <c r="D5" s="3394"/>
      <c r="E5" s="3395" t="s">
        <v>1700</v>
      </c>
      <c r="F5" s="3396"/>
      <c r="G5" s="3393" t="s">
        <v>1701</v>
      </c>
      <c r="H5" s="3394"/>
      <c r="I5" s="3393" t="s">
        <v>1702</v>
      </c>
      <c r="J5" s="3394"/>
      <c r="K5" s="1574"/>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574"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575"/>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576"/>
      <c r="F8" s="1061">
        <f>SUMIF(61:61,E8,62:62)-SUMIF(61:61,C8,62:62)+100</f>
        <v>100</v>
      </c>
      <c r="G8" s="1072"/>
      <c r="H8" s="1059">
        <f>SUMIF(61:61,G8,62:62)-SUMIF(61:61,C8,62:62)+100</f>
        <v>100</v>
      </c>
      <c r="I8" s="1576"/>
      <c r="J8" s="1059">
        <f>SUMIF(61:61,I8,62:62)-SUMIF(61:61,C8,62:62)+100</f>
        <v>100</v>
      </c>
      <c r="K8" s="1575"/>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19" si="3">D8/F8</f>
        <v>1</v>
      </c>
      <c r="AB8" s="1071">
        <f t="shared" ref="AB8:AB19" si="4">D8/H8</f>
        <v>1</v>
      </c>
      <c r="AC8" s="1071">
        <f t="shared" ref="AC8:AC19" si="5">D8/J8</f>
        <v>1</v>
      </c>
    </row>
    <row r="9" spans="1:29" s="1011" customFormat="1">
      <c r="A9" s="1073" t="s">
        <v>1710</v>
      </c>
      <c r="B9" s="1074" t="s">
        <v>1711</v>
      </c>
      <c r="C9" s="1391"/>
      <c r="D9" s="1076">
        <v>100</v>
      </c>
      <c r="E9" s="1443"/>
      <c r="F9" s="1074">
        <f>SUMIF(63:63,E9,64:64)-SUMIF(63:63,C9,64:64)+100</f>
        <v>100</v>
      </c>
      <c r="G9" s="1392"/>
      <c r="H9" s="1076">
        <f>SUMIF(63:63,G9,64:64)-SUMIF(63:63,C9,64:64)+100</f>
        <v>100</v>
      </c>
      <c r="I9" s="1392"/>
      <c r="J9" s="1076">
        <f>SUMIF(63:63,I9,64:64)-SUMIF(63:63,C9,64:64)+100</f>
        <v>100</v>
      </c>
      <c r="K9" s="1575"/>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575"/>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577"/>
      <c r="L11" s="1090"/>
      <c r="M11" s="1044"/>
      <c r="N11" s="1044"/>
      <c r="O11" s="1044"/>
      <c r="P11" s="3406"/>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78"/>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78"/>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78"/>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1717</v>
      </c>
      <c r="C15" s="1345">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79"/>
      <c r="L15" s="1098"/>
      <c r="M15" s="1044"/>
      <c r="N15" s="1044"/>
      <c r="O15" s="1044"/>
      <c r="P15" s="3407" t="s">
        <v>1718</v>
      </c>
      <c r="Q15" s="707" t="str">
        <f t="shared" si="6"/>
        <v>居住社区成熟度</v>
      </c>
      <c r="R15" s="1109" t="s">
        <v>1707</v>
      </c>
      <c r="S15" s="1110">
        <f t="shared" si="0"/>
        <v>100</v>
      </c>
      <c r="T15" s="1109" t="s">
        <v>1707</v>
      </c>
      <c r="U15" s="1110">
        <f t="shared" si="1"/>
        <v>100</v>
      </c>
      <c r="V15" s="1109" t="s">
        <v>1707</v>
      </c>
      <c r="W15" s="1110">
        <f t="shared" si="2"/>
        <v>100</v>
      </c>
      <c r="X15" s="1048"/>
      <c r="Y15" s="3412" t="s">
        <v>1718</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80"/>
      <c r="L16" s="1098"/>
      <c r="M16" s="1044"/>
      <c r="N16" s="1044"/>
      <c r="O16" s="1044"/>
      <c r="P16" s="3408"/>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估价对象房地状况!C6</f>
        <v>0</v>
      </c>
      <c r="D17" s="1115">
        <v>100</v>
      </c>
      <c r="E17" s="1121"/>
      <c r="F17" s="1115">
        <f>SUMIF(78:78,E18,79:79)-SUMIF(78:78,C18,79:79)+100</f>
        <v>100</v>
      </c>
      <c r="G17" s="1119"/>
      <c r="H17" s="1120">
        <f>SUMIF(78:78,G18,79:79)-SUMIF(78:78,C18,79:79)+100</f>
        <v>100</v>
      </c>
      <c r="I17" s="1119"/>
      <c r="J17" s="1120">
        <f>SUMIF(78:78,I18,79:79)-SUMIF(78:78,C18,79:79)+100</f>
        <v>100</v>
      </c>
      <c r="K17" s="1579"/>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9"/>
      <c r="F18" s="1115"/>
      <c r="G18" s="1348"/>
      <c r="H18" s="1113"/>
      <c r="I18" s="1348"/>
      <c r="J18" s="1113"/>
      <c r="K18" s="1580"/>
      <c r="L18" s="1098"/>
      <c r="M18" s="1044"/>
      <c r="N18" s="1044"/>
      <c r="O18" s="1044"/>
      <c r="P18" s="3408"/>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估价对象房地状况!C7</f>
        <v>0</v>
      </c>
      <c r="D19" s="1120">
        <v>100</v>
      </c>
      <c r="E19" s="1351"/>
      <c r="F19" s="1120">
        <f>SUMIF(80:80,E20,81:81)-SUMIF(80:80,C20,81:81)+100</f>
        <v>100</v>
      </c>
      <c r="G19" s="1350"/>
      <c r="H19" s="1115">
        <f>SUMIF(80:80,G20,81:81)-SUMIF(80:80,C20,81:81)+100</f>
        <v>100</v>
      </c>
      <c r="I19" s="1350"/>
      <c r="J19" s="1115">
        <f>SUMIF(80:80,I20,81:81)-SUMIF(80:80,C20,81:81)+100</f>
        <v>100</v>
      </c>
      <c r="K19" s="1579"/>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80"/>
      <c r="L20" s="1098"/>
      <c r="M20" s="1044"/>
      <c r="N20" s="1044"/>
      <c r="O20" s="1044"/>
      <c r="P20" s="3408"/>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估价对象房地状况!C8</f>
        <v>0</v>
      </c>
      <c r="D21" s="1115">
        <v>100</v>
      </c>
      <c r="E21" s="1351"/>
      <c r="F21" s="1120">
        <f>SUMIF(82:82,E22,83:83)-SUMIF(82:82,C22,83:83)+100</f>
        <v>100</v>
      </c>
      <c r="G21" s="1350"/>
      <c r="H21" s="1115">
        <f>SUMIF(82:82,G22,83:83)-SUMIF(82:82,C22,83:83)+100</f>
        <v>100</v>
      </c>
      <c r="I21" s="1350"/>
      <c r="J21" s="1115">
        <f>SUMIF(82:82,I22,83:83)-SUMIF(82:82,C22,83:83)+100</f>
        <v>100</v>
      </c>
      <c r="K21" s="1579"/>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113"/>
      <c r="G22" s="1114"/>
      <c r="H22" s="1113"/>
      <c r="I22" s="1112"/>
      <c r="J22" s="1113"/>
      <c r="K22" s="1581"/>
      <c r="L22" s="1098"/>
      <c r="M22" s="1044"/>
      <c r="N22" s="1044"/>
      <c r="O22" s="1044"/>
      <c r="P22" s="3408"/>
      <c r="Q22" s="707"/>
      <c r="R22" s="1109"/>
      <c r="S22" s="1110"/>
      <c r="T22" s="1109"/>
      <c r="U22" s="1110"/>
      <c r="V22" s="1109"/>
      <c r="W22" s="1110"/>
      <c r="X22" s="1048"/>
      <c r="Y22" s="3413"/>
      <c r="Z22" s="1047"/>
      <c r="AA22" s="1047">
        <v>1</v>
      </c>
      <c r="AB22" s="1047">
        <v>1</v>
      </c>
      <c r="AC22" s="1047">
        <v>1</v>
      </c>
    </row>
    <row r="23" spans="1:29" ht="15">
      <c r="A23" s="1086"/>
      <c r="B23" s="1346" t="s">
        <v>1722</v>
      </c>
      <c r="C23" s="1118">
        <f>估价对象房地状况!C9</f>
        <v>0</v>
      </c>
      <c r="D23" s="1115">
        <v>100</v>
      </c>
      <c r="E23" s="1121"/>
      <c r="F23" s="1115">
        <f>SUMIF(84:84,E24,85:85)-SUMIF(84:84,C24,85:85)+100</f>
        <v>100</v>
      </c>
      <c r="G23" s="1119"/>
      <c r="H23" s="1115">
        <f>SUMIF(84:84,G24,85:85)-SUMIF(84:84,C24,85:85)+100</f>
        <v>100</v>
      </c>
      <c r="I23" s="1119"/>
      <c r="J23" s="1115">
        <f>SUMIF(84:84,I24,85:85)-SUMIF(84:84,C24,85:85)+100</f>
        <v>100</v>
      </c>
      <c r="K23" s="1579"/>
      <c r="L23" s="1098"/>
      <c r="M23" s="1044"/>
      <c r="N23" s="1044"/>
      <c r="O23" s="1044"/>
      <c r="P23" s="3408"/>
      <c r="Q23" s="707" t="str">
        <f>B23</f>
        <v>自然及人文环境</v>
      </c>
      <c r="R23" s="1109" t="s">
        <v>1707</v>
      </c>
      <c r="S23" s="1110">
        <f>F23</f>
        <v>100</v>
      </c>
      <c r="T23" s="1109" t="s">
        <v>1707</v>
      </c>
      <c r="U23" s="1110">
        <f>H23</f>
        <v>100</v>
      </c>
      <c r="V23" s="1109" t="s">
        <v>1707</v>
      </c>
      <c r="W23" s="1110">
        <f>J23</f>
        <v>100</v>
      </c>
      <c r="X23" s="1048"/>
      <c r="Y23" s="3413"/>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80"/>
      <c r="L24" s="1098"/>
      <c r="M24" s="1044"/>
      <c r="N24" s="1044"/>
      <c r="O24" s="1044"/>
      <c r="P24" s="3408"/>
      <c r="Q24" s="707"/>
      <c r="R24" s="1109"/>
      <c r="S24" s="1110"/>
      <c r="T24" s="1109"/>
      <c r="U24" s="1110"/>
      <c r="V24" s="1109"/>
      <c r="W24" s="1110"/>
      <c r="X24" s="1048"/>
      <c r="Y24" s="3413"/>
      <c r="Z24" s="1047"/>
      <c r="AA24" s="1047">
        <v>1</v>
      </c>
      <c r="AB24" s="1047">
        <v>1</v>
      </c>
      <c r="AC24" s="1047">
        <v>1</v>
      </c>
    </row>
    <row r="25" spans="1:29" ht="15">
      <c r="A25" s="1086"/>
      <c r="B25" s="1079" t="s">
        <v>1723</v>
      </c>
      <c r="C25" s="1407"/>
      <c r="D25" s="708">
        <v>100</v>
      </c>
      <c r="E25" s="1155"/>
      <c r="F25" s="708">
        <f>SUMIF(86:86,E25,87:87)-SUMIF(86:86,C25,87:87)+100</f>
        <v>100</v>
      </c>
      <c r="G25" s="1582"/>
      <c r="H25" s="708">
        <f>SUMIF(86:86,G25,87:87)-SUMIF(86:86,C25,87:87)+100</f>
        <v>100</v>
      </c>
      <c r="I25" s="1582"/>
      <c r="J25" s="708">
        <f>SUMIF(86:86,I25,87:87)-SUMIF(86:86,C25,87:87)+100</f>
        <v>100</v>
      </c>
      <c r="K25" s="1577"/>
      <c r="L25" s="1098"/>
      <c r="M25" s="1044"/>
      <c r="N25" s="1044"/>
      <c r="O25" s="1044"/>
      <c r="P25" s="3408"/>
      <c r="Q25" s="707" t="str">
        <f t="shared" ref="Q25:Q46" si="11">B25</f>
        <v>楼层-1</v>
      </c>
      <c r="R25" s="1109" t="s">
        <v>1707</v>
      </c>
      <c r="S25" s="1110">
        <f t="shared" ref="S25:S46" si="12">F25</f>
        <v>100</v>
      </c>
      <c r="T25" s="1109" t="s">
        <v>1707</v>
      </c>
      <c r="U25" s="1110">
        <f t="shared" ref="U25:U46" si="13">H25</f>
        <v>100</v>
      </c>
      <c r="V25" s="1109" t="s">
        <v>1707</v>
      </c>
      <c r="W25" s="1110">
        <f t="shared" ref="W25:W46" si="14">J25</f>
        <v>100</v>
      </c>
      <c r="X25" s="1048"/>
      <c r="Y25" s="3413"/>
      <c r="Z25" s="1047" t="str">
        <f>Q25</f>
        <v>楼层-1</v>
      </c>
      <c r="AA25" s="1047">
        <f t="shared" ref="AA25:AA46" si="15">D25/F25</f>
        <v>1</v>
      </c>
      <c r="AB25" s="1047">
        <f t="shared" ref="AB25:AB46" si="16">D25/H25</f>
        <v>1</v>
      </c>
      <c r="AC25" s="1047">
        <f t="shared" ref="AC25:AC46" si="17">D25/J25</f>
        <v>1</v>
      </c>
    </row>
    <row r="26" spans="1:29" ht="15">
      <c r="A26" s="1086"/>
      <c r="B26" s="1079" t="s">
        <v>1724</v>
      </c>
      <c r="C26" s="1407"/>
      <c r="D26" s="708">
        <v>100</v>
      </c>
      <c r="E26" s="1155"/>
      <c r="F26" s="708">
        <f>SUMIF(88:88,E26,89:89)-SUMIF(88:88,C26,89:89)+100</f>
        <v>100</v>
      </c>
      <c r="G26" s="1582"/>
      <c r="H26" s="708">
        <f>SUMIF(88:88,G26,89:89)-SUMIF(88:88,C26,89:89)+100</f>
        <v>100</v>
      </c>
      <c r="I26" s="1582"/>
      <c r="J26" s="708">
        <f>SUMIF(88:88,I26,89:89)-SUMIF(88:88,C26,89:89)+100</f>
        <v>100</v>
      </c>
      <c r="K26" s="1577"/>
      <c r="L26" s="1098"/>
      <c r="M26" s="1044"/>
      <c r="N26" s="1044"/>
      <c r="O26" s="1044"/>
      <c r="P26" s="3408"/>
      <c r="Q26" s="707" t="str">
        <f t="shared" si="11"/>
        <v>朝向</v>
      </c>
      <c r="R26" s="1109" t="s">
        <v>1707</v>
      </c>
      <c r="S26" s="1110">
        <f t="shared" si="12"/>
        <v>100</v>
      </c>
      <c r="T26" s="1109" t="s">
        <v>1707</v>
      </c>
      <c r="U26" s="1110">
        <f t="shared" si="13"/>
        <v>100</v>
      </c>
      <c r="V26" s="1109" t="s">
        <v>1707</v>
      </c>
      <c r="W26" s="1110">
        <f t="shared" si="14"/>
        <v>100</v>
      </c>
      <c r="X26" s="1048"/>
      <c r="Y26" s="3413"/>
      <c r="Z26" s="1047" t="str">
        <f>Q26</f>
        <v>朝向</v>
      </c>
      <c r="AA26" s="1047">
        <f t="shared" si="15"/>
        <v>1</v>
      </c>
      <c r="AB26" s="1047">
        <f t="shared" si="16"/>
        <v>1</v>
      </c>
      <c r="AC26" s="1047">
        <f t="shared" si="17"/>
        <v>1</v>
      </c>
    </row>
    <row r="27" spans="1:29" s="1011" customFormat="1" ht="1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78"/>
      <c r="L27" s="1064"/>
      <c r="M27" s="1065"/>
      <c r="N27" s="1065"/>
      <c r="O27" s="1065"/>
      <c r="P27" s="3408"/>
      <c r="Q27" s="811">
        <f t="shared" si="11"/>
        <v>111</v>
      </c>
      <c r="R27" s="1067" t="s">
        <v>1707</v>
      </c>
      <c r="S27" s="1068">
        <f t="shared" si="12"/>
        <v>100</v>
      </c>
      <c r="T27" s="1067" t="s">
        <v>1707</v>
      </c>
      <c r="U27" s="1068">
        <f t="shared" si="13"/>
        <v>100</v>
      </c>
      <c r="V27" s="1067" t="s">
        <v>1707</v>
      </c>
      <c r="W27" s="1068">
        <f t="shared" si="14"/>
        <v>100</v>
      </c>
      <c r="X27" s="1069"/>
      <c r="Y27" s="3413"/>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78"/>
      <c r="L28" s="1098"/>
      <c r="M28" s="1044"/>
      <c r="N28" s="1044"/>
      <c r="O28" s="1044"/>
      <c r="P28" s="3408"/>
      <c r="Q28" s="707">
        <f t="shared" si="11"/>
        <v>111</v>
      </c>
      <c r="R28" s="1109" t="s">
        <v>1707</v>
      </c>
      <c r="S28" s="1110">
        <f t="shared" si="12"/>
        <v>100</v>
      </c>
      <c r="T28" s="1109" t="s">
        <v>1707</v>
      </c>
      <c r="U28" s="1110">
        <f t="shared" si="13"/>
        <v>100</v>
      </c>
      <c r="V28" s="1109" t="s">
        <v>1707</v>
      </c>
      <c r="W28" s="1110">
        <f t="shared" si="14"/>
        <v>100</v>
      </c>
      <c r="X28" s="1048"/>
      <c r="Y28" s="3413"/>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78"/>
      <c r="L29" s="1098"/>
      <c r="M29" s="1044"/>
      <c r="N29" s="1044"/>
      <c r="O29" s="1044"/>
      <c r="P29" s="3408"/>
      <c r="Q29" s="707">
        <f t="shared" si="11"/>
        <v>111</v>
      </c>
      <c r="R29" s="1109" t="s">
        <v>1707</v>
      </c>
      <c r="S29" s="1110">
        <f t="shared" si="12"/>
        <v>100</v>
      </c>
      <c r="T29" s="1109" t="s">
        <v>1707</v>
      </c>
      <c r="U29" s="1110">
        <f t="shared" si="13"/>
        <v>100</v>
      </c>
      <c r="V29" s="1109" t="s">
        <v>1707</v>
      </c>
      <c r="W29" s="1110">
        <f t="shared" si="14"/>
        <v>100</v>
      </c>
      <c r="X29" s="1048"/>
      <c r="Y29" s="3413"/>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78"/>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78"/>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8"/>
        <v>111</v>
      </c>
      <c r="AA31" s="1047">
        <f t="shared" si="15"/>
        <v>1</v>
      </c>
      <c r="AB31" s="1047">
        <f t="shared" si="16"/>
        <v>1</v>
      </c>
      <c r="AC31" s="1047">
        <f t="shared" si="17"/>
        <v>1</v>
      </c>
    </row>
    <row r="32" spans="1:29" ht="15">
      <c r="A32" s="1103" t="s">
        <v>1725</v>
      </c>
      <c r="B32" s="1074" t="s">
        <v>1726</v>
      </c>
      <c r="C32" s="1402"/>
      <c r="D32" s="1040">
        <v>100</v>
      </c>
      <c r="E32" s="1583"/>
      <c r="F32" s="1185">
        <f>SUMIF(100:100,E32,101:101)-SUMIF(100:100,C32,101:101)+100</f>
        <v>100</v>
      </c>
      <c r="G32" s="1402"/>
      <c r="H32" s="1040">
        <f>SUMIF(100:100,G32,101:101)-SUMIF(100:100,C32,101:101)+100</f>
        <v>100</v>
      </c>
      <c r="I32" s="1583"/>
      <c r="J32" s="708">
        <f>SUMIF(100:100,I32,101:101)-SUMIF(100:100,C32,101:101)+100</f>
        <v>100</v>
      </c>
      <c r="K32" s="1577"/>
      <c r="L32" s="1098"/>
      <c r="M32" s="1044"/>
      <c r="N32" s="1044"/>
      <c r="O32" s="1044"/>
      <c r="P32" s="3409" t="s">
        <v>1727</v>
      </c>
      <c r="Q32" s="707" t="str">
        <f t="shared" si="11"/>
        <v>建筑类型</v>
      </c>
      <c r="R32" s="1109" t="s">
        <v>1707</v>
      </c>
      <c r="S32" s="1110">
        <f t="shared" si="12"/>
        <v>100</v>
      </c>
      <c r="T32" s="1109" t="s">
        <v>1707</v>
      </c>
      <c r="U32" s="1110">
        <f t="shared" si="13"/>
        <v>100</v>
      </c>
      <c r="V32" s="1109" t="s">
        <v>1707</v>
      </c>
      <c r="W32" s="1110">
        <f t="shared" si="14"/>
        <v>100</v>
      </c>
      <c r="X32" s="1048"/>
      <c r="Y32" s="3414" t="s">
        <v>1727</v>
      </c>
      <c r="Z32" s="1047" t="str">
        <f t="shared" si="18"/>
        <v>建筑类型</v>
      </c>
      <c r="AA32" s="1047">
        <f t="shared" si="15"/>
        <v>1</v>
      </c>
      <c r="AB32" s="1047">
        <f t="shared" si="16"/>
        <v>1</v>
      </c>
      <c r="AC32" s="1047">
        <f t="shared" si="17"/>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78"/>
      <c r="L33" s="1090"/>
      <c r="M33" s="1145"/>
      <c r="N33" s="1145"/>
      <c r="O33" s="1145"/>
      <c r="P33" s="3410"/>
      <c r="Q33" s="1406" t="str">
        <f t="shared" si="11"/>
        <v>项目建筑规模</v>
      </c>
      <c r="R33" s="1147" t="s">
        <v>1707</v>
      </c>
      <c r="S33" s="1148" t="e">
        <f t="shared" si="12"/>
        <v>#N/A</v>
      </c>
      <c r="T33" s="1147" t="s">
        <v>1707</v>
      </c>
      <c r="U33" s="1148" t="e">
        <f t="shared" si="13"/>
        <v>#N/A</v>
      </c>
      <c r="V33" s="1147" t="s">
        <v>1707</v>
      </c>
      <c r="W33" s="1148" t="e">
        <f t="shared" si="14"/>
        <v>#N/A</v>
      </c>
      <c r="X33" s="1149"/>
      <c r="Y33" s="3414"/>
      <c r="Z33" s="1150" t="str">
        <f t="shared" si="18"/>
        <v>项目建筑规模</v>
      </c>
      <c r="AA33" s="1047" t="e">
        <f t="shared" si="15"/>
        <v>#N/A</v>
      </c>
      <c r="AB33" s="1047" t="e">
        <f t="shared" si="16"/>
        <v>#N/A</v>
      </c>
      <c r="AC33" s="1047" t="e">
        <f t="shared" si="17"/>
        <v>#N/A</v>
      </c>
    </row>
    <row r="34" spans="1:29" ht="15">
      <c r="A34" s="1154"/>
      <c r="B34" s="1079" t="s">
        <v>1729</v>
      </c>
      <c r="C34" s="1407"/>
      <c r="D34" s="708">
        <v>100</v>
      </c>
      <c r="E34" s="1584"/>
      <c r="F34" s="1185">
        <f>SUMIF(105:105,E34,106:106)-SUMIF(105:105,C34,106:106)+100</f>
        <v>100</v>
      </c>
      <c r="G34" s="1407"/>
      <c r="H34" s="708">
        <f>SUMIF(105:105,G34,106:106)-SUMIF(105:105,C34,106:106)+100</f>
        <v>100</v>
      </c>
      <c r="I34" s="1584"/>
      <c r="J34" s="708">
        <f>SUMIF(105:105,I34,106:106)-SUMIF(105:105,C34,106:106)+100</f>
        <v>100</v>
      </c>
      <c r="K34" s="1577"/>
      <c r="L34" s="1098"/>
      <c r="M34" s="1044"/>
      <c r="N34" s="1044"/>
      <c r="O34" s="1044"/>
      <c r="P34" s="3410"/>
      <c r="Q34" s="707" t="str">
        <f t="shared" si="11"/>
        <v>建筑结构</v>
      </c>
      <c r="R34" s="1109" t="s">
        <v>1707</v>
      </c>
      <c r="S34" s="1110">
        <f t="shared" si="12"/>
        <v>100</v>
      </c>
      <c r="T34" s="1109" t="s">
        <v>1707</v>
      </c>
      <c r="U34" s="1110">
        <f t="shared" si="13"/>
        <v>100</v>
      </c>
      <c r="V34" s="1109" t="s">
        <v>1707</v>
      </c>
      <c r="W34" s="1110">
        <f t="shared" si="14"/>
        <v>100</v>
      </c>
      <c r="X34" s="1048"/>
      <c r="Y34" s="3414"/>
      <c r="Z34" s="1047" t="str">
        <f t="shared" si="18"/>
        <v>建筑结构</v>
      </c>
      <c r="AA34" s="1047">
        <f t="shared" si="15"/>
        <v>1</v>
      </c>
      <c r="AB34" s="1047">
        <f t="shared" si="16"/>
        <v>1</v>
      </c>
      <c r="AC34" s="1047">
        <f t="shared" si="17"/>
        <v>1</v>
      </c>
    </row>
    <row r="35" spans="1:29" ht="15">
      <c r="A35" s="1154"/>
      <c r="B35" s="1079" t="s">
        <v>1730</v>
      </c>
      <c r="C35" s="1155"/>
      <c r="D35" s="708">
        <v>100</v>
      </c>
      <c r="E35" s="1582"/>
      <c r="F35" s="1185">
        <f>SUMIF(107:107,E35,108:108)-SUMIF(107:107,C35,108:108)+100</f>
        <v>100</v>
      </c>
      <c r="G35" s="1155"/>
      <c r="H35" s="708">
        <f>SUMIF(107:107,G35,108:108)-SUMIF(107:107,C35,108:108)+100</f>
        <v>100</v>
      </c>
      <c r="I35" s="1582"/>
      <c r="J35" s="708">
        <f>SUMIF(107:107,I35,108:108)-SUMIF(107:107,C35,108:108)+100</f>
        <v>100</v>
      </c>
      <c r="K35" s="1577"/>
      <c r="L35" s="1098"/>
      <c r="M35" s="1044"/>
      <c r="N35" s="1044"/>
      <c r="O35" s="1044"/>
      <c r="P35" s="3410"/>
      <c r="Q35" s="707" t="str">
        <f t="shared" si="11"/>
        <v>建筑品质</v>
      </c>
      <c r="R35" s="1109" t="s">
        <v>1707</v>
      </c>
      <c r="S35" s="1110">
        <f t="shared" si="12"/>
        <v>100</v>
      </c>
      <c r="T35" s="1109" t="s">
        <v>1707</v>
      </c>
      <c r="U35" s="1110">
        <f t="shared" si="13"/>
        <v>100</v>
      </c>
      <c r="V35" s="1109" t="s">
        <v>1707</v>
      </c>
      <c r="W35" s="1110">
        <f t="shared" si="14"/>
        <v>100</v>
      </c>
      <c r="X35" s="1048"/>
      <c r="Y35" s="3414"/>
      <c r="Z35" s="1047" t="str">
        <f t="shared" si="18"/>
        <v>建筑品质</v>
      </c>
      <c r="AA35" s="1047">
        <f t="shared" si="15"/>
        <v>1</v>
      </c>
      <c r="AB35" s="1047">
        <f t="shared" si="16"/>
        <v>1</v>
      </c>
      <c r="AC35" s="1047">
        <f t="shared" si="17"/>
        <v>1</v>
      </c>
    </row>
    <row r="36" spans="1:29" ht="15">
      <c r="A36" s="1154"/>
      <c r="B36" s="1079" t="s">
        <v>1731</v>
      </c>
      <c r="C36" s="1155"/>
      <c r="D36" s="708">
        <v>100</v>
      </c>
      <c r="E36" s="1582"/>
      <c r="F36" s="1185">
        <f>SUMIF(109:109,E36,110:110)-SUMIF(109:109,C36,110:110)+100</f>
        <v>100</v>
      </c>
      <c r="G36" s="1155"/>
      <c r="H36" s="708">
        <f>SUMIF(109:109,G36,110:110)-SUMIF(109:109,C36,110:110)+100</f>
        <v>100</v>
      </c>
      <c r="I36" s="1582"/>
      <c r="J36" s="708">
        <f>SUMIF(109:109,I36,110:110)-SUMIF(109:109,C36,110:110)+100</f>
        <v>100</v>
      </c>
      <c r="K36" s="1577"/>
      <c r="L36" s="1098"/>
      <c r="M36" s="1044"/>
      <c r="N36" s="1044"/>
      <c r="O36" s="1044"/>
      <c r="P36" s="3410"/>
      <c r="Q36" s="707" t="str">
        <f t="shared" si="11"/>
        <v>公共部分装修</v>
      </c>
      <c r="R36" s="1109" t="s">
        <v>1707</v>
      </c>
      <c r="S36" s="1110">
        <f t="shared" si="12"/>
        <v>100</v>
      </c>
      <c r="T36" s="1109" t="s">
        <v>1707</v>
      </c>
      <c r="U36" s="1110">
        <f t="shared" si="13"/>
        <v>100</v>
      </c>
      <c r="V36" s="1109" t="s">
        <v>1707</v>
      </c>
      <c r="W36" s="1110">
        <f t="shared" si="14"/>
        <v>100</v>
      </c>
      <c r="X36" s="1048"/>
      <c r="Y36" s="3414"/>
      <c r="Z36" s="1047" t="str">
        <f t="shared" si="18"/>
        <v>公共部分装修</v>
      </c>
      <c r="AA36" s="1047">
        <f t="shared" si="15"/>
        <v>1</v>
      </c>
      <c r="AB36" s="1047">
        <f t="shared" si="16"/>
        <v>1</v>
      </c>
      <c r="AC36" s="1047">
        <f t="shared" si="17"/>
        <v>1</v>
      </c>
    </row>
    <row r="37" spans="1:29" s="1011" customFormat="1" ht="15">
      <c r="A37" s="1156"/>
      <c r="B37" s="1079" t="s">
        <v>700</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77"/>
      <c r="L37" s="1064"/>
      <c r="M37" s="1065"/>
      <c r="N37" s="1065"/>
      <c r="O37" s="1065"/>
      <c r="P37" s="3410"/>
      <c r="Q37" s="811" t="str">
        <f t="shared" si="11"/>
        <v>成新度</v>
      </c>
      <c r="R37" s="1067" t="s">
        <v>1707</v>
      </c>
      <c r="S37" s="1068" t="e">
        <f t="shared" si="12"/>
        <v>#N/A</v>
      </c>
      <c r="T37" s="1067" t="s">
        <v>1707</v>
      </c>
      <c r="U37" s="1068" t="e">
        <f t="shared" si="13"/>
        <v>#N/A</v>
      </c>
      <c r="V37" s="1067" t="s">
        <v>1707</v>
      </c>
      <c r="W37" s="1068" t="e">
        <f t="shared" si="14"/>
        <v>#N/A</v>
      </c>
      <c r="X37" s="1069"/>
      <c r="Y37" s="3414"/>
      <c r="Z37" s="1071" t="str">
        <f t="shared" si="18"/>
        <v>成新度</v>
      </c>
      <c r="AA37" s="1071" t="e">
        <f t="shared" si="15"/>
        <v>#N/A</v>
      </c>
      <c r="AB37" s="1071" t="e">
        <f t="shared" si="16"/>
        <v>#N/A</v>
      </c>
      <c r="AC37" s="1071" t="e">
        <f t="shared" si="17"/>
        <v>#N/A</v>
      </c>
    </row>
    <row r="38" spans="1:29" ht="15">
      <c r="A38" s="1154"/>
      <c r="B38" s="1079" t="s">
        <v>1732</v>
      </c>
      <c r="C38" s="1155"/>
      <c r="D38" s="708">
        <v>100</v>
      </c>
      <c r="E38" s="1582"/>
      <c r="F38" s="1185">
        <f>SUMIF(114:114,E38,115:115)-SUMIF(114:114,C38,115:115)+100</f>
        <v>100</v>
      </c>
      <c r="G38" s="1155"/>
      <c r="H38" s="708">
        <f>SUMIF(114:114,G38,115:115)-SUMIF(114:114,C38,115:115)+100</f>
        <v>100</v>
      </c>
      <c r="I38" s="1582"/>
      <c r="J38" s="708">
        <f>SUMIF(114:114,I38,115:115)-SUMIF(114:114,C38,115:115)+100</f>
        <v>100</v>
      </c>
      <c r="K38" s="1577"/>
      <c r="L38" s="1098"/>
      <c r="M38" s="1044"/>
      <c r="N38" s="1044"/>
      <c r="O38" s="1044"/>
      <c r="P38" s="3410" t="s">
        <v>1727</v>
      </c>
      <c r="Q38" s="707" t="str">
        <f t="shared" si="11"/>
        <v>物业管理</v>
      </c>
      <c r="R38" s="1109" t="s">
        <v>1707</v>
      </c>
      <c r="S38" s="1110">
        <f t="shared" si="12"/>
        <v>100</v>
      </c>
      <c r="T38" s="1109" t="s">
        <v>1707</v>
      </c>
      <c r="U38" s="1110">
        <f t="shared" si="13"/>
        <v>100</v>
      </c>
      <c r="V38" s="1109" t="s">
        <v>1707</v>
      </c>
      <c r="W38" s="1110">
        <f t="shared" si="14"/>
        <v>100</v>
      </c>
      <c r="X38" s="1048"/>
      <c r="Y38" s="3414" t="s">
        <v>1727</v>
      </c>
      <c r="Z38" s="1047" t="str">
        <f t="shared" si="18"/>
        <v>物业管理</v>
      </c>
      <c r="AA38" s="1047">
        <f t="shared" si="15"/>
        <v>1</v>
      </c>
      <c r="AB38" s="1047">
        <f t="shared" si="16"/>
        <v>1</v>
      </c>
      <c r="AC38" s="1047">
        <f t="shared" si="17"/>
        <v>1</v>
      </c>
    </row>
    <row r="39" spans="1:29" ht="15">
      <c r="A39" s="1154"/>
      <c r="B39" s="1079" t="s">
        <v>1733</v>
      </c>
      <c r="C39" s="1155"/>
      <c r="D39" s="708">
        <v>100</v>
      </c>
      <c r="E39" s="1582"/>
      <c r="F39" s="1185">
        <f>SUMIF(116:116,E39,117:117)-SUMIF(116:116,C39,117:117)+100</f>
        <v>100</v>
      </c>
      <c r="G39" s="1155"/>
      <c r="H39" s="708">
        <f>SUMIF(116:116,G39,117:117)-SUMIF(116:116,C39,117:117)+100</f>
        <v>100</v>
      </c>
      <c r="I39" s="1582"/>
      <c r="J39" s="708">
        <f>SUMIF(116:116,I39,117:117)-SUMIF(116:116,C39,117:117)+100</f>
        <v>100</v>
      </c>
      <c r="K39" s="1577"/>
      <c r="L39" s="1098"/>
      <c r="M39" s="1044"/>
      <c r="N39" s="1044"/>
      <c r="O39" s="1044"/>
      <c r="P39" s="3410"/>
      <c r="Q39" s="707" t="str">
        <f t="shared" si="11"/>
        <v>市政基础设施</v>
      </c>
      <c r="R39" s="1109" t="s">
        <v>1707</v>
      </c>
      <c r="S39" s="1110">
        <f t="shared" si="12"/>
        <v>100</v>
      </c>
      <c r="T39" s="1109" t="s">
        <v>1707</v>
      </c>
      <c r="U39" s="1110">
        <f t="shared" si="13"/>
        <v>100</v>
      </c>
      <c r="V39" s="1109" t="s">
        <v>1707</v>
      </c>
      <c r="W39" s="1110">
        <f t="shared" si="14"/>
        <v>100</v>
      </c>
      <c r="X39" s="1048"/>
      <c r="Y39" s="3414"/>
      <c r="Z39" s="1047" t="str">
        <f t="shared" si="18"/>
        <v>市政基础设施</v>
      </c>
      <c r="AA39" s="1047">
        <f t="shared" si="15"/>
        <v>1</v>
      </c>
      <c r="AB39" s="1047">
        <f t="shared" si="16"/>
        <v>1</v>
      </c>
      <c r="AC39" s="1047">
        <f t="shared" si="17"/>
        <v>1</v>
      </c>
    </row>
    <row r="40" spans="1:29" ht="15">
      <c r="A40" s="1154"/>
      <c r="B40" s="1079" t="s">
        <v>1734</v>
      </c>
      <c r="C40" s="1155"/>
      <c r="D40" s="708">
        <v>100</v>
      </c>
      <c r="E40" s="1582"/>
      <c r="F40" s="1185">
        <f>SUMIF(118:118,E40,119:119)-SUMIF(118:118,C40,119:119)+100</f>
        <v>100</v>
      </c>
      <c r="G40" s="1155"/>
      <c r="H40" s="708">
        <f>SUMIF(118:118,G40,119:119)-SUMIF(118:118,C40,119:119)+100</f>
        <v>100</v>
      </c>
      <c r="I40" s="1582"/>
      <c r="J40" s="708">
        <f>SUMIF(118:118,I40,119:119)-SUMIF(118:118,C40,119:119)+100</f>
        <v>100</v>
      </c>
      <c r="K40" s="1577"/>
      <c r="L40" s="1098"/>
      <c r="M40" s="1044"/>
      <c r="N40" s="1044"/>
      <c r="O40" s="1044"/>
      <c r="P40" s="3410"/>
      <c r="Q40" s="707" t="str">
        <f t="shared" si="11"/>
        <v>房型</v>
      </c>
      <c r="R40" s="1109" t="s">
        <v>1707</v>
      </c>
      <c r="S40" s="1110">
        <f t="shared" si="12"/>
        <v>100</v>
      </c>
      <c r="T40" s="1109" t="s">
        <v>1707</v>
      </c>
      <c r="U40" s="1110">
        <f t="shared" si="13"/>
        <v>100</v>
      </c>
      <c r="V40" s="1109" t="s">
        <v>1707</v>
      </c>
      <c r="W40" s="1110">
        <f t="shared" si="14"/>
        <v>100</v>
      </c>
      <c r="X40" s="1048"/>
      <c r="Y40" s="3414"/>
      <c r="Z40" s="1047" t="str">
        <f t="shared" si="18"/>
        <v>房型</v>
      </c>
      <c r="AA40" s="1047">
        <f t="shared" si="15"/>
        <v>1</v>
      </c>
      <c r="AB40" s="1047">
        <f t="shared" si="16"/>
        <v>1</v>
      </c>
      <c r="AC40" s="1047">
        <f t="shared" si="17"/>
        <v>1</v>
      </c>
    </row>
    <row r="41" spans="1:29" s="1013" customFormat="1" ht="28.5">
      <c r="A41" s="1159"/>
      <c r="B41" s="1079" t="s">
        <v>1735</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78"/>
      <c r="L41" s="1090"/>
      <c r="M41" s="1145"/>
      <c r="N41" s="1145"/>
      <c r="O41" s="1145"/>
      <c r="P41" s="3410"/>
      <c r="Q41" s="1406" t="str">
        <f t="shared" si="11"/>
        <v>单套/主力户型建筑面积</v>
      </c>
      <c r="R41" s="1147" t="s">
        <v>1707</v>
      </c>
      <c r="S41" s="1148">
        <f t="shared" si="12"/>
        <v>100</v>
      </c>
      <c r="T41" s="1147" t="s">
        <v>1707</v>
      </c>
      <c r="U41" s="1148">
        <f t="shared" si="13"/>
        <v>100</v>
      </c>
      <c r="V41" s="1147" t="s">
        <v>1707</v>
      </c>
      <c r="W41" s="1148">
        <f t="shared" si="14"/>
        <v>100</v>
      </c>
      <c r="X41" s="1149"/>
      <c r="Y41" s="3414"/>
      <c r="Z41" s="1150" t="str">
        <f t="shared" si="18"/>
        <v>单套/主力户型建筑面积</v>
      </c>
      <c r="AA41" s="1047">
        <f t="shared" si="15"/>
        <v>1</v>
      </c>
      <c r="AB41" s="1047">
        <f t="shared" si="16"/>
        <v>1</v>
      </c>
      <c r="AC41" s="1047">
        <f t="shared" si="17"/>
        <v>1</v>
      </c>
    </row>
    <row r="42" spans="1:29" ht="15">
      <c r="A42" s="1154"/>
      <c r="B42" s="1079" t="s">
        <v>1736</v>
      </c>
      <c r="C42" s="1155"/>
      <c r="D42" s="708">
        <v>100</v>
      </c>
      <c r="E42" s="1582"/>
      <c r="F42" s="1185">
        <f>SUMIF(122:122,E42,123:123)-SUMIF(122:122,C42,123:123)+100</f>
        <v>100</v>
      </c>
      <c r="G42" s="1155"/>
      <c r="H42" s="708">
        <f>SUMIF(122:122,G42,123:123)-SUMIF(122:122,C42,123:123)+100</f>
        <v>100</v>
      </c>
      <c r="I42" s="1582"/>
      <c r="J42" s="708">
        <f>SUMIF(122:122,I42,123:123)-SUMIF(122:122,C42,123:123)+100</f>
        <v>100</v>
      </c>
      <c r="K42" s="1577"/>
      <c r="L42" s="1098"/>
      <c r="M42" s="1044"/>
      <c r="N42" s="1044"/>
      <c r="O42" s="1044"/>
      <c r="P42" s="3410"/>
      <c r="Q42" s="707" t="str">
        <f t="shared" si="11"/>
        <v>内部装修</v>
      </c>
      <c r="R42" s="1109" t="s">
        <v>1707</v>
      </c>
      <c r="S42" s="1110">
        <f t="shared" si="12"/>
        <v>100</v>
      </c>
      <c r="T42" s="1109" t="s">
        <v>1707</v>
      </c>
      <c r="U42" s="1110">
        <f t="shared" si="13"/>
        <v>100</v>
      </c>
      <c r="V42" s="1109" t="s">
        <v>1707</v>
      </c>
      <c r="W42" s="1110">
        <f t="shared" si="14"/>
        <v>100</v>
      </c>
      <c r="X42" s="1048"/>
      <c r="Y42" s="3414"/>
      <c r="Z42" s="1047" t="str">
        <f t="shared" si="18"/>
        <v>内部装修</v>
      </c>
      <c r="AA42" s="1047">
        <f t="shared" si="15"/>
        <v>1</v>
      </c>
      <c r="AB42" s="1047">
        <f t="shared" si="16"/>
        <v>1</v>
      </c>
      <c r="AC42" s="1047">
        <f t="shared" si="17"/>
        <v>1</v>
      </c>
    </row>
    <row r="43" spans="1:29" ht="15">
      <c r="A43" s="1154"/>
      <c r="B43" s="1079" t="s">
        <v>1737</v>
      </c>
      <c r="C43" s="1155"/>
      <c r="D43" s="708">
        <v>100</v>
      </c>
      <c r="E43" s="1582"/>
      <c r="F43" s="1185">
        <f>SUMIF(124:124,E43,125:125)-SUMIF(124:124,C43,125:125)+100</f>
        <v>100</v>
      </c>
      <c r="G43" s="1155"/>
      <c r="H43" s="708">
        <f>SUMIF(124:124,G43,125:125)-SUMIF(124:124,C43,125:125)+100</f>
        <v>100</v>
      </c>
      <c r="I43" s="1582"/>
      <c r="J43" s="708">
        <f>SUMIF(124:124,I43,125:125)-SUMIF(124:124,C43,125:125)+100</f>
        <v>100</v>
      </c>
      <c r="K43" s="1577"/>
      <c r="L43" s="1098"/>
      <c r="M43" s="1044"/>
      <c r="N43" s="1044"/>
      <c r="O43" s="1044"/>
      <c r="P43" s="3410"/>
      <c r="Q43" s="707" t="str">
        <f t="shared" si="11"/>
        <v>内部装修维护情况</v>
      </c>
      <c r="R43" s="1109" t="s">
        <v>1707</v>
      </c>
      <c r="S43" s="1110">
        <f t="shared" si="12"/>
        <v>100</v>
      </c>
      <c r="T43" s="1109" t="s">
        <v>1707</v>
      </c>
      <c r="U43" s="1110">
        <f t="shared" si="13"/>
        <v>100</v>
      </c>
      <c r="V43" s="1109" t="s">
        <v>1707</v>
      </c>
      <c r="W43" s="1110">
        <f t="shared" si="14"/>
        <v>100</v>
      </c>
      <c r="X43" s="1048"/>
      <c r="Y43" s="3414"/>
      <c r="Z43" s="1047" t="str">
        <f t="shared" si="18"/>
        <v>内部装修维护情况</v>
      </c>
      <c r="AA43" s="1047">
        <f t="shared" si="15"/>
        <v>1</v>
      </c>
      <c r="AB43" s="1047">
        <f t="shared" si="16"/>
        <v>1</v>
      </c>
      <c r="AC43" s="1047">
        <f t="shared" si="17"/>
        <v>1</v>
      </c>
    </row>
    <row r="44" spans="1:29" s="1011" customFormat="1" ht="1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78"/>
      <c r="L44" s="1064"/>
      <c r="M44" s="1065"/>
      <c r="N44" s="1065"/>
      <c r="O44" s="1065"/>
      <c r="P44" s="3410"/>
      <c r="Q44" s="811">
        <f t="shared" si="11"/>
        <v>111</v>
      </c>
      <c r="R44" s="1067" t="s">
        <v>1707</v>
      </c>
      <c r="S44" s="1068">
        <f t="shared" si="12"/>
        <v>100</v>
      </c>
      <c r="T44" s="1067" t="s">
        <v>1707</v>
      </c>
      <c r="U44" s="1068">
        <f t="shared" si="13"/>
        <v>100</v>
      </c>
      <c r="V44" s="1067" t="s">
        <v>1707</v>
      </c>
      <c r="W44" s="1068">
        <f t="shared" si="14"/>
        <v>100</v>
      </c>
      <c r="X44" s="1069"/>
      <c r="Y44" s="3414"/>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78"/>
      <c r="L45" s="1098"/>
      <c r="M45" s="1044"/>
      <c r="N45" s="1044"/>
      <c r="O45" s="1044"/>
      <c r="P45" s="3410"/>
      <c r="Q45" s="707">
        <f t="shared" si="11"/>
        <v>111</v>
      </c>
      <c r="R45" s="1109" t="s">
        <v>1707</v>
      </c>
      <c r="S45" s="1110">
        <f t="shared" si="12"/>
        <v>100</v>
      </c>
      <c r="T45" s="1109" t="s">
        <v>1707</v>
      </c>
      <c r="U45" s="1110">
        <f t="shared" si="13"/>
        <v>100</v>
      </c>
      <c r="V45" s="1109" t="s">
        <v>1707</v>
      </c>
      <c r="W45" s="1110">
        <f t="shared" si="14"/>
        <v>100</v>
      </c>
      <c r="X45" s="1048"/>
      <c r="Y45" s="3414"/>
      <c r="Z45" s="1047">
        <f t="shared" si="18"/>
        <v>111</v>
      </c>
      <c r="AA45" s="1047">
        <f t="shared" si="15"/>
        <v>1</v>
      </c>
      <c r="AB45" s="1047">
        <f t="shared" si="16"/>
        <v>1</v>
      </c>
      <c r="AC45" s="1047">
        <f t="shared" si="17"/>
        <v>1</v>
      </c>
    </row>
    <row r="46" spans="1:29" ht="1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78"/>
      <c r="L46" s="1098"/>
      <c r="M46" s="1044"/>
      <c r="N46" s="1044"/>
      <c r="O46" s="1044"/>
      <c r="P46" s="3411"/>
      <c r="Q46" s="707">
        <f t="shared" si="11"/>
        <v>111</v>
      </c>
      <c r="R46" s="1109" t="s">
        <v>1707</v>
      </c>
      <c r="S46" s="1110">
        <f t="shared" si="12"/>
        <v>100</v>
      </c>
      <c r="T46" s="1109" t="s">
        <v>1707</v>
      </c>
      <c r="U46" s="1110">
        <f t="shared" si="13"/>
        <v>100</v>
      </c>
      <c r="V46" s="1109" t="s">
        <v>1707</v>
      </c>
      <c r="W46" s="1110">
        <f t="shared" si="14"/>
        <v>100</v>
      </c>
      <c r="X46" s="1048"/>
      <c r="Y46" s="3415"/>
      <c r="Z46" s="1047">
        <f t="shared" si="18"/>
        <v>111</v>
      </c>
      <c r="AA46" s="1047">
        <f t="shared" si="15"/>
        <v>1</v>
      </c>
      <c r="AB46" s="1047">
        <f t="shared" si="16"/>
        <v>1</v>
      </c>
      <c r="AC46" s="1047">
        <f t="shared" si="17"/>
        <v>1</v>
      </c>
    </row>
    <row r="47" spans="1:29" ht="15">
      <c r="A47" s="1162" t="s">
        <v>1738</v>
      </c>
      <c r="B47" s="1411"/>
      <c r="C47" s="1412" t="s">
        <v>124</v>
      </c>
      <c r="D47" s="1165"/>
      <c r="E47" s="1166"/>
      <c r="F47" s="1167"/>
      <c r="G47" s="1168"/>
      <c r="H47" s="1169"/>
      <c r="I47" s="1166"/>
      <c r="J47" s="1169"/>
      <c r="K47" s="1585"/>
      <c r="L47" s="1171"/>
      <c r="M47" s="1044"/>
      <c r="N47" s="1044"/>
      <c r="O47" s="1044"/>
      <c r="P47" s="3404" t="str">
        <f>A47</f>
        <v>成交单价（元/平方米）</v>
      </c>
      <c r="Q47" s="3404"/>
      <c r="R47" s="3405">
        <f>E47</f>
        <v>0</v>
      </c>
      <c r="S47" s="3405"/>
      <c r="T47" s="3405">
        <f>G47</f>
        <v>0</v>
      </c>
      <c r="U47" s="3405"/>
      <c r="V47" s="3405">
        <f>I47</f>
        <v>0</v>
      </c>
      <c r="W47" s="3405"/>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586">
        <f>F48+H48+J48</f>
        <v>0</v>
      </c>
      <c r="L48" s="1171"/>
      <c r="M48" s="1044"/>
      <c r="N48" s="1044"/>
      <c r="O48" s="104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72"/>
      <c r="Y48" s="1172"/>
      <c r="Z48" s="1172"/>
      <c r="AA48" s="1172"/>
      <c r="AB48" s="1172"/>
      <c r="AC48" s="1172"/>
    </row>
    <row r="49" spans="1:29" ht="15">
      <c r="A49" s="1181" t="s">
        <v>1741</v>
      </c>
      <c r="B49" s="1182"/>
      <c r="C49" s="1587" t="e">
        <f>R49</f>
        <v>#DIV/0!</v>
      </c>
      <c r="D49" s="1053"/>
      <c r="E49" s="1053"/>
      <c r="F49" s="1053"/>
      <c r="G49" s="1053"/>
      <c r="H49" s="1053"/>
      <c r="I49" s="1053"/>
      <c r="J49" s="1053"/>
      <c r="K49" s="1588"/>
      <c r="L49" s="1171"/>
      <c r="M49" s="1044"/>
      <c r="N49" s="1044"/>
      <c r="O49" s="104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89"/>
    </row>
    <row r="55" spans="1:29" s="1014" customFormat="1">
      <c r="A55" s="1192"/>
      <c r="B55" s="1195"/>
      <c r="C55" s="1416"/>
      <c r="D55" s="1192"/>
      <c r="E55" s="1192"/>
      <c r="F55" s="1192"/>
      <c r="G55" s="1192"/>
      <c r="H55" s="1192"/>
      <c r="I55" s="1192"/>
      <c r="J55" s="1192"/>
      <c r="K55" s="1193"/>
      <c r="L55" s="1194"/>
      <c r="M55" s="1192"/>
      <c r="N55" s="1192"/>
      <c r="O55" s="1192"/>
      <c r="P55" s="1589"/>
    </row>
    <row r="56" spans="1:29">
      <c r="A56" s="1044"/>
      <c r="B56" s="1195"/>
      <c r="C56" s="1416"/>
      <c r="D56" s="1044"/>
      <c r="E56" s="1044"/>
      <c r="F56" s="1044"/>
      <c r="G56" s="1044"/>
      <c r="H56" s="1044"/>
      <c r="I56" s="1044"/>
      <c r="J56" s="1044"/>
      <c r="K56" s="1187"/>
      <c r="L56" s="1188"/>
      <c r="M56" s="1044"/>
      <c r="N56" s="1044"/>
      <c r="O56" s="1044"/>
    </row>
    <row r="57" spans="1:29" ht="21">
      <c r="A57" s="1233" t="s">
        <v>1745</v>
      </c>
      <c r="B57" s="1172"/>
      <c r="C57" s="1234"/>
      <c r="D57" s="1234"/>
      <c r="E57" s="1234"/>
      <c r="F57" s="1235"/>
      <c r="G57" s="1235"/>
      <c r="H57" s="1234"/>
      <c r="I57" s="1234"/>
      <c r="J57" s="1234"/>
      <c r="K57" s="1366"/>
      <c r="L57" s="1367"/>
      <c r="M57" s="1238"/>
      <c r="N57" s="1238"/>
      <c r="O57" s="1238"/>
      <c r="P57" s="1590"/>
      <c r="Q57" s="1508"/>
    </row>
    <row r="58" spans="1:29" s="1016" customFormat="1" ht="15">
      <c r="A58" s="1417" t="s">
        <v>1705</v>
      </c>
      <c r="B58" s="1418"/>
      <c r="C58" s="1591"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92"/>
    </row>
    <row r="59" spans="1:29" s="1011" customFormat="1" ht="15">
      <c r="A59" s="1126"/>
      <c r="B59" s="1593"/>
      <c r="C59" s="1421">
        <v>100</v>
      </c>
      <c r="D59" s="1537"/>
      <c r="E59" s="1263"/>
      <c r="F59" s="1263"/>
      <c r="G59" s="1263"/>
      <c r="H59" s="1263"/>
      <c r="I59" s="1263"/>
      <c r="J59" s="1263"/>
      <c r="K59" s="1263"/>
      <c r="L59" s="1263"/>
      <c r="M59" s="1093"/>
      <c r="N59" s="1263"/>
      <c r="O59" s="1093"/>
      <c r="P59" s="1594"/>
    </row>
    <row r="60" spans="1:29" s="1011" customFormat="1" ht="15">
      <c r="A60" s="1249" t="s">
        <v>1746</v>
      </c>
      <c r="B60" s="1250"/>
      <c r="C60" s="1251"/>
      <c r="D60" s="1252"/>
      <c r="E60" s="1252"/>
      <c r="F60" s="1252"/>
      <c r="G60" s="1252"/>
      <c r="H60" s="1252"/>
      <c r="I60" s="1252"/>
      <c r="J60" s="1252"/>
      <c r="K60" s="1252"/>
      <c r="L60" s="1252"/>
      <c r="M60" s="1253"/>
      <c r="N60" s="1252"/>
      <c r="O60" s="1253"/>
      <c r="P60" s="1594"/>
      <c r="Q60" s="1508"/>
    </row>
    <row r="61" spans="1:29" s="1011" customFormat="1" ht="15">
      <c r="A61" s="1255" t="s">
        <v>1708</v>
      </c>
      <c r="B61" s="1256"/>
      <c r="C61" s="1257" t="s">
        <v>1747</v>
      </c>
      <c r="D61" s="1258"/>
      <c r="E61" s="1258"/>
      <c r="F61" s="1258"/>
      <c r="G61" s="1258"/>
      <c r="H61" s="1258"/>
      <c r="I61" s="1258"/>
      <c r="J61" s="1258"/>
      <c r="K61" s="1258"/>
      <c r="L61" s="1259"/>
      <c r="M61" s="1260"/>
      <c r="N61" s="1511"/>
      <c r="O61" s="1511"/>
      <c r="P61" s="1595"/>
      <c r="Q61" s="1508"/>
    </row>
    <row r="62" spans="1:29" s="1011" customFormat="1" ht="15">
      <c r="A62" s="1255"/>
      <c r="B62" s="1256"/>
      <c r="C62" s="1537">
        <v>100</v>
      </c>
      <c r="D62" s="1263"/>
      <c r="E62" s="1263"/>
      <c r="F62" s="1263"/>
      <c r="G62" s="1263"/>
      <c r="H62" s="1263"/>
      <c r="I62" s="1263"/>
      <c r="J62" s="1263"/>
      <c r="K62" s="1263"/>
      <c r="L62" s="1263"/>
      <c r="M62" s="1264"/>
      <c r="N62" s="1511"/>
      <c r="O62" s="1511"/>
      <c r="P62" s="1594"/>
      <c r="Q62" s="1508"/>
    </row>
    <row r="63" spans="1:29">
      <c r="A63" s="1103" t="s">
        <v>1748</v>
      </c>
      <c r="B63" s="1265" t="s">
        <v>1711</v>
      </c>
      <c r="C63" s="699">
        <f>C9</f>
        <v>0</v>
      </c>
      <c r="D63" s="1153"/>
      <c r="E63" s="1153"/>
      <c r="F63" s="1153"/>
      <c r="G63" s="1153"/>
      <c r="H63" s="1153"/>
      <c r="I63" s="1153"/>
      <c r="J63" s="1153"/>
      <c r="K63" s="1266"/>
      <c r="L63" s="1267"/>
      <c r="M63" s="1268"/>
      <c r="N63" s="1513"/>
      <c r="O63" s="1513"/>
      <c r="P63" s="1596"/>
      <c r="Q63" s="1508"/>
    </row>
    <row r="64" spans="1:29" ht="15">
      <c r="A64" s="1086"/>
      <c r="B64" s="1270"/>
      <c r="C64" s="1271">
        <v>100</v>
      </c>
      <c r="D64" s="1271"/>
      <c r="E64" s="1271"/>
      <c r="F64" s="1271"/>
      <c r="G64" s="1271"/>
      <c r="H64" s="1271"/>
      <c r="I64" s="1271"/>
      <c r="J64" s="1271"/>
      <c r="K64" s="1271"/>
      <c r="L64" s="1271"/>
      <c r="M64" s="1272"/>
      <c r="N64" s="1515"/>
      <c r="O64" s="1515"/>
      <c r="P64" s="1596"/>
      <c r="Q64" s="1508"/>
    </row>
    <row r="65" spans="1:17" ht="27">
      <c r="A65" s="1086"/>
      <c r="B65" s="1274" t="s">
        <v>1714</v>
      </c>
      <c r="C65" s="1323"/>
      <c r="D65" s="1323"/>
      <c r="E65" s="1323"/>
      <c r="F65" s="1323"/>
      <c r="G65" s="1323"/>
      <c r="H65" s="1323"/>
      <c r="I65" s="1323"/>
      <c r="J65" s="1323"/>
      <c r="K65" s="1323"/>
      <c r="L65" s="1323"/>
      <c r="M65" s="1323"/>
      <c r="N65" s="1515"/>
      <c r="O65" s="1515"/>
      <c r="P65" s="1596"/>
      <c r="Q65" s="1508"/>
    </row>
    <row r="66" spans="1:17" ht="15">
      <c r="A66" s="1086"/>
      <c r="B66" s="1279"/>
      <c r="C66" s="1271"/>
      <c r="D66" s="1271"/>
      <c r="E66" s="1271"/>
      <c r="F66" s="1271"/>
      <c r="G66" s="1271"/>
      <c r="H66" s="1271"/>
      <c r="I66" s="1271"/>
      <c r="J66" s="1271"/>
      <c r="K66" s="1271"/>
      <c r="L66" s="1271"/>
      <c r="M66" s="1272"/>
      <c r="N66" s="1515"/>
      <c r="O66" s="1515"/>
      <c r="P66" s="1596"/>
      <c r="Q66" s="1508"/>
    </row>
    <row r="67" spans="1:17" ht="15">
      <c r="A67" s="1086"/>
      <c r="B67" s="1282" t="s">
        <v>1715</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96"/>
      <c r="Q67" s="1508"/>
    </row>
    <row r="68" spans="1:17" ht="15">
      <c r="A68" s="1086"/>
      <c r="B68" s="1284"/>
      <c r="C68" s="1095"/>
      <c r="D68" s="1095"/>
      <c r="E68" s="1095"/>
      <c r="F68" s="1095"/>
      <c r="G68" s="1095"/>
      <c r="H68" s="1095"/>
      <c r="I68" s="1095"/>
      <c r="J68" s="1095"/>
      <c r="K68" s="1285"/>
      <c r="L68" s="1286"/>
      <c r="M68" s="1287"/>
      <c r="N68" s="1513"/>
      <c r="O68" s="1513"/>
      <c r="P68" s="1596"/>
      <c r="Q68" s="1508"/>
    </row>
    <row r="69" spans="1:17" ht="15">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96"/>
      <c r="Q69" s="1508"/>
    </row>
    <row r="70" spans="1:17" s="1013" customFormat="1" ht="15">
      <c r="A70" s="1288"/>
      <c r="B70" s="1274">
        <f>B12</f>
        <v>111</v>
      </c>
      <c r="C70" s="1289"/>
      <c r="D70" s="1289"/>
      <c r="E70" s="1289"/>
      <c r="F70" s="1289"/>
      <c r="G70" s="1289"/>
      <c r="H70" s="1290"/>
      <c r="I70" s="1290"/>
      <c r="J70" s="1290"/>
      <c r="K70" s="1290"/>
      <c r="L70" s="1291"/>
      <c r="M70" s="1292"/>
      <c r="N70" s="1516"/>
      <c r="O70" s="1516"/>
      <c r="P70" s="1597"/>
      <c r="Q70" s="1518"/>
    </row>
    <row r="71" spans="1:17" s="1013" customFormat="1" ht="15">
      <c r="A71" s="1288"/>
      <c r="B71" s="1279"/>
      <c r="C71" s="1295"/>
      <c r="D71" s="1271"/>
      <c r="E71" s="1271"/>
      <c r="F71" s="1271"/>
      <c r="G71" s="1271"/>
      <c r="H71" s="1271"/>
      <c r="I71" s="1271"/>
      <c r="J71" s="1271"/>
      <c r="K71" s="1271"/>
      <c r="L71" s="1271"/>
      <c r="M71" s="1272"/>
      <c r="N71" s="1515"/>
      <c r="O71" s="1515"/>
      <c r="P71" s="1597"/>
      <c r="Q71" s="1518"/>
    </row>
    <row r="72" spans="1:17" s="1013" customFormat="1" ht="15">
      <c r="A72" s="1288"/>
      <c r="B72" s="1274">
        <f>B13</f>
        <v>111</v>
      </c>
      <c r="C72" s="1289"/>
      <c r="D72" s="1289"/>
      <c r="E72" s="1289"/>
      <c r="F72" s="1289"/>
      <c r="G72" s="1289"/>
      <c r="H72" s="1290"/>
      <c r="I72" s="1290"/>
      <c r="J72" s="1290"/>
      <c r="K72" s="1290"/>
      <c r="L72" s="1291"/>
      <c r="M72" s="1292"/>
      <c r="N72" s="1516"/>
      <c r="O72" s="1516"/>
      <c r="P72" s="1598"/>
      <c r="Q72" s="1519"/>
    </row>
    <row r="73" spans="1:17" s="1013" customFormat="1" ht="15">
      <c r="A73" s="1288"/>
      <c r="B73" s="1279"/>
      <c r="C73" s="1295"/>
      <c r="D73" s="1295"/>
      <c r="E73" s="1295"/>
      <c r="F73" s="1295"/>
      <c r="G73" s="1295"/>
      <c r="H73" s="1297"/>
      <c r="I73" s="1297"/>
      <c r="J73" s="1297"/>
      <c r="K73" s="1297"/>
      <c r="L73" s="1297"/>
      <c r="M73" s="1298"/>
      <c r="N73" s="1516"/>
      <c r="O73" s="1516"/>
      <c r="P73" s="1597"/>
      <c r="Q73" s="1518"/>
    </row>
    <row r="74" spans="1:17" s="1013" customFormat="1" ht="15">
      <c r="A74" s="1288"/>
      <c r="B74" s="1282">
        <f>B14</f>
        <v>111</v>
      </c>
      <c r="C74" s="1289"/>
      <c r="D74" s="1289"/>
      <c r="E74" s="1289"/>
      <c r="F74" s="1289"/>
      <c r="G74" s="1258"/>
      <c r="H74" s="1299"/>
      <c r="I74" s="1299"/>
      <c r="J74" s="1299"/>
      <c r="K74" s="1299"/>
      <c r="L74" s="1300"/>
      <c r="M74" s="1301"/>
      <c r="N74" s="1516"/>
      <c r="O74" s="1516"/>
      <c r="P74" s="1599"/>
      <c r="Q74" s="1518"/>
    </row>
    <row r="75" spans="1:17" s="1013" customFormat="1" ht="15">
      <c r="A75" s="1303"/>
      <c r="B75" s="1304"/>
      <c r="C75" s="1305"/>
      <c r="D75" s="1305"/>
      <c r="E75" s="1305"/>
      <c r="F75" s="1305"/>
      <c r="G75" s="1305"/>
      <c r="H75" s="1306"/>
      <c r="I75" s="1306"/>
      <c r="J75" s="1306"/>
      <c r="K75" s="1306"/>
      <c r="L75" s="1306"/>
      <c r="M75" s="1307"/>
      <c r="N75" s="1516"/>
      <c r="O75" s="1516"/>
      <c r="P75" s="1597"/>
      <c r="Q75" s="1518"/>
    </row>
    <row r="76" spans="1:17">
      <c r="A76" s="1103" t="s">
        <v>1716</v>
      </c>
      <c r="B76" s="1265" t="s">
        <v>1717</v>
      </c>
      <c r="C76" s="1308" t="s">
        <v>1749</v>
      </c>
      <c r="D76" s="1308" t="s">
        <v>1750</v>
      </c>
      <c r="E76" s="1308" t="s">
        <v>1751</v>
      </c>
      <c r="F76" s="1308" t="s">
        <v>1752</v>
      </c>
      <c r="G76" s="1308" t="s">
        <v>1753</v>
      </c>
      <c r="H76" s="699"/>
      <c r="I76" s="699"/>
      <c r="J76" s="699"/>
      <c r="K76" s="1309"/>
      <c r="L76" s="1310"/>
      <c r="M76" s="1311"/>
      <c r="N76" s="1513"/>
      <c r="O76" s="1513"/>
      <c r="P76" s="1600"/>
      <c r="Q76" s="1508"/>
    </row>
    <row r="77" spans="1:17" ht="15">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96"/>
      <c r="Q77" s="1508"/>
    </row>
    <row r="78" spans="1:17" ht="15">
      <c r="A78" s="1086"/>
      <c r="B78" s="1274" t="s">
        <v>1719</v>
      </c>
      <c r="C78" s="1313" t="s">
        <v>1749</v>
      </c>
      <c r="D78" s="1313" t="s">
        <v>1750</v>
      </c>
      <c r="E78" s="1313" t="s">
        <v>1751</v>
      </c>
      <c r="F78" s="1313" t="s">
        <v>1752</v>
      </c>
      <c r="G78" s="1313" t="s">
        <v>1753</v>
      </c>
      <c r="H78" s="1275"/>
      <c r="I78" s="1275"/>
      <c r="J78" s="1275"/>
      <c r="K78" s="1276"/>
      <c r="L78" s="1277"/>
      <c r="M78" s="1278"/>
      <c r="N78" s="1513"/>
      <c r="O78" s="1513"/>
      <c r="P78" s="1596"/>
      <c r="Q78" s="1508"/>
    </row>
    <row r="79" spans="1:17" ht="15">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96"/>
      <c r="Q79" s="1508"/>
    </row>
    <row r="80" spans="1:17" ht="15">
      <c r="A80" s="1086"/>
      <c r="B80" s="1274" t="s">
        <v>1720</v>
      </c>
      <c r="C80" s="1313" t="s">
        <v>1749</v>
      </c>
      <c r="D80" s="1313" t="s">
        <v>1750</v>
      </c>
      <c r="E80" s="1313" t="s">
        <v>1751</v>
      </c>
      <c r="F80" s="1313" t="s">
        <v>1752</v>
      </c>
      <c r="G80" s="1313" t="s">
        <v>1753</v>
      </c>
      <c r="H80" s="1275"/>
      <c r="I80" s="1275"/>
      <c r="J80" s="1275"/>
      <c r="K80" s="1276"/>
      <c r="L80" s="1277"/>
      <c r="M80" s="1278"/>
      <c r="N80" s="1513"/>
      <c r="O80" s="1513"/>
      <c r="P80" s="1596"/>
      <c r="Q80" s="1508"/>
    </row>
    <row r="81" spans="1:17" ht="15">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96"/>
      <c r="Q81" s="1508"/>
    </row>
    <row r="82" spans="1:17" ht="15">
      <c r="A82" s="1086"/>
      <c r="B82" s="1282" t="s">
        <v>1721</v>
      </c>
      <c r="C82" s="1275" t="s">
        <v>1754</v>
      </c>
      <c r="D82" s="1275" t="s">
        <v>1755</v>
      </c>
      <c r="E82" s="1275" t="s">
        <v>1756</v>
      </c>
      <c r="F82" s="1275" t="s">
        <v>1757</v>
      </c>
      <c r="G82" s="1275" t="s">
        <v>1758</v>
      </c>
      <c r="H82" s="1275"/>
      <c r="I82" s="1275"/>
      <c r="J82" s="1275"/>
      <c r="K82" s="1275"/>
      <c r="L82" s="1275"/>
      <c r="M82" s="1422"/>
      <c r="N82" s="1515"/>
      <c r="O82" s="1515"/>
      <c r="P82" s="1596"/>
      <c r="Q82" s="1508"/>
    </row>
    <row r="83" spans="1:17" ht="15">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96"/>
      <c r="Q83" s="1508"/>
    </row>
    <row r="84" spans="1:17" ht="15">
      <c r="A84" s="1086"/>
      <c r="B84" s="1274" t="s">
        <v>1722</v>
      </c>
      <c r="C84" s="1313" t="s">
        <v>1749</v>
      </c>
      <c r="D84" s="1313" t="s">
        <v>1750</v>
      </c>
      <c r="E84" s="1313" t="s">
        <v>1751</v>
      </c>
      <c r="F84" s="1313" t="s">
        <v>1752</v>
      </c>
      <c r="G84" s="1313" t="s">
        <v>1753</v>
      </c>
      <c r="H84" s="1275"/>
      <c r="I84" s="1275"/>
      <c r="J84" s="1275"/>
      <c r="K84" s="1276"/>
      <c r="L84" s="1277"/>
      <c r="M84" s="1278"/>
      <c r="N84" s="1513"/>
      <c r="O84" s="1513"/>
      <c r="P84" s="1596"/>
      <c r="Q84" s="1508"/>
    </row>
    <row r="85" spans="1:17" ht="15">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96"/>
      <c r="Q85" s="1508"/>
    </row>
    <row r="86" spans="1:17" s="1011" customFormat="1" ht="15">
      <c r="A86" s="1092"/>
      <c r="B86" s="1274" t="s">
        <v>1723</v>
      </c>
      <c r="C86" s="1289"/>
      <c r="D86" s="1289"/>
      <c r="E86" s="1289"/>
      <c r="F86" s="1289"/>
      <c r="G86" s="1289"/>
      <c r="H86" s="1289"/>
      <c r="I86" s="1289"/>
      <c r="J86" s="1289"/>
      <c r="K86" s="1289"/>
      <c r="L86" s="1423"/>
      <c r="M86" s="1424"/>
      <c r="N86" s="1511"/>
      <c r="O86" s="1511"/>
      <c r="P86" s="1596"/>
      <c r="Q86" s="1508"/>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96"/>
      <c r="Q87" s="1508"/>
    </row>
    <row r="88" spans="1:17" s="1011" customFormat="1" ht="15">
      <c r="A88" s="1092"/>
      <c r="B88" s="1274" t="s">
        <v>1724</v>
      </c>
      <c r="C88" s="1289"/>
      <c r="D88" s="1289"/>
      <c r="E88" s="1289"/>
      <c r="F88" s="1539"/>
      <c r="G88" s="1289"/>
      <c r="H88" s="1289"/>
      <c r="I88" s="1289"/>
      <c r="J88" s="1289"/>
      <c r="K88" s="1289"/>
      <c r="L88" s="1289"/>
      <c r="M88" s="1424"/>
      <c r="N88" s="1511"/>
      <c r="O88" s="1511"/>
      <c r="P88" s="1596"/>
      <c r="Q88" s="1508"/>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96"/>
      <c r="Q89" s="1508"/>
    </row>
    <row r="90" spans="1:17" s="1013" customFormat="1" ht="15">
      <c r="A90" s="1288"/>
      <c r="B90" s="1274">
        <f>B27</f>
        <v>111</v>
      </c>
      <c r="C90" s="1289"/>
      <c r="D90" s="1289"/>
      <c r="E90" s="1289"/>
      <c r="F90" s="1289"/>
      <c r="G90" s="1289"/>
      <c r="H90" s="1290"/>
      <c r="I90" s="1290"/>
      <c r="J90" s="1290"/>
      <c r="K90" s="1290"/>
      <c r="L90" s="1291"/>
      <c r="M90" s="1292"/>
      <c r="N90" s="1516"/>
      <c r="O90" s="1516"/>
      <c r="P90" s="1597"/>
      <c r="Q90" s="1518"/>
    </row>
    <row r="91" spans="1:17" s="1013" customFormat="1" ht="15">
      <c r="A91" s="1288"/>
      <c r="B91" s="1279"/>
      <c r="C91" s="1295"/>
      <c r="D91" s="1295"/>
      <c r="E91" s="1295"/>
      <c r="F91" s="1295"/>
      <c r="G91" s="1295"/>
      <c r="H91" s="1297"/>
      <c r="I91" s="1297"/>
      <c r="J91" s="1297"/>
      <c r="K91" s="1297"/>
      <c r="L91" s="1297"/>
      <c r="M91" s="1298"/>
      <c r="N91" s="1516"/>
      <c r="O91" s="1516"/>
      <c r="P91" s="1597"/>
      <c r="Q91" s="1518"/>
    </row>
    <row r="92" spans="1:17" ht="15">
      <c r="A92" s="1086"/>
      <c r="B92" s="1274">
        <f>B28</f>
        <v>111</v>
      </c>
      <c r="C92" s="1289"/>
      <c r="D92" s="1289"/>
      <c r="E92" s="1289"/>
      <c r="F92" s="1289"/>
      <c r="G92" s="1323"/>
      <c r="H92" s="1323"/>
      <c r="I92" s="1323"/>
      <c r="J92" s="1323"/>
      <c r="K92" s="1324"/>
      <c r="L92" s="1325"/>
      <c r="M92" s="1326"/>
      <c r="N92" s="1513"/>
      <c r="O92" s="1513"/>
      <c r="P92" s="1596"/>
      <c r="Q92" s="1508"/>
    </row>
    <row r="93" spans="1:17" ht="15">
      <c r="A93" s="1086"/>
      <c r="B93" s="1279"/>
      <c r="C93" s="1295"/>
      <c r="D93" s="1271"/>
      <c r="E93" s="1271"/>
      <c r="F93" s="1271"/>
      <c r="G93" s="1271"/>
      <c r="H93" s="1271"/>
      <c r="I93" s="1271"/>
      <c r="J93" s="1271"/>
      <c r="K93" s="1271"/>
      <c r="L93" s="1271"/>
      <c r="M93" s="1272"/>
      <c r="N93" s="1515"/>
      <c r="O93" s="1515"/>
      <c r="P93" s="1596"/>
      <c r="Q93" s="1508"/>
    </row>
    <row r="94" spans="1:17" ht="15">
      <c r="A94" s="1086"/>
      <c r="B94" s="1274">
        <f>B29</f>
        <v>111</v>
      </c>
      <c r="C94" s="1289"/>
      <c r="D94" s="1289"/>
      <c r="E94" s="1289"/>
      <c r="F94" s="1289"/>
      <c r="G94" s="1323"/>
      <c r="H94" s="1323"/>
      <c r="I94" s="1323"/>
      <c r="J94" s="1323"/>
      <c r="K94" s="1324"/>
      <c r="L94" s="1325"/>
      <c r="M94" s="1326"/>
      <c r="N94" s="1513"/>
      <c r="O94" s="1513"/>
      <c r="P94" s="1596"/>
      <c r="Q94" s="1508"/>
    </row>
    <row r="95" spans="1:17" ht="15">
      <c r="A95" s="1086"/>
      <c r="B95" s="1279"/>
      <c r="C95" s="1295"/>
      <c r="D95" s="1295"/>
      <c r="E95" s="1295"/>
      <c r="F95" s="1295"/>
      <c r="G95" s="1271"/>
      <c r="H95" s="1271"/>
      <c r="I95" s="1271"/>
      <c r="J95" s="1271"/>
      <c r="K95" s="1271"/>
      <c r="L95" s="1271"/>
      <c r="M95" s="1272"/>
      <c r="N95" s="1515"/>
      <c r="O95" s="1515"/>
      <c r="P95" s="1596"/>
      <c r="Q95" s="1508"/>
    </row>
    <row r="96" spans="1:17" ht="15">
      <c r="A96" s="1086"/>
      <c r="B96" s="1274">
        <f>B30</f>
        <v>111</v>
      </c>
      <c r="C96" s="1289"/>
      <c r="D96" s="1289"/>
      <c r="E96" s="1289"/>
      <c r="F96" s="1289"/>
      <c r="G96" s="1323"/>
      <c r="H96" s="1323"/>
      <c r="I96" s="1323"/>
      <c r="J96" s="1323"/>
      <c r="K96" s="1324"/>
      <c r="L96" s="1325"/>
      <c r="M96" s="1326"/>
      <c r="N96" s="1513"/>
      <c r="O96" s="1513"/>
      <c r="P96" s="1596"/>
      <c r="Q96" s="1508"/>
    </row>
    <row r="97" spans="1:17" ht="15">
      <c r="A97" s="1086"/>
      <c r="B97" s="1279"/>
      <c r="C97" s="1305"/>
      <c r="D97" s="1305"/>
      <c r="E97" s="1305"/>
      <c r="F97" s="1305"/>
      <c r="G97" s="1271"/>
      <c r="H97" s="1271"/>
      <c r="I97" s="1271"/>
      <c r="J97" s="1271"/>
      <c r="K97" s="1271"/>
      <c r="L97" s="1271"/>
      <c r="M97" s="1272"/>
      <c r="N97" s="1515"/>
      <c r="O97" s="1515"/>
      <c r="P97" s="1596"/>
      <c r="Q97" s="1508"/>
    </row>
    <row r="98" spans="1:17" ht="15">
      <c r="A98" s="1086"/>
      <c r="B98" s="1282">
        <f>B31</f>
        <v>111</v>
      </c>
      <c r="C98" s="1327"/>
      <c r="D98" s="1327"/>
      <c r="E98" s="1327"/>
      <c r="F98" s="1327"/>
      <c r="G98" s="1327"/>
      <c r="H98" s="1327"/>
      <c r="I98" s="1327"/>
      <c r="J98" s="1327"/>
      <c r="K98" s="1328"/>
      <c r="L98" s="1329"/>
      <c r="M98" s="1330"/>
      <c r="N98" s="1513"/>
      <c r="O98" s="1513"/>
      <c r="P98" s="1596"/>
      <c r="Q98" s="1508"/>
    </row>
    <row r="99" spans="1:17" ht="15">
      <c r="A99" s="1099"/>
      <c r="B99" s="1304"/>
      <c r="C99" s="1331"/>
      <c r="D99" s="1331"/>
      <c r="E99" s="1331"/>
      <c r="F99" s="1331"/>
      <c r="G99" s="1331"/>
      <c r="H99" s="1331"/>
      <c r="I99" s="1331"/>
      <c r="J99" s="1331"/>
      <c r="K99" s="1331"/>
      <c r="L99" s="1331"/>
      <c r="M99" s="1332"/>
      <c r="N99" s="1515"/>
      <c r="O99" s="1515"/>
      <c r="P99" s="1596"/>
      <c r="Q99" s="1508"/>
    </row>
    <row r="100" spans="1:17">
      <c r="A100" s="1103" t="s">
        <v>1725</v>
      </c>
      <c r="B100" s="1265" t="s">
        <v>1726</v>
      </c>
      <c r="C100" s="1153"/>
      <c r="D100" s="1153"/>
      <c r="E100" s="1153"/>
      <c r="F100" s="1153"/>
      <c r="G100" s="1153"/>
      <c r="H100" s="1153"/>
      <c r="I100" s="1153"/>
      <c r="J100" s="1153"/>
      <c r="K100" s="1266"/>
      <c r="L100" s="1267"/>
      <c r="M100" s="1268"/>
      <c r="N100" s="1513"/>
      <c r="O100" s="1513"/>
      <c r="P100" s="1596"/>
      <c r="Q100" s="1508"/>
    </row>
    <row r="101" spans="1:17" ht="15">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96"/>
      <c r="Q101" s="1508"/>
    </row>
    <row r="102" spans="1:17" ht="15">
      <c r="A102" s="1086"/>
      <c r="B102" s="1274" t="s">
        <v>1728</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96"/>
      <c r="Q102" s="1508"/>
    </row>
    <row r="103" spans="1:17" s="1013" customFormat="1">
      <c r="A103" s="1159"/>
      <c r="B103" s="1333"/>
      <c r="C103" s="1247"/>
      <c r="D103" s="1247"/>
      <c r="E103" s="1247"/>
      <c r="F103" s="1247"/>
      <c r="G103" s="1247"/>
      <c r="H103" s="1247"/>
      <c r="I103" s="1247"/>
      <c r="J103" s="1334"/>
      <c r="K103" s="1334"/>
      <c r="L103" s="1335"/>
      <c r="M103" s="1336"/>
      <c r="N103" s="1516"/>
      <c r="O103" s="1516"/>
      <c r="P103" s="1597"/>
      <c r="Q103" s="1518"/>
    </row>
    <row r="104" spans="1:17" s="1013" customFormat="1" ht="15">
      <c r="A104" s="1288"/>
      <c r="B104" s="1279"/>
      <c r="C104" s="1295"/>
      <c r="D104" s="1271"/>
      <c r="E104" s="1271"/>
      <c r="F104" s="1271"/>
      <c r="G104" s="1271"/>
      <c r="H104" s="1271"/>
      <c r="I104" s="1271"/>
      <c r="J104" s="1271"/>
      <c r="K104" s="1271"/>
      <c r="L104" s="1271"/>
      <c r="M104" s="1271"/>
      <c r="N104" s="1515"/>
      <c r="O104" s="1515"/>
      <c r="P104" s="1597"/>
      <c r="Q104" s="1518"/>
    </row>
    <row r="105" spans="1:17">
      <c r="A105" s="1154"/>
      <c r="B105" s="1274" t="s">
        <v>1729</v>
      </c>
      <c r="C105" s="1289"/>
      <c r="D105" s="1289"/>
      <c r="E105" s="1323"/>
      <c r="F105" s="1323"/>
      <c r="G105" s="1323"/>
      <c r="H105" s="1323"/>
      <c r="I105" s="1323"/>
      <c r="J105" s="1323"/>
      <c r="K105" s="1324"/>
      <c r="L105" s="1325"/>
      <c r="M105" s="1326"/>
      <c r="N105" s="1513"/>
      <c r="O105" s="1513"/>
      <c r="P105" s="1596"/>
      <c r="Q105" s="1508"/>
    </row>
    <row r="106" spans="1:17" ht="15">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96"/>
      <c r="Q106" s="1508"/>
    </row>
    <row r="107" spans="1:17">
      <c r="A107" s="1154"/>
      <c r="B107" s="1274" t="s">
        <v>1730</v>
      </c>
      <c r="C107" s="1323"/>
      <c r="D107" s="1323"/>
      <c r="E107" s="1323"/>
      <c r="F107" s="1323"/>
      <c r="G107" s="1323"/>
      <c r="H107" s="1323"/>
      <c r="I107" s="1323"/>
      <c r="J107" s="1323"/>
      <c r="K107" s="1324"/>
      <c r="L107" s="1325"/>
      <c r="M107" s="1326"/>
      <c r="N107" s="1513"/>
      <c r="O107" s="1513"/>
      <c r="P107" s="1596"/>
      <c r="Q107" s="1508"/>
    </row>
    <row r="108" spans="1:17" ht="15">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96"/>
      <c r="Q108" s="1508"/>
    </row>
    <row r="109" spans="1:17">
      <c r="A109" s="1154"/>
      <c r="B109" s="1274" t="s">
        <v>1731</v>
      </c>
      <c r="C109" s="1289"/>
      <c r="D109" s="1289"/>
      <c r="E109" s="1289"/>
      <c r="F109" s="1323"/>
      <c r="G109" s="1323"/>
      <c r="H109" s="1323"/>
      <c r="I109" s="1323"/>
      <c r="J109" s="1323"/>
      <c r="K109" s="1324"/>
      <c r="L109" s="1325"/>
      <c r="M109" s="1326"/>
      <c r="N109" s="1513"/>
      <c r="O109" s="1513"/>
      <c r="P109" s="1596"/>
      <c r="Q109" s="1508"/>
    </row>
    <row r="110" spans="1:17" ht="15">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96"/>
      <c r="Q110" s="1508"/>
    </row>
    <row r="111" spans="1:17" s="1013" customFormat="1">
      <c r="A111" s="1159"/>
      <c r="B111" s="1274" t="s">
        <v>700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97"/>
      <c r="Q111" s="1518"/>
    </row>
    <row r="112" spans="1:17" s="1013" customFormat="1">
      <c r="A112" s="1159"/>
      <c r="B112" s="1282"/>
      <c r="C112" s="811">
        <v>0.5</v>
      </c>
      <c r="D112" s="811">
        <v>0.6</v>
      </c>
      <c r="E112" s="811">
        <v>0.7</v>
      </c>
      <c r="F112" s="811">
        <v>0.8</v>
      </c>
      <c r="G112" s="811">
        <v>0.9</v>
      </c>
      <c r="H112" s="811">
        <v>1.0001</v>
      </c>
      <c r="I112" s="811"/>
      <c r="J112" s="1406"/>
      <c r="K112" s="1406"/>
      <c r="L112" s="1601"/>
      <c r="M112" s="1602"/>
      <c r="N112" s="1516"/>
      <c r="O112" s="1516"/>
      <c r="P112" s="1597"/>
      <c r="Q112" s="1518"/>
    </row>
    <row r="113" spans="1:17" s="1013" customFormat="1" ht="15">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97"/>
      <c r="Q113" s="1518"/>
    </row>
    <row r="114" spans="1:17">
      <c r="A114" s="1154"/>
      <c r="B114" s="1274" t="s">
        <v>1732</v>
      </c>
      <c r="C114" s="1289"/>
      <c r="D114" s="1289"/>
      <c r="E114" s="1323"/>
      <c r="F114" s="1323"/>
      <c r="G114" s="1323"/>
      <c r="H114" s="1323"/>
      <c r="I114" s="1323"/>
      <c r="J114" s="1323"/>
      <c r="K114" s="1324"/>
      <c r="L114" s="1325"/>
      <c r="M114" s="1326"/>
      <c r="N114" s="1513"/>
      <c r="O114" s="1513"/>
      <c r="P114" s="1596"/>
      <c r="Q114" s="1508"/>
    </row>
    <row r="115" spans="1:17" ht="15">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96"/>
      <c r="Q115" s="1508"/>
    </row>
    <row r="116" spans="1:17">
      <c r="A116" s="1154"/>
      <c r="B116" s="1274" t="s">
        <v>1733</v>
      </c>
      <c r="C116" s="1289"/>
      <c r="D116" s="1289"/>
      <c r="E116" s="1289"/>
      <c r="F116" s="1289"/>
      <c r="G116" s="1289"/>
      <c r="H116" s="1323"/>
      <c r="I116" s="1323"/>
      <c r="J116" s="1323"/>
      <c r="K116" s="1324"/>
      <c r="L116" s="1325"/>
      <c r="M116" s="1326"/>
      <c r="N116" s="1513"/>
      <c r="O116" s="1513"/>
      <c r="P116" s="1596"/>
      <c r="Q116" s="1508"/>
    </row>
    <row r="117" spans="1:17" ht="15">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96"/>
      <c r="Q117" s="1508"/>
    </row>
    <row r="118" spans="1:17">
      <c r="A118" s="1154"/>
      <c r="B118" s="1274" t="s">
        <v>1734</v>
      </c>
      <c r="C118" s="1323"/>
      <c r="D118" s="1323"/>
      <c r="E118" s="1323"/>
      <c r="F118" s="1323"/>
      <c r="G118" s="1323"/>
      <c r="H118" s="1323"/>
      <c r="I118" s="1323"/>
      <c r="J118" s="1323"/>
      <c r="K118" s="1324"/>
      <c r="L118" s="1325"/>
      <c r="M118" s="1326"/>
      <c r="N118" s="1513"/>
      <c r="O118" s="1513"/>
      <c r="P118" s="1596"/>
      <c r="Q118" s="1508"/>
    </row>
    <row r="119" spans="1:17" ht="15">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96"/>
      <c r="Q119" s="1508"/>
    </row>
    <row r="120" spans="1:17" s="1013" customFormat="1" ht="27.75">
      <c r="A120" s="1159"/>
      <c r="B120" s="1274" t="s">
        <v>1735</v>
      </c>
      <c r="C120" s="1289"/>
      <c r="D120" s="1289"/>
      <c r="E120" s="1289"/>
      <c r="F120" s="1289"/>
      <c r="G120" s="1289"/>
      <c r="H120" s="1289"/>
      <c r="I120" s="1289"/>
      <c r="J120" s="1289"/>
      <c r="K120" s="1289"/>
      <c r="L120" s="1423"/>
      <c r="M120" s="1424"/>
      <c r="N120" s="1516"/>
      <c r="O120" s="1516"/>
      <c r="P120" s="1597"/>
      <c r="Q120" s="1518"/>
    </row>
    <row r="121" spans="1:17" s="1013" customFormat="1" ht="15">
      <c r="A121" s="1288"/>
      <c r="B121" s="1270"/>
      <c r="C121" s="1295"/>
      <c r="D121" s="1271"/>
      <c r="E121" s="1271"/>
      <c r="F121" s="1271"/>
      <c r="G121" s="1271"/>
      <c r="H121" s="1271"/>
      <c r="I121" s="1271"/>
      <c r="J121" s="1271"/>
      <c r="K121" s="1271"/>
      <c r="L121" s="1271"/>
      <c r="M121" s="1271"/>
      <c r="N121" s="1516"/>
      <c r="O121" s="1516"/>
      <c r="P121" s="1597"/>
      <c r="Q121" s="1518"/>
    </row>
    <row r="122" spans="1:17">
      <c r="A122" s="1154"/>
      <c r="B122" s="1274" t="s">
        <v>1736</v>
      </c>
      <c r="C122" s="1289"/>
      <c r="D122" s="1289"/>
      <c r="E122" s="1289"/>
      <c r="F122" s="1323"/>
      <c r="G122" s="1323"/>
      <c r="H122" s="1323"/>
      <c r="I122" s="1323"/>
      <c r="J122" s="1323"/>
      <c r="K122" s="1324"/>
      <c r="L122" s="1325"/>
      <c r="M122" s="1326"/>
      <c r="N122" s="1513"/>
      <c r="O122" s="1513"/>
      <c r="P122" s="1596"/>
      <c r="Q122" s="1508"/>
    </row>
    <row r="123" spans="1:17" ht="15">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96"/>
      <c r="Q123" s="1508"/>
    </row>
    <row r="124" spans="1:17">
      <c r="A124" s="1154"/>
      <c r="B124" s="1274" t="s">
        <v>1737</v>
      </c>
      <c r="C124" s="1313" t="s">
        <v>1749</v>
      </c>
      <c r="D124" s="1313" t="s">
        <v>1750</v>
      </c>
      <c r="E124" s="1313" t="s">
        <v>1751</v>
      </c>
      <c r="F124" s="1313" t="s">
        <v>1752</v>
      </c>
      <c r="G124" s="1313" t="s">
        <v>1753</v>
      </c>
      <c r="H124" s="1275"/>
      <c r="I124" s="1275"/>
      <c r="J124" s="1275"/>
      <c r="K124" s="1276"/>
      <c r="L124" s="1277"/>
      <c r="M124" s="1278"/>
      <c r="N124" s="1513"/>
      <c r="O124" s="1513"/>
      <c r="P124" s="1597"/>
      <c r="Q124" s="1508"/>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96"/>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97"/>
      <c r="Q126" s="1518"/>
    </row>
    <row r="127" spans="1:17" s="1013" customFormat="1" ht="15">
      <c r="A127" s="1288"/>
      <c r="B127" s="1279"/>
      <c r="C127" s="1295"/>
      <c r="D127" s="1271"/>
      <c r="E127" s="1271"/>
      <c r="F127" s="1271"/>
      <c r="G127" s="1295"/>
      <c r="H127" s="1297"/>
      <c r="I127" s="1297"/>
      <c r="J127" s="1297"/>
      <c r="K127" s="1297"/>
      <c r="L127" s="1297"/>
      <c r="M127" s="1298"/>
      <c r="N127" s="1516"/>
      <c r="O127" s="1516"/>
      <c r="P127" s="1597"/>
      <c r="Q127" s="1518"/>
    </row>
    <row r="128" spans="1:17">
      <c r="A128" s="1154"/>
      <c r="B128" s="1274">
        <f>B45</f>
        <v>111</v>
      </c>
      <c r="C128" s="1289"/>
      <c r="D128" s="1289"/>
      <c r="E128" s="1289"/>
      <c r="F128" s="1289"/>
      <c r="G128" s="1323"/>
      <c r="H128" s="1323"/>
      <c r="I128" s="1323"/>
      <c r="J128" s="1323"/>
      <c r="K128" s="1324"/>
      <c r="L128" s="1325"/>
      <c r="M128" s="1326"/>
      <c r="N128" s="1513"/>
      <c r="O128" s="1513"/>
      <c r="P128" s="1596"/>
      <c r="Q128" s="1508"/>
    </row>
    <row r="129" spans="1:17" ht="15">
      <c r="A129" s="1086"/>
      <c r="B129" s="1279"/>
      <c r="C129" s="1295"/>
      <c r="D129" s="1295"/>
      <c r="E129" s="1295"/>
      <c r="F129" s="1295"/>
      <c r="G129" s="1271"/>
      <c r="H129" s="1271"/>
      <c r="I129" s="1271"/>
      <c r="J129" s="1271"/>
      <c r="K129" s="1271"/>
      <c r="L129" s="1271"/>
      <c r="M129" s="1272"/>
      <c r="N129" s="1515"/>
      <c r="O129" s="1515"/>
      <c r="P129" s="1596"/>
      <c r="Q129" s="1508"/>
    </row>
    <row r="130" spans="1:17">
      <c r="A130" s="1154"/>
      <c r="B130" s="1282">
        <f>B46</f>
        <v>111</v>
      </c>
      <c r="C130" s="1289"/>
      <c r="D130" s="1289"/>
      <c r="E130" s="1289"/>
      <c r="F130" s="1289"/>
      <c r="G130" s="1327"/>
      <c r="H130" s="1327"/>
      <c r="I130" s="1327"/>
      <c r="J130" s="1327"/>
      <c r="K130" s="1258"/>
      <c r="L130" s="1259"/>
      <c r="M130" s="1330"/>
      <c r="N130" s="1513"/>
      <c r="O130" s="1513"/>
      <c r="P130" s="1596"/>
      <c r="Q130" s="1508"/>
    </row>
    <row r="131" spans="1:17" ht="15">
      <c r="A131" s="1099"/>
      <c r="B131" s="1304"/>
      <c r="C131" s="1305"/>
      <c r="D131" s="1305"/>
      <c r="E131" s="1305"/>
      <c r="F131" s="1305"/>
      <c r="G131" s="1331"/>
      <c r="H131" s="1331"/>
      <c r="I131" s="1331"/>
      <c r="J131" s="1331"/>
      <c r="K131" s="1331"/>
      <c r="L131" s="1331"/>
      <c r="M131" s="1332"/>
      <c r="N131" s="1515"/>
      <c r="O131" s="1515"/>
      <c r="P131" s="1596"/>
      <c r="Q131" s="1508"/>
    </row>
    <row r="136" spans="1:17">
      <c r="B136" s="1603" t="s">
        <v>1759</v>
      </c>
    </row>
    <row r="137" spans="1:17" ht="15">
      <c r="B137" s="1604" t="s">
        <v>1760</v>
      </c>
      <c r="C137" s="1605"/>
      <c r="D137" s="1605"/>
      <c r="E137" s="1605"/>
      <c r="F137" s="1605"/>
      <c r="G137" s="1606"/>
      <c r="H137" s="1607"/>
      <c r="I137" s="1608" t="s">
        <v>1761</v>
      </c>
      <c r="J137" s="1605"/>
      <c r="K137" s="1609"/>
    </row>
    <row r="138" spans="1:17" ht="15">
      <c r="B138" s="1610"/>
      <c r="C138" s="1611" t="s">
        <v>1762</v>
      </c>
      <c r="D138" s="1611" t="s">
        <v>1763</v>
      </c>
      <c r="E138" s="1612" t="s">
        <v>1764</v>
      </c>
      <c r="F138" s="1613" t="s">
        <v>1765</v>
      </c>
      <c r="G138" s="1611" t="s">
        <v>1763</v>
      </c>
      <c r="H138" s="1614" t="s">
        <v>1764</v>
      </c>
      <c r="I138" s="1615"/>
      <c r="J138" s="1611" t="s">
        <v>1766</v>
      </c>
      <c r="K138" s="1614" t="s">
        <v>1767</v>
      </c>
    </row>
    <row r="139" spans="1:17" ht="15">
      <c r="B139" s="1616">
        <v>6</v>
      </c>
      <c r="C139" s="1617">
        <v>96</v>
      </c>
      <c r="D139" s="1618" t="s">
        <v>1768</v>
      </c>
      <c r="E139" s="1619">
        <v>100</v>
      </c>
      <c r="F139" s="1620">
        <v>102.5</v>
      </c>
      <c r="G139" s="1618" t="s">
        <v>1768</v>
      </c>
      <c r="H139" s="1621">
        <v>105</v>
      </c>
      <c r="I139" s="1622" t="s">
        <v>1769</v>
      </c>
      <c r="J139" s="1617">
        <v>20</v>
      </c>
      <c r="K139" s="1623">
        <f>C145/(J139-2)</f>
        <v>4.0555555555555596E-3</v>
      </c>
    </row>
    <row r="140" spans="1:17" ht="15">
      <c r="B140" s="1624">
        <v>5</v>
      </c>
      <c r="C140" s="1625">
        <v>100</v>
      </c>
      <c r="D140" s="1625"/>
      <c r="E140" s="1626"/>
      <c r="F140" s="1627">
        <v>102</v>
      </c>
      <c r="G140" s="1625"/>
      <c r="H140" s="1628"/>
      <c r="I140" s="1629" t="s">
        <v>1770</v>
      </c>
      <c r="J140" s="419">
        <f>ROUNDUP((J139-1)/2,0)</f>
        <v>10</v>
      </c>
      <c r="K140" s="1630">
        <v>100</v>
      </c>
    </row>
    <row r="141" spans="1:17" ht="15">
      <c r="B141" s="1624">
        <v>4</v>
      </c>
      <c r="C141" s="1625">
        <v>102</v>
      </c>
      <c r="D141" s="1625"/>
      <c r="E141" s="1626"/>
      <c r="F141" s="1627">
        <v>101.5</v>
      </c>
      <c r="G141" s="1625"/>
      <c r="H141" s="1628"/>
      <c r="I141" s="1629" t="s">
        <v>1771</v>
      </c>
      <c r="J141" s="419">
        <v>1</v>
      </c>
      <c r="K141" s="1631">
        <f>ROUND(100+(J141-J140)*K139*100,1)</f>
        <v>96.4</v>
      </c>
    </row>
    <row r="142" spans="1:17" ht="15">
      <c r="B142" s="1624">
        <v>3</v>
      </c>
      <c r="C142" s="1625">
        <v>103</v>
      </c>
      <c r="D142" s="1625"/>
      <c r="E142" s="1626"/>
      <c r="F142" s="1627">
        <v>101</v>
      </c>
      <c r="G142" s="1625"/>
      <c r="H142" s="1628"/>
      <c r="I142" s="1629" t="s">
        <v>1772</v>
      </c>
      <c r="J142" s="419">
        <f>J139</f>
        <v>20</v>
      </c>
      <c r="K142" s="1632">
        <v>95</v>
      </c>
    </row>
    <row r="143" spans="1:17" ht="15">
      <c r="B143" s="1624">
        <v>2</v>
      </c>
      <c r="C143" s="1625">
        <v>100</v>
      </c>
      <c r="D143" s="1625"/>
      <c r="E143" s="1626"/>
      <c r="F143" s="1627">
        <v>100.5</v>
      </c>
      <c r="G143" s="1625"/>
      <c r="H143" s="1628"/>
      <c r="I143" s="1629" t="s">
        <v>1773</v>
      </c>
      <c r="J143" s="1625">
        <v>15</v>
      </c>
      <c r="K143" s="1631">
        <f>ROUND(100+(J143-J140)*K139*100,1)</f>
        <v>102</v>
      </c>
    </row>
    <row r="144" spans="1:17" ht="15">
      <c r="B144" s="1624">
        <v>1</v>
      </c>
      <c r="C144" s="1625">
        <v>98</v>
      </c>
      <c r="D144" s="1633" t="s">
        <v>1774</v>
      </c>
      <c r="E144" s="1626">
        <v>102</v>
      </c>
      <c r="F144" s="1634">
        <v>100</v>
      </c>
      <c r="G144" s="1633" t="s">
        <v>1774</v>
      </c>
      <c r="H144" s="1628">
        <v>105</v>
      </c>
      <c r="I144" s="1629" t="s">
        <v>1773</v>
      </c>
      <c r="J144" s="1625">
        <v>18</v>
      </c>
      <c r="K144" s="1631">
        <f>ROUND(100+(J144-J140)*K139*100,1)</f>
        <v>103.2</v>
      </c>
    </row>
    <row r="145" spans="2:11" ht="15">
      <c r="B145" s="594" t="s">
        <v>1775</v>
      </c>
      <c r="C145" s="1635">
        <f>ROUND(MAX(C139:C144)/MIN(C139:C144)-1,3)</f>
        <v>7.2999999999999995E-2</v>
      </c>
      <c r="D145" s="1636"/>
      <c r="E145" s="1636"/>
      <c r="F145" s="1637" t="s">
        <v>1776</v>
      </c>
      <c r="G145" s="1535"/>
      <c r="H145" s="1536"/>
      <c r="I145" s="1638" t="s">
        <v>1773</v>
      </c>
      <c r="J145" s="1639">
        <v>8</v>
      </c>
      <c r="K145" s="1640">
        <f>ROUND(100+(J145-J140)*K139*100,1)</f>
        <v>99.2</v>
      </c>
    </row>
    <row r="147" spans="2:11">
      <c r="B147" s="1603" t="s">
        <v>1777</v>
      </c>
    </row>
    <row r="148" spans="2:11">
      <c r="B148" s="1603" t="s">
        <v>1778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543" t="s">
        <v>1779</v>
      </c>
      <c r="C1" s="1382" t="s">
        <v>1689</v>
      </c>
      <c r="D1" s="1375"/>
      <c r="E1" s="1544"/>
      <c r="F1" s="1377"/>
      <c r="G1" s="1378" t="s">
        <v>1690</v>
      </c>
      <c r="H1" s="1379"/>
      <c r="I1" s="1379"/>
      <c r="J1" s="1379"/>
      <c r="K1" s="1380"/>
      <c r="L1" s="1381"/>
      <c r="M1" s="1382"/>
      <c r="N1" s="1382"/>
      <c r="O1" s="1382"/>
      <c r="P1" s="1545"/>
      <c r="Q1" s="1546"/>
      <c r="R1" s="1546"/>
      <c r="S1" s="1546"/>
      <c r="T1" s="1546"/>
      <c r="U1" s="1546"/>
      <c r="V1" s="1546"/>
      <c r="W1" s="1546"/>
      <c r="X1" s="1546"/>
      <c r="Y1" s="1546"/>
      <c r="Z1" s="1546"/>
      <c r="AA1" s="1546"/>
      <c r="AB1" s="1546"/>
      <c r="AC1" s="1547"/>
    </row>
    <row r="2" spans="1:29" s="1010" customFormat="1" ht="28.5" customHeight="1">
      <c r="A2" s="1384" t="s">
        <v>1045</v>
      </c>
      <c r="B2" s="138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548"/>
      <c r="Q2" s="1490"/>
      <c r="R2" s="1490"/>
      <c r="S2" s="1490"/>
      <c r="T2" s="1490"/>
      <c r="U2" s="1490"/>
      <c r="V2" s="1490"/>
      <c r="W2" s="1490"/>
      <c r="X2" s="1490"/>
      <c r="Y2" s="1490"/>
      <c r="Z2" s="1490"/>
      <c r="AA2" s="1490"/>
      <c r="AB2" s="1490"/>
      <c r="AC2" s="1524"/>
    </row>
    <row r="3" spans="1:29" s="1010" customFormat="1" ht="28.5" customHeight="1">
      <c r="A3" s="348" t="s">
        <v>1047</v>
      </c>
      <c r="B3" s="1035">
        <f>IF(C2="——",C49,ROUND(B2*10000/D3,0))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548"/>
      <c r="Q3" s="1490"/>
      <c r="R3" s="1490"/>
      <c r="S3" s="1490"/>
      <c r="T3" s="1490"/>
      <c r="U3" s="1490"/>
      <c r="V3" s="1490"/>
      <c r="W3" s="1490"/>
      <c r="X3" s="1490"/>
      <c r="Y3" s="1490"/>
      <c r="Z3" s="1490"/>
      <c r="AA3" s="1490"/>
      <c r="AB3" s="1490"/>
      <c r="AC3" s="1524"/>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05"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05"/>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05"/>
      <c r="AC6" s="3421"/>
    </row>
    <row r="7" spans="1:29" s="1011" customFormat="1" ht="15">
      <c r="A7" s="1056" t="s">
        <v>1705</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46" si="3">D8/F8</f>
        <v>1</v>
      </c>
      <c r="AB8" s="1071">
        <f t="shared" ref="AB8:AB46" si="4">D8/H8</f>
        <v>1</v>
      </c>
      <c r="AC8" s="1071">
        <f t="shared" ref="AC8:AC46" si="5">D8/J8</f>
        <v>1</v>
      </c>
    </row>
    <row r="9" spans="1:29" s="1011" customFormat="1">
      <c r="A9" s="1073" t="s">
        <v>1710</v>
      </c>
      <c r="B9" s="1074" t="s">
        <v>1711</v>
      </c>
      <c r="C9" s="1391"/>
      <c r="D9" s="1076">
        <v>100</v>
      </c>
      <c r="E9" s="1443"/>
      <c r="F9" s="1074">
        <f>SUMIF(63:63,E9,64:64)-SUMIF(63:63,C9,64:64)+100</f>
        <v>100</v>
      </c>
      <c r="G9" s="1443"/>
      <c r="H9" s="1076">
        <f>SUMIF(63:63,G9,64:64)-SUMIF(63:63,C9,64:64)+100</f>
        <v>100</v>
      </c>
      <c r="I9" s="1443"/>
      <c r="J9" s="1076">
        <f>SUMIF(63:63,I9,64:64)-SUMIF(63:63,C9,64:64)+100</f>
        <v>100</v>
      </c>
      <c r="K9" s="1063"/>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446"/>
      <c r="F10" s="1079">
        <f>SUMIF(65:65,E10,66:66)-SUMIF(65:65,C10,66:66)+100</f>
        <v>100</v>
      </c>
      <c r="G10" s="1393"/>
      <c r="H10" s="1081">
        <f>SUMIF(65:65,G10,66:66)-SUMIF(65:65,C10,66:66)+100</f>
        <v>100</v>
      </c>
      <c r="I10" s="1393"/>
      <c r="J10" s="1081">
        <f>SUMIF(65:65,I10,66:66)-SUMIF(65:65,C10,66:66)+100</f>
        <v>100</v>
      </c>
      <c r="K10" s="1063"/>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06"/>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1780</v>
      </c>
      <c r="C15" s="1345">
        <f>估价对象房地状况!C4</f>
        <v>0</v>
      </c>
      <c r="D15" s="1106">
        <v>100</v>
      </c>
      <c r="E15" s="1107"/>
      <c r="F15" s="1396">
        <f>SUMIF(76:76,E16,77:77)-SUMIF(76:76,C16,77:77)+100</f>
        <v>100</v>
      </c>
      <c r="G15" s="1108"/>
      <c r="H15" s="1106">
        <f>SUMIF(76:76,G16,77:77)-SUMIF(76:76,C16,77:77)+100</f>
        <v>100</v>
      </c>
      <c r="I15" s="1107"/>
      <c r="J15" s="1106">
        <f>SUMIF(76:76,I16,77:77)-SUMIF(76:76,C16,77:77)+100</f>
        <v>100</v>
      </c>
      <c r="K15" s="1397"/>
      <c r="L15" s="1098"/>
      <c r="M15" s="1044"/>
      <c r="N15" s="1044"/>
      <c r="O15" s="1044"/>
      <c r="P15" s="3407" t="s">
        <v>1718</v>
      </c>
      <c r="Q15" s="707" t="str">
        <f t="shared" si="6"/>
        <v>商业繁华度</v>
      </c>
      <c r="R15" s="1109" t="s">
        <v>1707</v>
      </c>
      <c r="S15" s="1110">
        <f t="shared" si="0"/>
        <v>100</v>
      </c>
      <c r="T15" s="1109" t="s">
        <v>1707</v>
      </c>
      <c r="U15" s="1110">
        <f t="shared" si="1"/>
        <v>100</v>
      </c>
      <c r="V15" s="1109" t="s">
        <v>1707</v>
      </c>
      <c r="W15" s="1110">
        <f t="shared" si="2"/>
        <v>100</v>
      </c>
      <c r="X15" s="1048"/>
      <c r="Y15" s="3412" t="s">
        <v>1718</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098"/>
      <c r="M16" s="1044"/>
      <c r="N16" s="1044"/>
      <c r="O16" s="1044"/>
      <c r="P16" s="3408"/>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97"/>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098"/>
      <c r="M18" s="1044"/>
      <c r="N18" s="1044"/>
      <c r="O18" s="1044"/>
      <c r="P18" s="3408"/>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估价对象房地状况!C7</f>
        <v>0</v>
      </c>
      <c r="D19" s="1120">
        <v>100</v>
      </c>
      <c r="E19" s="1350"/>
      <c r="F19" s="1045">
        <f>SUMIF(80:80,E20,81:81)-SUMIF(80:80,C20,81:81)+100</f>
        <v>100</v>
      </c>
      <c r="G19" s="1351"/>
      <c r="H19" s="1115">
        <f>SUMIF(80:80,G20,81:81)-SUMIF(80:80,C20,81:81)+100</f>
        <v>100</v>
      </c>
      <c r="I19" s="1350"/>
      <c r="J19" s="1115">
        <f>SUMIF(80:80,I20,81:81)-SUMIF(80:80,C20,81:81)+100</f>
        <v>100</v>
      </c>
      <c r="K19" s="1397"/>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098"/>
      <c r="M20" s="1044"/>
      <c r="N20" s="1044"/>
      <c r="O20" s="1044"/>
      <c r="P20" s="3408"/>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估价对象房地状况!C8</f>
        <v>0</v>
      </c>
      <c r="D21" s="1120">
        <v>100</v>
      </c>
      <c r="E21" s="1350"/>
      <c r="F21" s="1045">
        <f>SUMIF(82:82,E22,83:83)-SUMIF(82:82,C22,83:83)+100</f>
        <v>100</v>
      </c>
      <c r="G21" s="1351"/>
      <c r="H21" s="1115">
        <f>SUMIF(82:82,G22,83:83)-SUMIF(82:82,C22,83:83)+100</f>
        <v>100</v>
      </c>
      <c r="I21" s="1350"/>
      <c r="J21" s="1115">
        <f>SUMIF(82:82,I22,83:83)-SUMIF(82:82,C22,83:83)+100</f>
        <v>100</v>
      </c>
      <c r="K21" s="1397"/>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098"/>
      <c r="M22" s="1044"/>
      <c r="N22" s="1044"/>
      <c r="O22" s="1044"/>
      <c r="P22" s="3408"/>
      <c r="Q22" s="707"/>
      <c r="R22" s="1109"/>
      <c r="S22" s="1110"/>
      <c r="T22" s="1109"/>
      <c r="U22" s="1110"/>
      <c r="V22" s="1109"/>
      <c r="W22" s="1110"/>
      <c r="X22" s="1048"/>
      <c r="Y22" s="3413"/>
      <c r="Z22" s="1047"/>
      <c r="AA22" s="1047">
        <v>1</v>
      </c>
      <c r="AB22" s="1047">
        <v>1</v>
      </c>
      <c r="AC22" s="1047">
        <v>1</v>
      </c>
    </row>
    <row r="23" spans="1:29" ht="15">
      <c r="A23" s="1086"/>
      <c r="B23" s="1346" t="s">
        <v>1722</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97"/>
      <c r="L23" s="1098"/>
      <c r="M23" s="1044"/>
      <c r="N23" s="1044"/>
      <c r="O23" s="1044"/>
      <c r="P23" s="3408"/>
      <c r="Q23" s="707" t="str">
        <f>B23</f>
        <v>自然及人文环境</v>
      </c>
      <c r="R23" s="1109" t="s">
        <v>1707</v>
      </c>
      <c r="S23" s="1110">
        <f>F23</f>
        <v>100</v>
      </c>
      <c r="T23" s="1109" t="s">
        <v>1707</v>
      </c>
      <c r="U23" s="1110">
        <f>H23</f>
        <v>100</v>
      </c>
      <c r="V23" s="1109" t="s">
        <v>1707</v>
      </c>
      <c r="W23" s="1110">
        <f>J23</f>
        <v>100</v>
      </c>
      <c r="X23" s="1048"/>
      <c r="Y23" s="3413"/>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98"/>
      <c r="L24" s="1098"/>
      <c r="M24" s="1044"/>
      <c r="N24" s="1044"/>
      <c r="O24" s="1044"/>
      <c r="P24" s="3408"/>
      <c r="Q24" s="707"/>
      <c r="R24" s="1109"/>
      <c r="S24" s="1110"/>
      <c r="T24" s="1109"/>
      <c r="U24" s="1110"/>
      <c r="V24" s="1109"/>
      <c r="W24" s="1110"/>
      <c r="X24" s="1048"/>
      <c r="Y24" s="3413"/>
      <c r="Z24" s="1047"/>
      <c r="AA24" s="1047">
        <v>1</v>
      </c>
      <c r="AB24" s="1047">
        <v>1</v>
      </c>
      <c r="AC24" s="1047">
        <v>1</v>
      </c>
    </row>
    <row r="25" spans="1:29" ht="15">
      <c r="A25" s="1086"/>
      <c r="B25" s="1079" t="s">
        <v>1781</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08"/>
      <c r="Q25" s="707" t="str">
        <f t="shared" ref="Q25:Q46" si="11">B25</f>
        <v>临街状况</v>
      </c>
      <c r="R25" s="1109" t="s">
        <v>1707</v>
      </c>
      <c r="S25" s="1110">
        <f>F25</f>
        <v>100</v>
      </c>
      <c r="T25" s="1109" t="s">
        <v>1707</v>
      </c>
      <c r="U25" s="1110">
        <f>H25</f>
        <v>100</v>
      </c>
      <c r="V25" s="1109" t="s">
        <v>1707</v>
      </c>
      <c r="W25" s="1110">
        <f>J25</f>
        <v>100</v>
      </c>
      <c r="X25" s="1048"/>
      <c r="Y25" s="3413"/>
      <c r="Z25" s="1047" t="str">
        <f>Q25</f>
        <v>临街状况</v>
      </c>
      <c r="AA25" s="1047">
        <f t="shared" si="3"/>
        <v>1</v>
      </c>
      <c r="AB25" s="1047">
        <f t="shared" si="4"/>
        <v>1</v>
      </c>
      <c r="AC25" s="1047">
        <f t="shared" si="5"/>
        <v>1</v>
      </c>
    </row>
    <row r="26" spans="1:29" ht="15">
      <c r="A26" s="1086"/>
      <c r="B26" s="1248" t="s">
        <v>1782</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08"/>
      <c r="Q26" s="707" t="str">
        <f t="shared" si="11"/>
        <v>平面位置/可视性</v>
      </c>
      <c r="R26" s="1109" t="s">
        <v>1707</v>
      </c>
      <c r="S26" s="1110">
        <f>F26</f>
        <v>100</v>
      </c>
      <c r="T26" s="1109" t="s">
        <v>1707</v>
      </c>
      <c r="U26" s="1110">
        <f>H26</f>
        <v>100</v>
      </c>
      <c r="V26" s="1109" t="s">
        <v>1707</v>
      </c>
      <c r="W26" s="1110">
        <f>J26</f>
        <v>100</v>
      </c>
      <c r="X26" s="1048"/>
      <c r="Y26" s="3413"/>
      <c r="Z26" s="1047" t="str">
        <f>Q26</f>
        <v>平面位置/可视性</v>
      </c>
      <c r="AA26" s="1047">
        <f t="shared" si="3"/>
        <v>1</v>
      </c>
      <c r="AB26" s="1047">
        <f t="shared" si="4"/>
        <v>1</v>
      </c>
      <c r="AC26" s="1047">
        <f t="shared" si="5"/>
        <v>1</v>
      </c>
    </row>
    <row r="27" spans="1:29" s="1011" customFormat="1" ht="15">
      <c r="A27" s="1092"/>
      <c r="B27" s="1346" t="s">
        <v>1783</v>
      </c>
      <c r="C27" s="1533"/>
      <c r="D27" s="1122">
        <v>100</v>
      </c>
      <c r="E27" s="1533"/>
      <c r="F27" s="1151">
        <f>SUMIF(90:90,E27,91:91)-SUMIF(90:90,C27,91:91)+100</f>
        <v>100</v>
      </c>
      <c r="G27" s="1533"/>
      <c r="H27" s="1122">
        <f>SUMIF(90:90,G27,91:91)-SUMIF(90:90,C27,91:91)+100</f>
        <v>100</v>
      </c>
      <c r="I27" s="1533"/>
      <c r="J27" s="1122">
        <f>SUMIF(90:90,I27,91:91)-SUMIF(90:90,C27,91:91)+100</f>
        <v>100</v>
      </c>
      <c r="K27" s="1135"/>
      <c r="L27" s="1064"/>
      <c r="M27" s="1065"/>
      <c r="N27" s="1065"/>
      <c r="O27" s="1065"/>
      <c r="P27" s="3408"/>
      <c r="Q27" s="811" t="str">
        <f t="shared" si="11"/>
        <v>人流量</v>
      </c>
      <c r="R27" s="1067" t="s">
        <v>1707</v>
      </c>
      <c r="S27" s="1068">
        <f>F27</f>
        <v>100</v>
      </c>
      <c r="T27" s="1067" t="s">
        <v>1707</v>
      </c>
      <c r="U27" s="1068">
        <f>H27</f>
        <v>100</v>
      </c>
      <c r="V27" s="1067" t="s">
        <v>1707</v>
      </c>
      <c r="W27" s="1068">
        <f>J27</f>
        <v>100</v>
      </c>
      <c r="X27" s="1069"/>
      <c r="Y27" s="3413"/>
      <c r="Z27" s="1071" t="str">
        <f>Q27</f>
        <v>人流量</v>
      </c>
      <c r="AA27" s="1047">
        <f t="shared" si="3"/>
        <v>1</v>
      </c>
      <c r="AB27" s="1047">
        <f t="shared" si="4"/>
        <v>1</v>
      </c>
      <c r="AC27" s="1047">
        <f t="shared" si="5"/>
        <v>1</v>
      </c>
    </row>
    <row r="28" spans="1:29" ht="15">
      <c r="A28" s="1086"/>
      <c r="B28" s="1079" t="s">
        <v>1784</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08"/>
      <c r="Q28" s="707" t="str">
        <f t="shared" si="11"/>
        <v>楼层</v>
      </c>
      <c r="R28" s="1109" t="s">
        <v>1707</v>
      </c>
      <c r="S28" s="1110">
        <f t="shared" ref="S28:S46" si="12">F28</f>
        <v>100</v>
      </c>
      <c r="T28" s="1109" t="s">
        <v>1707</v>
      </c>
      <c r="U28" s="1110">
        <f t="shared" ref="U28:U46" si="13">H28</f>
        <v>100</v>
      </c>
      <c r="V28" s="1109" t="s">
        <v>1707</v>
      </c>
      <c r="W28" s="1110">
        <f t="shared" ref="W28:W46" si="14">J28</f>
        <v>100</v>
      </c>
      <c r="X28" s="1048"/>
      <c r="Y28" s="3413"/>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08"/>
      <c r="Q29" s="707">
        <f t="shared" si="11"/>
        <v>111</v>
      </c>
      <c r="R29" s="1109" t="s">
        <v>1707</v>
      </c>
      <c r="S29" s="1110">
        <f t="shared" si="12"/>
        <v>100</v>
      </c>
      <c r="T29" s="1109" t="s">
        <v>1707</v>
      </c>
      <c r="U29" s="1110">
        <f t="shared" si="13"/>
        <v>100</v>
      </c>
      <c r="V29" s="1109" t="s">
        <v>1707</v>
      </c>
      <c r="W29" s="1110">
        <f t="shared" si="14"/>
        <v>100</v>
      </c>
      <c r="X29" s="1048"/>
      <c r="Y29" s="3413"/>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5"/>
        <v>111</v>
      </c>
      <c r="AA30" s="1047">
        <f t="shared" si="3"/>
        <v>1</v>
      </c>
      <c r="AB30" s="1047">
        <f t="shared" si="4"/>
        <v>1</v>
      </c>
      <c r="AC30" s="1047">
        <f t="shared" si="5"/>
        <v>1</v>
      </c>
    </row>
    <row r="31" spans="1:29" ht="1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5"/>
        <v>111</v>
      </c>
      <c r="AA31" s="1047">
        <f t="shared" si="3"/>
        <v>1</v>
      </c>
      <c r="AB31" s="1047">
        <f t="shared" si="4"/>
        <v>1</v>
      </c>
      <c r="AC31" s="1047">
        <f t="shared" si="5"/>
        <v>1</v>
      </c>
    </row>
    <row r="32" spans="1:29" ht="15">
      <c r="A32" s="1103" t="s">
        <v>1725</v>
      </c>
      <c r="B32" s="1074" t="s">
        <v>1785</v>
      </c>
      <c r="C32" s="1402"/>
      <c r="D32" s="1040">
        <v>100</v>
      </c>
      <c r="E32" s="1402"/>
      <c r="F32" s="1185">
        <f>SUMIF(100:100,E32,101:101)-SUMIF(100:100,C32,101:101)+100</f>
        <v>100</v>
      </c>
      <c r="G32" s="1402"/>
      <c r="H32" s="708">
        <f>SUMIF(100:100,G32,101:101)-SUMIF(100:100,C32,101:101)+100</f>
        <v>100</v>
      </c>
      <c r="I32" s="1402"/>
      <c r="J32" s="1040">
        <f>SUMIF(100:100,I32,101:101)-SUMIF(100:100,C32,101:101)+100</f>
        <v>100</v>
      </c>
      <c r="K32" s="1135"/>
      <c r="L32" s="1098"/>
      <c r="M32" s="1044"/>
      <c r="N32" s="1044"/>
      <c r="O32" s="1044"/>
      <c r="P32" s="3409" t="s">
        <v>1727</v>
      </c>
      <c r="Q32" s="707" t="str">
        <f t="shared" si="11"/>
        <v>商业类型</v>
      </c>
      <c r="R32" s="1109" t="s">
        <v>1707</v>
      </c>
      <c r="S32" s="1110">
        <f t="shared" si="12"/>
        <v>100</v>
      </c>
      <c r="T32" s="1109" t="s">
        <v>1707</v>
      </c>
      <c r="U32" s="1110">
        <f t="shared" si="13"/>
        <v>100</v>
      </c>
      <c r="V32" s="1109" t="s">
        <v>1707</v>
      </c>
      <c r="W32" s="1110">
        <f t="shared" si="14"/>
        <v>100</v>
      </c>
      <c r="X32" s="1048"/>
      <c r="Y32" s="3414" t="s">
        <v>1727</v>
      </c>
      <c r="Z32" s="1047" t="str">
        <f t="shared" si="15"/>
        <v>商业类型</v>
      </c>
      <c r="AA32" s="1047">
        <f t="shared" si="3"/>
        <v>1</v>
      </c>
      <c r="AB32" s="1047">
        <f t="shared" si="4"/>
        <v>1</v>
      </c>
      <c r="AC32" s="1047">
        <f t="shared" si="5"/>
        <v>1</v>
      </c>
    </row>
    <row r="33" spans="1:29" s="1013" customFormat="1" ht="15">
      <c r="A33" s="1159"/>
      <c r="B33" s="1079" t="s">
        <v>1728</v>
      </c>
      <c r="C33" s="1394"/>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10"/>
      <c r="Q33" s="1406" t="str">
        <f t="shared" si="11"/>
        <v>项目建筑规模</v>
      </c>
      <c r="R33" s="1147" t="s">
        <v>1707</v>
      </c>
      <c r="S33" s="1148" t="e">
        <f t="shared" si="12"/>
        <v>#N/A</v>
      </c>
      <c r="T33" s="1147" t="s">
        <v>1707</v>
      </c>
      <c r="U33" s="1148" t="e">
        <f t="shared" si="13"/>
        <v>#N/A</v>
      </c>
      <c r="V33" s="1147" t="s">
        <v>1707</v>
      </c>
      <c r="W33" s="1148" t="e">
        <f t="shared" si="14"/>
        <v>#N/A</v>
      </c>
      <c r="X33" s="1149"/>
      <c r="Y33" s="3414"/>
      <c r="Z33" s="1150" t="str">
        <f t="shared" si="15"/>
        <v>项目建筑规模</v>
      </c>
      <c r="AA33" s="1047" t="e">
        <f t="shared" si="3"/>
        <v>#N/A</v>
      </c>
      <c r="AB33" s="1047" t="e">
        <f t="shared" si="4"/>
        <v>#N/A</v>
      </c>
      <c r="AC33" s="1047" t="e">
        <f t="shared" si="5"/>
        <v>#N/A</v>
      </c>
    </row>
    <row r="34" spans="1:29" ht="15">
      <c r="A34" s="1154"/>
      <c r="B34" s="1079" t="s">
        <v>1729</v>
      </c>
      <c r="C34" s="1407"/>
      <c r="D34" s="708">
        <v>100</v>
      </c>
      <c r="E34" s="1407"/>
      <c r="F34" s="1185">
        <f>SUMIF(105:105,E34,106:106)-SUMIF(105:105,C34,106:106)+100</f>
        <v>100</v>
      </c>
      <c r="G34" s="1407"/>
      <c r="H34" s="708">
        <f>SUMIF(105:105,G34,106:106)-SUMIF(105:105,C34,106:106)+100</f>
        <v>100</v>
      </c>
      <c r="I34" s="1407"/>
      <c r="J34" s="708">
        <f>SUMIF(105:105,I34,106:106)-SUMIF(105:105,C34,106:106)+100</f>
        <v>100</v>
      </c>
      <c r="K34" s="1135"/>
      <c r="L34" s="1098"/>
      <c r="M34" s="1044"/>
      <c r="N34" s="1044"/>
      <c r="O34" s="1044"/>
      <c r="P34" s="3410"/>
      <c r="Q34" s="707" t="str">
        <f t="shared" si="11"/>
        <v>建筑结构</v>
      </c>
      <c r="R34" s="1109" t="s">
        <v>1707</v>
      </c>
      <c r="S34" s="1110">
        <f t="shared" si="12"/>
        <v>100</v>
      </c>
      <c r="T34" s="1109" t="s">
        <v>1707</v>
      </c>
      <c r="U34" s="1110">
        <f t="shared" si="13"/>
        <v>100</v>
      </c>
      <c r="V34" s="1109" t="s">
        <v>1707</v>
      </c>
      <c r="W34" s="1110">
        <f t="shared" si="14"/>
        <v>100</v>
      </c>
      <c r="X34" s="1048"/>
      <c r="Y34" s="3414"/>
      <c r="Z34" s="1047" t="str">
        <f t="shared" si="15"/>
        <v>建筑结构</v>
      </c>
      <c r="AA34" s="1047">
        <f t="shared" si="3"/>
        <v>1</v>
      </c>
      <c r="AB34" s="1047">
        <f t="shared" si="4"/>
        <v>1</v>
      </c>
      <c r="AC34" s="1047">
        <f t="shared" si="5"/>
        <v>1</v>
      </c>
    </row>
    <row r="35" spans="1:29" ht="15">
      <c r="A35" s="1154"/>
      <c r="B35" s="1079" t="s">
        <v>1731</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10"/>
      <c r="Q35" s="707" t="str">
        <f t="shared" si="11"/>
        <v>公共部分装修</v>
      </c>
      <c r="R35" s="1109" t="s">
        <v>1707</v>
      </c>
      <c r="S35" s="1110">
        <f t="shared" si="12"/>
        <v>100</v>
      </c>
      <c r="T35" s="1109" t="s">
        <v>1707</v>
      </c>
      <c r="U35" s="1110">
        <f t="shared" si="13"/>
        <v>100</v>
      </c>
      <c r="V35" s="1109" t="s">
        <v>1707</v>
      </c>
      <c r="W35" s="1110">
        <f t="shared" si="14"/>
        <v>100</v>
      </c>
      <c r="X35" s="1048"/>
      <c r="Y35" s="3414"/>
      <c r="Z35" s="1047" t="str">
        <f t="shared" si="15"/>
        <v>公共部分装修</v>
      </c>
      <c r="AA35" s="1047">
        <f t="shared" si="3"/>
        <v>1</v>
      </c>
      <c r="AB35" s="1047">
        <f t="shared" si="4"/>
        <v>1</v>
      </c>
      <c r="AC35" s="1047">
        <f t="shared" si="5"/>
        <v>1</v>
      </c>
    </row>
    <row r="36" spans="1:29" ht="15">
      <c r="A36" s="1154"/>
      <c r="B36" s="1079" t="s">
        <v>700</v>
      </c>
      <c r="C36" s="1403"/>
      <c r="D36" s="708">
        <v>100</v>
      </c>
      <c r="E36" s="1403"/>
      <c r="F36" s="1185" t="e">
        <f>LOOKUP(E36,110:110,111:111)-LOOKUP(C36,110:110,111:111)+100</f>
        <v>#N/A</v>
      </c>
      <c r="G36" s="1403"/>
      <c r="H36" s="1185" t="e">
        <f>LOOKUP(G36,110:110,111:111)-LOOKUP(C36,110:110,111:111)+100</f>
        <v>#N/A</v>
      </c>
      <c r="I36" s="1403"/>
      <c r="J36" s="708" t="e">
        <f>LOOKUP(I36,110:110,111:111)-LOOKUP(C36,110:110,111:111)+100</f>
        <v>#N/A</v>
      </c>
      <c r="K36" s="1135"/>
      <c r="L36" s="1098"/>
      <c r="M36" s="1044"/>
      <c r="N36" s="1044"/>
      <c r="O36" s="1044"/>
      <c r="P36" s="3410"/>
      <c r="Q36" s="707" t="str">
        <f t="shared" si="11"/>
        <v>成新度</v>
      </c>
      <c r="R36" s="1109" t="s">
        <v>1707</v>
      </c>
      <c r="S36" s="1110" t="e">
        <f t="shared" si="12"/>
        <v>#N/A</v>
      </c>
      <c r="T36" s="1109" t="s">
        <v>1707</v>
      </c>
      <c r="U36" s="1110" t="e">
        <f t="shared" si="13"/>
        <v>#N/A</v>
      </c>
      <c r="V36" s="1109" t="s">
        <v>1707</v>
      </c>
      <c r="W36" s="1110" t="e">
        <f t="shared" si="14"/>
        <v>#N/A</v>
      </c>
      <c r="X36" s="1048"/>
      <c r="Y36" s="3414"/>
      <c r="Z36" s="1047" t="str">
        <f t="shared" si="15"/>
        <v>成新度</v>
      </c>
      <c r="AA36" s="1047" t="e">
        <f t="shared" si="3"/>
        <v>#N/A</v>
      </c>
      <c r="AB36" s="1047" t="e">
        <f t="shared" si="4"/>
        <v>#N/A</v>
      </c>
      <c r="AC36" s="1047" t="e">
        <f t="shared" si="5"/>
        <v>#N/A</v>
      </c>
    </row>
    <row r="37" spans="1:29" s="1011" customFormat="1" ht="15">
      <c r="A37" s="1156"/>
      <c r="B37" s="1079" t="s">
        <v>1733</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10"/>
      <c r="Q37" s="811" t="str">
        <f t="shared" si="11"/>
        <v>市政基础设施</v>
      </c>
      <c r="R37" s="1067" t="s">
        <v>1707</v>
      </c>
      <c r="S37" s="1068">
        <f t="shared" si="12"/>
        <v>100</v>
      </c>
      <c r="T37" s="1067" t="s">
        <v>1707</v>
      </c>
      <c r="U37" s="1068">
        <f t="shared" si="13"/>
        <v>100</v>
      </c>
      <c r="V37" s="1067" t="s">
        <v>1707</v>
      </c>
      <c r="W37" s="1068">
        <f t="shared" si="14"/>
        <v>100</v>
      </c>
      <c r="X37" s="1069"/>
      <c r="Y37" s="3414"/>
      <c r="Z37" s="1071" t="str">
        <f t="shared" si="15"/>
        <v>市政基础设施</v>
      </c>
      <c r="AA37" s="1071">
        <f t="shared" si="3"/>
        <v>1</v>
      </c>
      <c r="AB37" s="1071">
        <f t="shared" si="4"/>
        <v>1</v>
      </c>
      <c r="AC37" s="1071">
        <f t="shared" si="5"/>
        <v>1</v>
      </c>
    </row>
    <row r="38" spans="1:29" ht="15">
      <c r="A38" s="1154"/>
      <c r="B38" s="1079" t="s">
        <v>1786</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10" t="s">
        <v>1727</v>
      </c>
      <c r="Q38" s="707" t="str">
        <f t="shared" si="11"/>
        <v>业态</v>
      </c>
      <c r="R38" s="1109" t="s">
        <v>1707</v>
      </c>
      <c r="S38" s="1110">
        <f t="shared" si="12"/>
        <v>100</v>
      </c>
      <c r="T38" s="1109" t="s">
        <v>1707</v>
      </c>
      <c r="U38" s="1110">
        <f t="shared" si="13"/>
        <v>100</v>
      </c>
      <c r="V38" s="1109" t="s">
        <v>1707</v>
      </c>
      <c r="W38" s="1110">
        <f t="shared" si="14"/>
        <v>100</v>
      </c>
      <c r="X38" s="1048"/>
      <c r="Y38" s="3414" t="s">
        <v>1727</v>
      </c>
      <c r="Z38" s="1047" t="str">
        <f t="shared" si="15"/>
        <v>业态</v>
      </c>
      <c r="AA38" s="1047">
        <f t="shared" si="3"/>
        <v>1</v>
      </c>
      <c r="AB38" s="1047">
        <f t="shared" si="4"/>
        <v>1</v>
      </c>
      <c r="AC38" s="1047">
        <f t="shared" si="5"/>
        <v>1</v>
      </c>
    </row>
    <row r="39" spans="1:29" ht="15">
      <c r="A39" s="1154"/>
      <c r="B39" s="1079" t="s">
        <v>1787</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10"/>
      <c r="Q39" s="707" t="str">
        <f t="shared" si="11"/>
        <v>层高</v>
      </c>
      <c r="R39" s="1109" t="s">
        <v>1707</v>
      </c>
      <c r="S39" s="1110">
        <f t="shared" si="12"/>
        <v>100</v>
      </c>
      <c r="T39" s="1109" t="s">
        <v>1707</v>
      </c>
      <c r="U39" s="1110">
        <f t="shared" si="13"/>
        <v>100</v>
      </c>
      <c r="V39" s="1109" t="s">
        <v>1707</v>
      </c>
      <c r="W39" s="1110">
        <f t="shared" si="14"/>
        <v>100</v>
      </c>
      <c r="X39" s="1048"/>
      <c r="Y39" s="3414"/>
      <c r="Z39" s="1047" t="str">
        <f t="shared" si="15"/>
        <v>层高</v>
      </c>
      <c r="AA39" s="1047">
        <f t="shared" si="3"/>
        <v>1</v>
      </c>
      <c r="AB39" s="1047">
        <f t="shared" si="4"/>
        <v>1</v>
      </c>
      <c r="AC39" s="1047">
        <f t="shared" si="5"/>
        <v>1</v>
      </c>
    </row>
    <row r="40" spans="1:29" ht="15">
      <c r="A40" s="1154"/>
      <c r="B40" s="1079" t="s">
        <v>1788</v>
      </c>
      <c r="C40" s="1549"/>
      <c r="D40" s="708">
        <v>100</v>
      </c>
      <c r="E40" s="1550"/>
      <c r="F40" s="1185">
        <f>SUMIF(118:118,E40,119:119)-SUMIF(118:118,C40,119:119)+100</f>
        <v>100</v>
      </c>
      <c r="G40" s="1550"/>
      <c r="H40" s="708">
        <f>SUMIF(118:118,G40,119:119)-SUMIF(118:118,C40,119:119)+100</f>
        <v>100</v>
      </c>
      <c r="I40" s="1550"/>
      <c r="J40" s="708">
        <f>SUMIF(118:118,I40,119:119)-SUMIF(118:118,C40,119:119)+100</f>
        <v>100</v>
      </c>
      <c r="K40" s="1133"/>
      <c r="L40" s="1098"/>
      <c r="M40" s="1044"/>
      <c r="N40" s="1044"/>
      <c r="O40" s="1044"/>
      <c r="P40" s="3410"/>
      <c r="Q40" s="707" t="str">
        <f t="shared" si="11"/>
        <v>单套建筑面积</v>
      </c>
      <c r="R40" s="1109" t="s">
        <v>1707</v>
      </c>
      <c r="S40" s="1110">
        <f t="shared" si="12"/>
        <v>100</v>
      </c>
      <c r="T40" s="1109" t="s">
        <v>1707</v>
      </c>
      <c r="U40" s="1110">
        <f t="shared" si="13"/>
        <v>100</v>
      </c>
      <c r="V40" s="1109" t="s">
        <v>1707</v>
      </c>
      <c r="W40" s="1110">
        <f t="shared" si="14"/>
        <v>100</v>
      </c>
      <c r="X40" s="1048"/>
      <c r="Y40" s="3414"/>
      <c r="Z40" s="1047" t="str">
        <f t="shared" si="15"/>
        <v>单套建筑面积</v>
      </c>
      <c r="AA40" s="1047">
        <f t="shared" si="3"/>
        <v>1</v>
      </c>
      <c r="AB40" s="1047">
        <f t="shared" si="4"/>
        <v>1</v>
      </c>
      <c r="AC40" s="1047">
        <f t="shared" si="5"/>
        <v>1</v>
      </c>
    </row>
    <row r="41" spans="1:29" s="1013" customFormat="1" ht="15">
      <c r="A41" s="1159"/>
      <c r="B41" s="1185" t="s">
        <v>1789</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10"/>
      <c r="Q41" s="1406" t="str">
        <f t="shared" si="11"/>
        <v>进深比</v>
      </c>
      <c r="R41" s="1147" t="s">
        <v>1707</v>
      </c>
      <c r="S41" s="1148">
        <f t="shared" si="12"/>
        <v>100</v>
      </c>
      <c r="T41" s="1147" t="s">
        <v>1707</v>
      </c>
      <c r="U41" s="1148">
        <f t="shared" si="13"/>
        <v>100</v>
      </c>
      <c r="V41" s="1147" t="s">
        <v>1707</v>
      </c>
      <c r="W41" s="1148">
        <f t="shared" si="14"/>
        <v>100</v>
      </c>
      <c r="X41" s="1149"/>
      <c r="Y41" s="3414"/>
      <c r="Z41" s="1150" t="str">
        <f t="shared" si="15"/>
        <v>进深比</v>
      </c>
      <c r="AA41" s="1047">
        <f t="shared" si="3"/>
        <v>1</v>
      </c>
      <c r="AB41" s="1047">
        <f t="shared" si="4"/>
        <v>1</v>
      </c>
      <c r="AC41" s="1047">
        <f t="shared" si="5"/>
        <v>1</v>
      </c>
    </row>
    <row r="42" spans="1:29" ht="15">
      <c r="A42" s="1154"/>
      <c r="B42" s="1079" t="s">
        <v>1736</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10"/>
      <c r="Q42" s="707" t="str">
        <f t="shared" si="11"/>
        <v>内部装修</v>
      </c>
      <c r="R42" s="1109" t="s">
        <v>1707</v>
      </c>
      <c r="S42" s="1110">
        <f t="shared" si="12"/>
        <v>100</v>
      </c>
      <c r="T42" s="1109" t="s">
        <v>1707</v>
      </c>
      <c r="U42" s="1110">
        <f t="shared" si="13"/>
        <v>100</v>
      </c>
      <c r="V42" s="1109" t="s">
        <v>1707</v>
      </c>
      <c r="W42" s="1110">
        <f t="shared" si="14"/>
        <v>100</v>
      </c>
      <c r="X42" s="1048"/>
      <c r="Y42" s="3414"/>
      <c r="Z42" s="1047" t="str">
        <f t="shared" si="15"/>
        <v>内部装修</v>
      </c>
      <c r="AA42" s="1047">
        <f t="shared" si="3"/>
        <v>1</v>
      </c>
      <c r="AB42" s="1047">
        <f t="shared" si="4"/>
        <v>1</v>
      </c>
      <c r="AC42" s="1047">
        <f t="shared" si="5"/>
        <v>1</v>
      </c>
    </row>
    <row r="43" spans="1:29" ht="15">
      <c r="A43" s="1154"/>
      <c r="B43" s="1079" t="s">
        <v>1737</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10"/>
      <c r="Q43" s="707" t="str">
        <f t="shared" si="11"/>
        <v>内部装修维护情况</v>
      </c>
      <c r="R43" s="1109" t="s">
        <v>1707</v>
      </c>
      <c r="S43" s="1110">
        <f t="shared" si="12"/>
        <v>100</v>
      </c>
      <c r="T43" s="1109" t="s">
        <v>1707</v>
      </c>
      <c r="U43" s="1110">
        <f t="shared" si="13"/>
        <v>100</v>
      </c>
      <c r="V43" s="1109" t="s">
        <v>1707</v>
      </c>
      <c r="W43" s="1110">
        <f t="shared" si="14"/>
        <v>100</v>
      </c>
      <c r="X43" s="1048"/>
      <c r="Y43" s="3414"/>
      <c r="Z43" s="1047" t="str">
        <f t="shared" si="15"/>
        <v>内部装修维护情况</v>
      </c>
      <c r="AA43" s="1047">
        <f t="shared" si="3"/>
        <v>1</v>
      </c>
      <c r="AB43" s="1047">
        <f t="shared" si="4"/>
        <v>1</v>
      </c>
      <c r="AC43" s="1047">
        <f t="shared" si="5"/>
        <v>1</v>
      </c>
    </row>
    <row r="44" spans="1:29" s="1011" customFormat="1" ht="1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10"/>
      <c r="Q44" s="811">
        <f t="shared" si="11"/>
        <v>111</v>
      </c>
      <c r="R44" s="1067" t="s">
        <v>1707</v>
      </c>
      <c r="S44" s="1068">
        <f t="shared" si="12"/>
        <v>100</v>
      </c>
      <c r="T44" s="1067" t="s">
        <v>1707</v>
      </c>
      <c r="U44" s="1068">
        <f t="shared" si="13"/>
        <v>100</v>
      </c>
      <c r="V44" s="1067" t="s">
        <v>1707</v>
      </c>
      <c r="W44" s="1068">
        <f t="shared" si="14"/>
        <v>100</v>
      </c>
      <c r="X44" s="1069"/>
      <c r="Y44" s="3414"/>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10"/>
      <c r="Q45" s="707">
        <f t="shared" si="11"/>
        <v>111</v>
      </c>
      <c r="R45" s="1109" t="s">
        <v>1707</v>
      </c>
      <c r="S45" s="1110">
        <f t="shared" si="12"/>
        <v>100</v>
      </c>
      <c r="T45" s="1109" t="s">
        <v>1707</v>
      </c>
      <c r="U45" s="1110">
        <f t="shared" si="13"/>
        <v>100</v>
      </c>
      <c r="V45" s="1109" t="s">
        <v>1707</v>
      </c>
      <c r="W45" s="1110">
        <f t="shared" si="14"/>
        <v>100</v>
      </c>
      <c r="X45" s="1048"/>
      <c r="Y45" s="3414"/>
      <c r="Z45" s="1047">
        <f t="shared" si="15"/>
        <v>111</v>
      </c>
      <c r="AA45" s="1047">
        <f t="shared" si="3"/>
        <v>1</v>
      </c>
      <c r="AB45" s="1047">
        <f t="shared" si="4"/>
        <v>1</v>
      </c>
      <c r="AC45" s="1047">
        <f t="shared" si="5"/>
        <v>1</v>
      </c>
    </row>
    <row r="46" spans="1:29" ht="1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11"/>
      <c r="Q46" s="707">
        <f t="shared" si="11"/>
        <v>111</v>
      </c>
      <c r="R46" s="1109" t="s">
        <v>1707</v>
      </c>
      <c r="S46" s="1110">
        <f t="shared" si="12"/>
        <v>100</v>
      </c>
      <c r="T46" s="1109" t="s">
        <v>1707</v>
      </c>
      <c r="U46" s="1110">
        <f t="shared" si="13"/>
        <v>100</v>
      </c>
      <c r="V46" s="1109" t="s">
        <v>1707</v>
      </c>
      <c r="W46" s="1110">
        <f t="shared" si="14"/>
        <v>100</v>
      </c>
      <c r="X46" s="1048"/>
      <c r="Y46" s="3415"/>
      <c r="Z46" s="1047">
        <f t="shared" si="15"/>
        <v>111</v>
      </c>
      <c r="AA46" s="1047">
        <f t="shared" si="3"/>
        <v>1</v>
      </c>
      <c r="AB46" s="1047">
        <f t="shared" si="4"/>
        <v>1</v>
      </c>
      <c r="AC46" s="1047">
        <f t="shared" si="5"/>
        <v>1</v>
      </c>
    </row>
    <row r="47" spans="1:29" ht="15">
      <c r="A47" s="1162" t="s">
        <v>1738</v>
      </c>
      <c r="B47" s="1411"/>
      <c r="C47" s="1412" t="s">
        <v>124</v>
      </c>
      <c r="D47" s="1165"/>
      <c r="E47" s="1166"/>
      <c r="F47" s="1167"/>
      <c r="G47" s="1168"/>
      <c r="H47" s="1169"/>
      <c r="I47" s="1166"/>
      <c r="J47" s="1169"/>
      <c r="K47" s="1170"/>
      <c r="L47" s="1171"/>
      <c r="M47" s="1044"/>
      <c r="N47" s="1044"/>
      <c r="O47" s="1044"/>
      <c r="P47" s="3404" t="str">
        <f>A47</f>
        <v>成交单价（元/平方米）</v>
      </c>
      <c r="Q47" s="3404"/>
      <c r="R47" s="3405">
        <f>E47</f>
        <v>0</v>
      </c>
      <c r="S47" s="3405"/>
      <c r="T47" s="3405">
        <f>G47</f>
        <v>0</v>
      </c>
      <c r="U47" s="3405"/>
      <c r="V47" s="3405">
        <f>I47</f>
        <v>0</v>
      </c>
      <c r="W47" s="3405"/>
      <c r="X47" s="1172"/>
      <c r="Y47" s="1173"/>
      <c r="Z47" s="1172"/>
      <c r="AA47" s="1172"/>
      <c r="AB47" s="1172"/>
      <c r="AC47" s="1172"/>
    </row>
    <row r="48" spans="1:29" ht="15">
      <c r="A48" s="1174" t="s">
        <v>1739</v>
      </c>
      <c r="B48" s="1413"/>
      <c r="C48" s="1414" t="e">
        <f>R49</f>
        <v>#DIV/0!</v>
      </c>
      <c r="D48" s="1177" t="s">
        <v>1740</v>
      </c>
      <c r="E48" s="1415" t="e">
        <f>R48</f>
        <v>#DIV/0!</v>
      </c>
      <c r="F48" s="1178"/>
      <c r="G48" s="1414" t="e">
        <f>T48</f>
        <v>#DIV/0!</v>
      </c>
      <c r="H48" s="1178"/>
      <c r="I48" s="1415" t="e">
        <f>V48</f>
        <v>#DIV/0!</v>
      </c>
      <c r="J48" s="1178"/>
      <c r="K48" s="1180">
        <f>F48+H48+J48</f>
        <v>0</v>
      </c>
      <c r="L48" s="1171"/>
      <c r="M48" s="1044"/>
      <c r="N48" s="1044"/>
      <c r="O48" s="1044"/>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72"/>
      <c r="Y48" s="1172"/>
      <c r="Z48" s="1172"/>
      <c r="AA48" s="1172"/>
      <c r="AB48" s="1172"/>
      <c r="AC48" s="1172"/>
    </row>
    <row r="49" spans="1:29" ht="15">
      <c r="A49" s="1181" t="s">
        <v>1741</v>
      </c>
      <c r="B49" s="1182"/>
      <c r="C49" s="1053" t="e">
        <f>R49</f>
        <v>#DIV/0!</v>
      </c>
      <c r="D49" s="1053"/>
      <c r="E49" s="1053"/>
      <c r="F49" s="1053"/>
      <c r="G49" s="1053"/>
      <c r="H49" s="1053"/>
      <c r="I49" s="1053"/>
      <c r="J49" s="1053"/>
      <c r="K49" s="1184"/>
      <c r="L49" s="1171"/>
      <c r="M49" s="1044"/>
      <c r="N49" s="1044"/>
      <c r="O49" s="104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51"/>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51"/>
      <c r="Q51" s="1044"/>
      <c r="R51" s="1044"/>
      <c r="S51" s="1044"/>
      <c r="T51" s="1044"/>
      <c r="U51" s="1044"/>
      <c r="V51" s="1044"/>
      <c r="W51" s="1044"/>
      <c r="X51" s="1044"/>
      <c r="Y51" s="1044"/>
      <c r="Z51" s="1044"/>
      <c r="AA51" s="1044"/>
      <c r="AB51" s="1044"/>
      <c r="AC51" s="1044"/>
    </row>
    <row r="52" spans="1:29" ht="13.5" customHeight="1">
      <c r="A52" s="1044"/>
      <c r="B52" s="1044"/>
      <c r="C52" s="1189" t="s">
        <v>1742</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51"/>
      <c r="Q52" s="1044"/>
      <c r="R52" s="1044"/>
      <c r="S52" s="1044"/>
      <c r="T52" s="1044"/>
      <c r="U52" s="1044"/>
      <c r="V52" s="1044"/>
      <c r="W52" s="1044"/>
      <c r="X52" s="1044"/>
      <c r="Y52" s="1044"/>
      <c r="Z52" s="1044"/>
      <c r="AA52" s="1044"/>
      <c r="AB52" s="1044"/>
      <c r="AC52" s="1044"/>
    </row>
    <row r="53" spans="1:29" ht="13.5" customHeight="1">
      <c r="A53" s="1044"/>
      <c r="B53" s="1044"/>
      <c r="C53" s="1189" t="s">
        <v>1743</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51"/>
      <c r="Q53" s="1044"/>
      <c r="R53" s="1044"/>
      <c r="S53" s="1044"/>
      <c r="T53" s="1044"/>
      <c r="U53" s="1044"/>
      <c r="V53" s="1044"/>
      <c r="W53" s="1044"/>
      <c r="X53" s="1044"/>
      <c r="Y53" s="1044"/>
      <c r="Z53" s="1044"/>
      <c r="AA53" s="1044"/>
      <c r="AB53" s="1044"/>
      <c r="AC53" s="1044"/>
    </row>
    <row r="54" spans="1:29" s="1014" customFormat="1" ht="13.5" customHeight="1">
      <c r="A54" s="1192"/>
      <c r="B54" s="1192"/>
      <c r="C54" s="1189" t="s">
        <v>1744</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52"/>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552"/>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551"/>
      <c r="Q56" s="1044"/>
      <c r="R56" s="1044"/>
      <c r="S56" s="1044"/>
      <c r="T56" s="1044"/>
      <c r="U56" s="1044"/>
      <c r="V56" s="1044"/>
      <c r="W56" s="1044"/>
      <c r="X56" s="1044"/>
      <c r="Y56" s="1044"/>
      <c r="Z56" s="1044"/>
      <c r="AA56" s="1044"/>
      <c r="AB56" s="1044"/>
      <c r="AC56" s="1044"/>
    </row>
    <row r="57" spans="1:29" ht="21">
      <c r="A57" s="1233" t="s">
        <v>1745</v>
      </c>
      <c r="B57" s="1172"/>
      <c r="C57" s="1234"/>
      <c r="D57" s="1234"/>
      <c r="E57" s="1234"/>
      <c r="F57" s="1235"/>
      <c r="G57" s="1235"/>
      <c r="H57" s="1234"/>
      <c r="I57" s="1234"/>
      <c r="J57" s="1234"/>
      <c r="K57" s="1236"/>
      <c r="L57" s="1367"/>
      <c r="M57" s="1238"/>
      <c r="N57" s="1238"/>
      <c r="O57" s="1238"/>
      <c r="P57" s="1553"/>
      <c r="Q57" s="1240"/>
      <c r="R57" s="1044"/>
      <c r="S57" s="1044"/>
      <c r="T57" s="1044"/>
      <c r="U57" s="1044"/>
      <c r="V57" s="1044"/>
      <c r="W57" s="1044"/>
      <c r="X57" s="1044"/>
      <c r="Y57" s="1044"/>
      <c r="Z57" s="1044"/>
      <c r="AA57" s="1044"/>
      <c r="AB57" s="1044"/>
      <c r="AC57" s="1044"/>
    </row>
    <row r="58" spans="1:29" s="1016" customFormat="1" ht="15">
      <c r="A58" s="1417" t="s">
        <v>1705</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554"/>
      <c r="Q58" s="1244"/>
      <c r="R58" s="1244"/>
      <c r="S58" s="1244"/>
      <c r="T58" s="1244"/>
      <c r="U58" s="1244"/>
      <c r="V58" s="1244"/>
      <c r="W58" s="1244"/>
      <c r="X58" s="1244"/>
      <c r="Y58" s="1244"/>
      <c r="Z58" s="1244"/>
      <c r="AA58" s="1244"/>
      <c r="AB58" s="1244"/>
      <c r="AC58" s="1244"/>
    </row>
    <row r="59" spans="1:29" s="1011" customFormat="1" ht="15">
      <c r="A59" s="1126"/>
      <c r="B59" s="1256"/>
      <c r="C59" s="1421">
        <v>100</v>
      </c>
      <c r="D59" s="1263"/>
      <c r="E59" s="1263"/>
      <c r="F59" s="1263"/>
      <c r="G59" s="1263"/>
      <c r="H59" s="1263"/>
      <c r="I59" s="1263"/>
      <c r="J59" s="1263"/>
      <c r="K59" s="1263"/>
      <c r="L59" s="1263"/>
      <c r="M59" s="1093"/>
      <c r="N59" s="1263"/>
      <c r="O59" s="1093"/>
      <c r="P59" s="1555"/>
      <c r="Q59" s="1065"/>
      <c r="R59" s="1065"/>
      <c r="S59" s="1065"/>
      <c r="T59" s="1065"/>
      <c r="U59" s="1065"/>
      <c r="V59" s="1065"/>
      <c r="W59" s="1065"/>
      <c r="X59" s="1065"/>
      <c r="Y59" s="1065"/>
      <c r="Z59" s="1065"/>
      <c r="AA59" s="1065"/>
      <c r="AB59" s="1065"/>
      <c r="AC59" s="1065"/>
    </row>
    <row r="60" spans="1:29" s="1011" customFormat="1" ht="15">
      <c r="A60" s="1249" t="s">
        <v>1746</v>
      </c>
      <c r="B60" s="1250"/>
      <c r="C60" s="1251"/>
      <c r="D60" s="1252"/>
      <c r="E60" s="1252"/>
      <c r="F60" s="1252"/>
      <c r="G60" s="1252"/>
      <c r="H60" s="1252"/>
      <c r="I60" s="1252"/>
      <c r="J60" s="1252"/>
      <c r="K60" s="1252"/>
      <c r="L60" s="1252"/>
      <c r="M60" s="1253"/>
      <c r="N60" s="1252"/>
      <c r="O60" s="1253"/>
      <c r="P60" s="1555"/>
      <c r="Q60" s="1240"/>
      <c r="R60" s="1065"/>
      <c r="S60" s="1065"/>
      <c r="T60" s="1065"/>
      <c r="U60" s="1065"/>
      <c r="V60" s="1065"/>
      <c r="W60" s="1065"/>
      <c r="X60" s="1065"/>
      <c r="Y60" s="1065"/>
      <c r="Z60" s="1065"/>
      <c r="AA60" s="1065"/>
      <c r="AB60" s="1065"/>
      <c r="AC60" s="1065"/>
    </row>
    <row r="61" spans="1:29" s="1011" customFormat="1" ht="15">
      <c r="A61" s="1255" t="s">
        <v>1708</v>
      </c>
      <c r="B61" s="1256"/>
      <c r="C61" s="1257" t="s">
        <v>1747</v>
      </c>
      <c r="D61" s="1258"/>
      <c r="E61" s="1258"/>
      <c r="F61" s="1258"/>
      <c r="G61" s="1258"/>
      <c r="H61" s="1258"/>
      <c r="I61" s="1258"/>
      <c r="J61" s="1258"/>
      <c r="K61" s="1258"/>
      <c r="L61" s="1259"/>
      <c r="M61" s="1260"/>
      <c r="N61" s="1261"/>
      <c r="O61" s="1261"/>
      <c r="P61" s="1556"/>
      <c r="Q61" s="1240"/>
      <c r="R61" s="1065"/>
      <c r="S61" s="1065"/>
      <c r="T61" s="1065"/>
      <c r="U61" s="1065"/>
      <c r="V61" s="1065"/>
      <c r="W61" s="1065"/>
      <c r="X61" s="1065"/>
      <c r="Y61" s="1065"/>
      <c r="Z61" s="1065"/>
      <c r="AA61" s="1065"/>
      <c r="AB61" s="1065"/>
      <c r="AC61" s="1065"/>
    </row>
    <row r="62" spans="1:29" s="1011" customFormat="1" ht="15">
      <c r="A62" s="1255"/>
      <c r="B62" s="1256"/>
      <c r="C62" s="1537">
        <v>100</v>
      </c>
      <c r="D62" s="1263"/>
      <c r="E62" s="1263"/>
      <c r="F62" s="1263"/>
      <c r="G62" s="1263"/>
      <c r="H62" s="1263"/>
      <c r="I62" s="1263"/>
      <c r="J62" s="1263"/>
      <c r="K62" s="1263"/>
      <c r="L62" s="1263"/>
      <c r="M62" s="1264"/>
      <c r="N62" s="1261"/>
      <c r="O62" s="1261"/>
      <c r="P62" s="1555"/>
      <c r="Q62" s="1240"/>
      <c r="R62" s="1065"/>
      <c r="S62" s="1065"/>
      <c r="T62" s="1065"/>
      <c r="U62" s="1065"/>
      <c r="V62" s="1065"/>
      <c r="W62" s="1065"/>
      <c r="X62" s="1065"/>
      <c r="Y62" s="1065"/>
      <c r="Z62" s="1065"/>
      <c r="AA62" s="1065"/>
      <c r="AB62" s="1065"/>
      <c r="AC62" s="1065"/>
    </row>
    <row r="63" spans="1:29">
      <c r="A63" s="1103" t="s">
        <v>1748</v>
      </c>
      <c r="B63" s="1265" t="s">
        <v>1711</v>
      </c>
      <c r="C63" s="699">
        <f>C9</f>
        <v>0</v>
      </c>
      <c r="D63" s="1153"/>
      <c r="E63" s="1153"/>
      <c r="F63" s="1153"/>
      <c r="G63" s="1153"/>
      <c r="H63" s="1153"/>
      <c r="I63" s="1153"/>
      <c r="J63" s="1153"/>
      <c r="K63" s="1266"/>
      <c r="L63" s="1267"/>
      <c r="M63" s="1268"/>
      <c r="N63" s="1269"/>
      <c r="O63" s="1269"/>
      <c r="P63" s="1557"/>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57"/>
      <c r="Q64" s="1240"/>
      <c r="R64" s="1044"/>
      <c r="S64" s="1044"/>
      <c r="T64" s="1044"/>
      <c r="U64" s="1044"/>
      <c r="V64" s="1044"/>
      <c r="W64" s="1044"/>
      <c r="X64" s="1044"/>
      <c r="Y64" s="1044"/>
      <c r="Z64" s="1044"/>
      <c r="AA64" s="1044"/>
      <c r="AB64" s="1044"/>
      <c r="AC64" s="1044"/>
    </row>
    <row r="65" spans="1:29" ht="27">
      <c r="A65" s="1086"/>
      <c r="B65" s="1274" t="s">
        <v>1714</v>
      </c>
      <c r="C65" s="1323"/>
      <c r="D65" s="1323"/>
      <c r="E65" s="1323"/>
      <c r="F65" s="1323"/>
      <c r="G65" s="1323"/>
      <c r="H65" s="1323"/>
      <c r="I65" s="1323"/>
      <c r="J65" s="1323"/>
      <c r="K65" s="1324"/>
      <c r="L65" s="1325"/>
      <c r="M65" s="1326"/>
      <c r="N65" s="1269"/>
      <c r="O65" s="1269"/>
      <c r="P65" s="1557"/>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57"/>
      <c r="Q66" s="1240"/>
      <c r="R66" s="1044"/>
      <c r="S66" s="1044"/>
      <c r="T66" s="1044"/>
      <c r="U66" s="1044"/>
      <c r="V66" s="1044"/>
      <c r="W66" s="1044"/>
      <c r="X66" s="1044"/>
      <c r="Y66" s="1044"/>
      <c r="Z66" s="1044"/>
      <c r="AA66" s="1044"/>
      <c r="AB66" s="1044"/>
      <c r="AC66" s="1044"/>
    </row>
    <row r="67" spans="1:29" ht="15">
      <c r="A67" s="1086"/>
      <c r="B67" s="1282" t="s">
        <v>1715</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57"/>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57"/>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57"/>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58"/>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58"/>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59"/>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58"/>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60"/>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58"/>
      <c r="Q75" s="1294"/>
      <c r="R75" s="1145"/>
      <c r="S75" s="1145"/>
      <c r="T75" s="1145"/>
      <c r="U75" s="1145"/>
      <c r="V75" s="1145"/>
      <c r="W75" s="1145"/>
      <c r="X75" s="1145"/>
      <c r="Y75" s="1145"/>
      <c r="Z75" s="1145"/>
      <c r="AA75" s="1145"/>
      <c r="AB75" s="1145"/>
      <c r="AC75" s="1145"/>
    </row>
    <row r="76" spans="1:29">
      <c r="A76" s="1103" t="s">
        <v>1716</v>
      </c>
      <c r="B76" s="1265" t="s">
        <v>1717</v>
      </c>
      <c r="C76" s="1308" t="s">
        <v>1749</v>
      </c>
      <c r="D76" s="1308" t="s">
        <v>1750</v>
      </c>
      <c r="E76" s="1308" t="s">
        <v>1751</v>
      </c>
      <c r="F76" s="1308" t="s">
        <v>1752</v>
      </c>
      <c r="G76" s="1308" t="s">
        <v>1753</v>
      </c>
      <c r="H76" s="699"/>
      <c r="I76" s="699"/>
      <c r="J76" s="699"/>
      <c r="K76" s="1309"/>
      <c r="L76" s="1310"/>
      <c r="M76" s="1311"/>
      <c r="N76" s="1269"/>
      <c r="O76" s="1269"/>
      <c r="P76" s="1561"/>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57"/>
      <c r="Q77" s="1240"/>
      <c r="R77" s="1044"/>
      <c r="S77" s="1044"/>
      <c r="T77" s="1044"/>
      <c r="U77" s="1044"/>
      <c r="V77" s="1044"/>
      <c r="W77" s="1044"/>
      <c r="X77" s="1044"/>
      <c r="Y77" s="1044"/>
      <c r="Z77" s="1044"/>
      <c r="AA77" s="1044"/>
      <c r="AB77" s="1044"/>
      <c r="AC77" s="1044"/>
    </row>
    <row r="78" spans="1:29" ht="15">
      <c r="A78" s="1086"/>
      <c r="B78" s="1274" t="s">
        <v>1719</v>
      </c>
      <c r="C78" s="1313" t="s">
        <v>1749</v>
      </c>
      <c r="D78" s="1313" t="s">
        <v>1750</v>
      </c>
      <c r="E78" s="1313" t="s">
        <v>1751</v>
      </c>
      <c r="F78" s="1313" t="s">
        <v>1752</v>
      </c>
      <c r="G78" s="1313" t="s">
        <v>1753</v>
      </c>
      <c r="H78" s="1275"/>
      <c r="I78" s="1275"/>
      <c r="J78" s="1275"/>
      <c r="K78" s="1276"/>
      <c r="L78" s="1277"/>
      <c r="M78" s="1278"/>
      <c r="N78" s="1269"/>
      <c r="O78" s="1269"/>
      <c r="P78" s="1557"/>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57"/>
      <c r="Q79" s="1240"/>
      <c r="R79" s="1044"/>
      <c r="S79" s="1044"/>
      <c r="T79" s="1044"/>
      <c r="U79" s="1044"/>
      <c r="V79" s="1044"/>
      <c r="W79" s="1044"/>
      <c r="X79" s="1044"/>
      <c r="Y79" s="1044"/>
      <c r="Z79" s="1044"/>
      <c r="AA79" s="1044"/>
      <c r="AB79" s="1044"/>
      <c r="AC79" s="1044"/>
    </row>
    <row r="80" spans="1:29" ht="15">
      <c r="A80" s="1086"/>
      <c r="B80" s="1274" t="s">
        <v>1720</v>
      </c>
      <c r="C80" s="1313" t="s">
        <v>1749</v>
      </c>
      <c r="D80" s="1313" t="s">
        <v>1750</v>
      </c>
      <c r="E80" s="1313" t="s">
        <v>1751</v>
      </c>
      <c r="F80" s="1313" t="s">
        <v>1752</v>
      </c>
      <c r="G80" s="1313" t="s">
        <v>1753</v>
      </c>
      <c r="H80" s="1275"/>
      <c r="I80" s="1275"/>
      <c r="J80" s="1275"/>
      <c r="K80" s="1276"/>
      <c r="L80" s="1277"/>
      <c r="M80" s="1278"/>
      <c r="N80" s="1269"/>
      <c r="O80" s="1269"/>
      <c r="P80" s="1557"/>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57"/>
      <c r="Q81" s="1240"/>
      <c r="R81" s="1044"/>
      <c r="S81" s="1044"/>
      <c r="T81" s="1044"/>
      <c r="U81" s="1044"/>
      <c r="V81" s="1044"/>
      <c r="W81" s="1044"/>
      <c r="X81" s="1044"/>
      <c r="Y81" s="1044"/>
      <c r="Z81" s="1044"/>
      <c r="AA81" s="1044"/>
      <c r="AB81" s="1044"/>
      <c r="AC81" s="1044"/>
    </row>
    <row r="82" spans="1:29" ht="15">
      <c r="A82" s="1086"/>
      <c r="B82" s="1282" t="s">
        <v>1721</v>
      </c>
      <c r="C82" s="1116" t="s">
        <v>1754</v>
      </c>
      <c r="D82" s="1116" t="s">
        <v>1755</v>
      </c>
      <c r="E82" s="1116" t="s">
        <v>1756</v>
      </c>
      <c r="F82" s="1116" t="s">
        <v>1757</v>
      </c>
      <c r="G82" s="1116" t="s">
        <v>1758</v>
      </c>
      <c r="H82" s="1275"/>
      <c r="I82" s="1275"/>
      <c r="J82" s="1275"/>
      <c r="K82" s="1275"/>
      <c r="L82" s="1275"/>
      <c r="M82" s="1422"/>
      <c r="N82" s="1273"/>
      <c r="O82" s="1273"/>
      <c r="P82" s="1557"/>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57"/>
      <c r="Q83" s="1240"/>
      <c r="R83" s="1044"/>
      <c r="S83" s="1044"/>
      <c r="T83" s="1044"/>
      <c r="U83" s="1044"/>
      <c r="V83" s="1044"/>
      <c r="W83" s="1044"/>
      <c r="X83" s="1044"/>
      <c r="Y83" s="1044"/>
      <c r="Z83" s="1044"/>
      <c r="AA83" s="1044"/>
      <c r="AB83" s="1044"/>
      <c r="AC83" s="1044"/>
    </row>
    <row r="84" spans="1:29" ht="15">
      <c r="A84" s="1086"/>
      <c r="B84" s="1274" t="s">
        <v>1722</v>
      </c>
      <c r="C84" s="1313" t="s">
        <v>1749</v>
      </c>
      <c r="D84" s="1313" t="s">
        <v>1750</v>
      </c>
      <c r="E84" s="1313" t="s">
        <v>1751</v>
      </c>
      <c r="F84" s="1313" t="s">
        <v>1752</v>
      </c>
      <c r="G84" s="1313" t="s">
        <v>1753</v>
      </c>
      <c r="H84" s="1275"/>
      <c r="I84" s="1275"/>
      <c r="J84" s="1275"/>
      <c r="K84" s="1276"/>
      <c r="L84" s="1277"/>
      <c r="M84" s="1278"/>
      <c r="N84" s="1269"/>
      <c r="O84" s="1269"/>
      <c r="P84" s="1557"/>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57"/>
      <c r="Q85" s="1240"/>
      <c r="R85" s="1044"/>
      <c r="S85" s="1044"/>
      <c r="T85" s="1044"/>
      <c r="U85" s="1044"/>
      <c r="V85" s="1044"/>
      <c r="W85" s="1044"/>
      <c r="X85" s="1044"/>
      <c r="Y85" s="1044"/>
      <c r="Z85" s="1044"/>
      <c r="AA85" s="1044"/>
      <c r="AB85" s="1044"/>
      <c r="AC85" s="1044"/>
    </row>
    <row r="86" spans="1:29" s="1011" customFormat="1" ht="15">
      <c r="A86" s="1092"/>
      <c r="B86" s="1274" t="s">
        <v>1781</v>
      </c>
      <c r="C86" s="1289"/>
      <c r="D86" s="1289"/>
      <c r="E86" s="1289"/>
      <c r="F86" s="1289"/>
      <c r="G86" s="1289"/>
      <c r="H86" s="1289"/>
      <c r="I86" s="1289"/>
      <c r="J86" s="1289"/>
      <c r="K86" s="1289"/>
      <c r="L86" s="1423"/>
      <c r="M86" s="1424"/>
      <c r="N86" s="1261"/>
      <c r="O86" s="1261"/>
      <c r="P86" s="1557"/>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57"/>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39"/>
      <c r="G88" s="1289"/>
      <c r="H88" s="1289"/>
      <c r="I88" s="1289"/>
      <c r="J88" s="1289"/>
      <c r="K88" s="1289"/>
      <c r="L88" s="1289"/>
      <c r="M88" s="1424"/>
      <c r="N88" s="1261"/>
      <c r="O88" s="1261"/>
      <c r="P88" s="1557"/>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57"/>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58"/>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58"/>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23"/>
      <c r="M92" s="1424"/>
      <c r="N92" s="1269"/>
      <c r="O92" s="1269"/>
      <c r="P92" s="1557"/>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57"/>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57"/>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57"/>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57"/>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57"/>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57"/>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57"/>
      <c r="Q99" s="1240"/>
      <c r="R99" s="1044"/>
      <c r="S99" s="1044"/>
      <c r="T99" s="1044"/>
      <c r="U99" s="1044"/>
      <c r="V99" s="1044"/>
      <c r="W99" s="1044"/>
      <c r="X99" s="1044"/>
      <c r="Y99" s="1044"/>
      <c r="Z99" s="1044"/>
      <c r="AA99" s="1044"/>
      <c r="AB99" s="1044"/>
      <c r="AC99" s="1044"/>
    </row>
    <row r="100" spans="1:29">
      <c r="A100" s="1103" t="s">
        <v>1725</v>
      </c>
      <c r="B100" s="1265" t="s">
        <v>1785</v>
      </c>
      <c r="C100" s="1153"/>
      <c r="D100" s="1153"/>
      <c r="E100" s="1153"/>
      <c r="F100" s="1153"/>
      <c r="G100" s="1153"/>
      <c r="H100" s="1153"/>
      <c r="I100" s="1153"/>
      <c r="J100" s="1153"/>
      <c r="K100" s="1266"/>
      <c r="L100" s="1267"/>
      <c r="M100" s="1268"/>
      <c r="N100" s="1269"/>
      <c r="O100" s="1269"/>
      <c r="P100" s="1557"/>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57"/>
      <c r="Q101" s="1240"/>
      <c r="R101" s="1044"/>
      <c r="S101" s="1044"/>
      <c r="T101" s="1044"/>
      <c r="U101" s="1044"/>
      <c r="V101" s="1044"/>
      <c r="W101" s="1044"/>
      <c r="X101" s="1044"/>
      <c r="Y101" s="1044"/>
      <c r="Z101" s="1044"/>
      <c r="AA101" s="1044"/>
      <c r="AB101" s="1044"/>
      <c r="AC101" s="1044"/>
    </row>
    <row r="102" spans="1:29" ht="15">
      <c r="A102" s="1086"/>
      <c r="B102" s="1274" t="s">
        <v>1728</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57"/>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58"/>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58"/>
      <c r="Q104" s="1294"/>
      <c r="R104" s="1145"/>
      <c r="S104" s="1145"/>
      <c r="T104" s="1145"/>
      <c r="U104" s="1145"/>
      <c r="V104" s="1145"/>
      <c r="W104" s="1145"/>
      <c r="X104" s="1145"/>
      <c r="Y104" s="1145"/>
      <c r="Z104" s="1145"/>
      <c r="AA104" s="1145"/>
      <c r="AB104" s="1145"/>
      <c r="AC104" s="1145"/>
    </row>
    <row r="105" spans="1:29">
      <c r="A105" s="1154"/>
      <c r="B105" s="1274" t="s">
        <v>1729</v>
      </c>
      <c r="C105" s="1289"/>
      <c r="D105" s="1289"/>
      <c r="E105" s="1323"/>
      <c r="F105" s="1323"/>
      <c r="G105" s="1323"/>
      <c r="H105" s="1323"/>
      <c r="I105" s="1323"/>
      <c r="J105" s="1323"/>
      <c r="K105" s="1324"/>
      <c r="L105" s="1325"/>
      <c r="M105" s="1326"/>
      <c r="N105" s="1269"/>
      <c r="O105" s="1269"/>
      <c r="P105" s="1557"/>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57"/>
      <c r="Q106" s="1240"/>
      <c r="R106" s="1044"/>
      <c r="S106" s="1044"/>
      <c r="T106" s="1044"/>
      <c r="U106" s="1044"/>
      <c r="V106" s="1044"/>
      <c r="W106" s="1044"/>
      <c r="X106" s="1044"/>
      <c r="Y106" s="1044"/>
      <c r="Z106" s="1044"/>
      <c r="AA106" s="1044"/>
      <c r="AB106" s="1044"/>
      <c r="AC106" s="1044"/>
    </row>
    <row r="107" spans="1:29">
      <c r="A107" s="1154"/>
      <c r="B107" s="1274" t="s">
        <v>1731</v>
      </c>
      <c r="C107" s="1289"/>
      <c r="D107" s="1289"/>
      <c r="E107" s="1289"/>
      <c r="F107" s="1323"/>
      <c r="G107" s="1323"/>
      <c r="H107" s="1323"/>
      <c r="I107" s="1323"/>
      <c r="J107" s="1323"/>
      <c r="K107" s="1324"/>
      <c r="L107" s="1325"/>
      <c r="M107" s="1326"/>
      <c r="N107" s="1269"/>
      <c r="O107" s="1269"/>
      <c r="P107" s="1557"/>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57"/>
      <c r="Q108" s="1240"/>
      <c r="R108" s="1044"/>
      <c r="S108" s="1044"/>
      <c r="T108" s="1044"/>
      <c r="U108" s="1044"/>
      <c r="V108" s="1044"/>
      <c r="W108" s="1044"/>
      <c r="X108" s="1044"/>
      <c r="Y108" s="1044"/>
      <c r="Z108" s="1044"/>
      <c r="AA108" s="1044"/>
      <c r="AB108" s="1044"/>
      <c r="AC108" s="1044"/>
    </row>
    <row r="109" spans="1:29">
      <c r="A109" s="1154"/>
      <c r="B109" s="1274" t="s">
        <v>700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57"/>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557"/>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57"/>
      <c r="Q111" s="1240"/>
      <c r="R111" s="1044"/>
      <c r="S111" s="1044"/>
      <c r="T111" s="1044"/>
      <c r="U111" s="1044"/>
      <c r="V111" s="1044"/>
      <c r="W111" s="1044"/>
      <c r="X111" s="1044"/>
      <c r="Y111" s="1044"/>
      <c r="Z111" s="1044"/>
      <c r="AA111" s="1044"/>
      <c r="AB111" s="1044"/>
      <c r="AC111" s="1044"/>
    </row>
    <row r="112" spans="1:29" s="1013" customFormat="1">
      <c r="A112" s="1159"/>
      <c r="B112" s="1274" t="s">
        <v>1733</v>
      </c>
      <c r="C112" s="1289"/>
      <c r="D112" s="1289"/>
      <c r="E112" s="1289"/>
      <c r="F112" s="1289"/>
      <c r="G112" s="1289"/>
      <c r="H112" s="1323"/>
      <c r="I112" s="1323"/>
      <c r="J112" s="1323"/>
      <c r="K112" s="1324"/>
      <c r="L112" s="1325"/>
      <c r="M112" s="1326"/>
      <c r="N112" s="1293"/>
      <c r="O112" s="1293"/>
      <c r="P112" s="1558"/>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58"/>
      <c r="Q113" s="1294"/>
      <c r="R113" s="1145"/>
      <c r="S113" s="1145"/>
      <c r="T113" s="1145"/>
      <c r="U113" s="1145"/>
      <c r="V113" s="1145"/>
      <c r="W113" s="1145"/>
      <c r="X113" s="1145"/>
      <c r="Y113" s="1145"/>
      <c r="Z113" s="1145"/>
      <c r="AA113" s="1145"/>
      <c r="AB113" s="1145"/>
      <c r="AC113" s="1145"/>
    </row>
    <row r="114" spans="1:29">
      <c r="A114" s="1154"/>
      <c r="B114" s="1274" t="s">
        <v>1786</v>
      </c>
      <c r="C114" s="1289"/>
      <c r="D114" s="1289"/>
      <c r="E114" s="1323"/>
      <c r="F114" s="1323"/>
      <c r="G114" s="1323"/>
      <c r="H114" s="1323"/>
      <c r="I114" s="1323"/>
      <c r="J114" s="1323"/>
      <c r="K114" s="1324"/>
      <c r="L114" s="1325"/>
      <c r="M114" s="1326"/>
      <c r="N114" s="1269"/>
      <c r="O114" s="1269"/>
      <c r="P114" s="1557"/>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57"/>
      <c r="Q115" s="1240"/>
      <c r="R115" s="1044"/>
      <c r="S115" s="1044"/>
      <c r="T115" s="1044"/>
      <c r="U115" s="1044"/>
      <c r="V115" s="1044"/>
      <c r="W115" s="1044"/>
      <c r="X115" s="1044"/>
      <c r="Y115" s="1044"/>
      <c r="Z115" s="1044"/>
      <c r="AA115" s="1044"/>
      <c r="AB115" s="1044"/>
      <c r="AC115" s="1044"/>
    </row>
    <row r="116" spans="1:29">
      <c r="A116" s="1154"/>
      <c r="B116" s="1274" t="s">
        <v>1787</v>
      </c>
      <c r="C116" s="1289"/>
      <c r="D116" s="1289"/>
      <c r="E116" s="1289"/>
      <c r="F116" s="1289"/>
      <c r="G116" s="1289"/>
      <c r="H116" s="1323"/>
      <c r="I116" s="1323"/>
      <c r="J116" s="1323"/>
      <c r="K116" s="1324"/>
      <c r="L116" s="1325"/>
      <c r="M116" s="1326"/>
      <c r="N116" s="1269"/>
      <c r="O116" s="1269"/>
      <c r="P116" s="1557"/>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57"/>
      <c r="Q117" s="1240"/>
      <c r="R117" s="1044"/>
      <c r="S117" s="1044"/>
      <c r="T117" s="1044"/>
      <c r="U117" s="1044"/>
      <c r="V117" s="1044"/>
      <c r="W117" s="1044"/>
      <c r="X117" s="1044"/>
      <c r="Y117" s="1044"/>
      <c r="Z117" s="1044"/>
      <c r="AA117" s="1044"/>
      <c r="AB117" s="1044"/>
      <c r="AC117" s="1044"/>
    </row>
    <row r="118" spans="1:29">
      <c r="A118" s="1154"/>
      <c r="B118" s="1274" t="s">
        <v>1788</v>
      </c>
      <c r="C118" s="1562"/>
      <c r="D118" s="1562"/>
      <c r="E118" s="1562"/>
      <c r="F118" s="1562"/>
      <c r="G118" s="1562"/>
      <c r="H118" s="1290"/>
      <c r="I118" s="1290"/>
      <c r="J118" s="1290"/>
      <c r="K118" s="1290"/>
      <c r="L118" s="1291"/>
      <c r="M118" s="1292"/>
      <c r="N118" s="1269"/>
      <c r="O118" s="1269"/>
      <c r="P118" s="1557"/>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57"/>
      <c r="Q119" s="1240"/>
      <c r="R119" s="1044"/>
      <c r="S119" s="1044"/>
      <c r="T119" s="1044"/>
      <c r="U119" s="1044"/>
      <c r="V119" s="1044"/>
      <c r="W119" s="1044"/>
      <c r="X119" s="1044"/>
      <c r="Y119" s="1044"/>
      <c r="Z119" s="1044"/>
      <c r="AA119" s="1044"/>
      <c r="AB119" s="1044"/>
      <c r="AC119" s="1044"/>
    </row>
    <row r="120" spans="1:29" s="1013" customFormat="1">
      <c r="A120" s="1159"/>
      <c r="B120" s="1274" t="s">
        <v>1790</v>
      </c>
      <c r="C120" s="1323"/>
      <c r="D120" s="1323"/>
      <c r="E120" s="1323"/>
      <c r="F120" s="1323"/>
      <c r="G120" s="1290"/>
      <c r="H120" s="1290"/>
      <c r="I120" s="1290"/>
      <c r="J120" s="1290"/>
      <c r="K120" s="1290"/>
      <c r="L120" s="1291"/>
      <c r="M120" s="1292"/>
      <c r="N120" s="1293"/>
      <c r="O120" s="1293"/>
      <c r="P120" s="1558"/>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58"/>
      <c r="Q121" s="1294"/>
      <c r="R121" s="1145"/>
      <c r="S121" s="1145"/>
      <c r="T121" s="1145"/>
      <c r="U121" s="1145"/>
      <c r="V121" s="1145"/>
      <c r="W121" s="1145"/>
      <c r="X121" s="1145"/>
      <c r="Y121" s="1145"/>
      <c r="Z121" s="1145"/>
      <c r="AA121" s="1145"/>
      <c r="AB121" s="1145"/>
      <c r="AC121" s="1145"/>
    </row>
    <row r="122" spans="1:29">
      <c r="A122" s="1154"/>
      <c r="B122" s="1274" t="s">
        <v>1736</v>
      </c>
      <c r="C122" s="1289"/>
      <c r="D122" s="1289"/>
      <c r="E122" s="1289"/>
      <c r="F122" s="1323"/>
      <c r="G122" s="1323"/>
      <c r="H122" s="1323"/>
      <c r="I122" s="1323"/>
      <c r="J122" s="1323"/>
      <c r="K122" s="1324"/>
      <c r="L122" s="1325"/>
      <c r="M122" s="1326"/>
      <c r="N122" s="1269"/>
      <c r="O122" s="1269"/>
      <c r="P122" s="1557"/>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57"/>
      <c r="Q123" s="1240"/>
      <c r="R123" s="1044"/>
      <c r="S123" s="1044"/>
      <c r="T123" s="1044"/>
      <c r="U123" s="1044"/>
      <c r="V123" s="1044"/>
      <c r="W123" s="1044"/>
      <c r="X123" s="1044"/>
      <c r="Y123" s="1044"/>
      <c r="Z123" s="1044"/>
      <c r="AA123" s="1044"/>
      <c r="AB123" s="1044"/>
      <c r="AC123" s="1044"/>
    </row>
    <row r="124" spans="1:29">
      <c r="A124" s="1154"/>
      <c r="B124" s="1274" t="s">
        <v>1737</v>
      </c>
      <c r="C124" s="1313" t="s">
        <v>1749</v>
      </c>
      <c r="D124" s="1313" t="s">
        <v>1750</v>
      </c>
      <c r="E124" s="1313" t="s">
        <v>1751</v>
      </c>
      <c r="F124" s="1313" t="s">
        <v>1752</v>
      </c>
      <c r="G124" s="1313" t="s">
        <v>1753</v>
      </c>
      <c r="H124" s="1275"/>
      <c r="I124" s="1275"/>
      <c r="J124" s="1275"/>
      <c r="K124" s="1276"/>
      <c r="L124" s="1277"/>
      <c r="M124" s="1278"/>
      <c r="N124" s="1269"/>
      <c r="O124" s="1269"/>
      <c r="P124" s="1558"/>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57"/>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58"/>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58"/>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57"/>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57"/>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57"/>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57"/>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1791</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f>IF(C2="——",C50,ROUND(B2*10000/D3,0))</f>
        <v>0</v>
      </c>
      <c r="C3" s="1389" t="s">
        <v>1691</v>
      </c>
      <c r="D3" s="1390">
        <f>IF(D1="",'数据-汇总表'!E3,SUMIF('数据-汇总表'!$C19:$C33,D1,'数据-汇总表'!$E19:$E33))</f>
        <v>50585.8</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42" t="s">
        <v>1698</v>
      </c>
      <c r="Q4" s="3443"/>
      <c r="R4" s="3446" t="s">
        <v>1694</v>
      </c>
      <c r="S4" s="3447"/>
      <c r="T4" s="3446" t="s">
        <v>1695</v>
      </c>
      <c r="U4" s="3447"/>
      <c r="V4" s="3448" t="s">
        <v>1696</v>
      </c>
      <c r="W4" s="3448"/>
      <c r="X4" s="1525"/>
      <c r="Y4" s="3446" t="s">
        <v>1698</v>
      </c>
      <c r="Z4" s="3447"/>
      <c r="AA4" s="3438" t="s">
        <v>1694</v>
      </c>
      <c r="AB4" s="3438" t="s">
        <v>1695</v>
      </c>
      <c r="AC4" s="3439" t="s">
        <v>1696</v>
      </c>
    </row>
    <row r="5" spans="1:29" ht="15">
      <c r="A5" s="1049"/>
      <c r="B5" s="1050"/>
      <c r="C5" s="3393" t="s">
        <v>1699</v>
      </c>
      <c r="D5" s="3394"/>
      <c r="E5" s="3395" t="s">
        <v>1700</v>
      </c>
      <c r="F5" s="3396"/>
      <c r="G5" s="3393" t="s">
        <v>1701</v>
      </c>
      <c r="H5" s="3394"/>
      <c r="I5" s="3393" t="s">
        <v>1702</v>
      </c>
      <c r="J5" s="3394"/>
      <c r="K5" s="1042"/>
      <c r="L5" s="1043"/>
      <c r="M5" s="1044"/>
      <c r="N5" s="1044"/>
      <c r="O5" s="1044"/>
      <c r="P5" s="3444"/>
      <c r="Q5" s="3425"/>
      <c r="R5" s="3430"/>
      <c r="S5" s="3431"/>
      <c r="T5" s="3430"/>
      <c r="U5" s="3431"/>
      <c r="V5" s="3405"/>
      <c r="W5" s="3405"/>
      <c r="X5" s="1048"/>
      <c r="Y5" s="3430"/>
      <c r="Z5" s="3431"/>
      <c r="AA5" s="3420"/>
      <c r="AB5" s="3420"/>
      <c r="AC5" s="3440"/>
    </row>
    <row r="6" spans="1:29" ht="15">
      <c r="A6" s="1052"/>
      <c r="B6" s="1053"/>
      <c r="C6" s="3397" t="s">
        <v>1703</v>
      </c>
      <c r="D6" s="3398"/>
      <c r="E6" s="3399" t="s">
        <v>1703</v>
      </c>
      <c r="F6" s="3400"/>
      <c r="G6" s="3397" t="s">
        <v>1703</v>
      </c>
      <c r="H6" s="3398"/>
      <c r="I6" s="3397" t="s">
        <v>1703</v>
      </c>
      <c r="J6" s="3398"/>
      <c r="K6" s="1042" t="s">
        <v>1704</v>
      </c>
      <c r="L6" s="1043"/>
      <c r="M6" s="1044"/>
      <c r="N6" s="1044"/>
      <c r="O6" s="1044"/>
      <c r="P6" s="3445"/>
      <c r="Q6" s="3427"/>
      <c r="R6" s="3430"/>
      <c r="S6" s="3431"/>
      <c r="T6" s="3432"/>
      <c r="U6" s="3433"/>
      <c r="V6" s="3405"/>
      <c r="W6" s="3405"/>
      <c r="X6" s="1048"/>
      <c r="Y6" s="3432"/>
      <c r="Z6" s="3433"/>
      <c r="AA6" s="3421"/>
      <c r="AB6" s="3421"/>
      <c r="AC6" s="3441"/>
    </row>
    <row r="7" spans="1:29" s="1011" customFormat="1" ht="15">
      <c r="A7" s="1056" t="s">
        <v>1705</v>
      </c>
      <c r="B7" s="1057"/>
      <c r="C7" s="1058">
        <f>'数据-取费表'!B2</f>
        <v>45980</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34"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526" t="e">
        <f>D7/J7</f>
        <v>#DIV/0!</v>
      </c>
    </row>
    <row r="8" spans="1:29" s="1011" customFormat="1" ht="15">
      <c r="A8" s="1056" t="s">
        <v>1708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34" t="s">
        <v>1709</v>
      </c>
      <c r="Q8" s="3403"/>
      <c r="R8" s="1067" t="s">
        <v>1707</v>
      </c>
      <c r="S8" s="1068">
        <f t="shared" si="0"/>
        <v>100</v>
      </c>
      <c r="T8" s="1067" t="s">
        <v>1707</v>
      </c>
      <c r="U8" s="1068">
        <f t="shared" si="1"/>
        <v>100</v>
      </c>
      <c r="V8" s="1067" t="s">
        <v>1707</v>
      </c>
      <c r="W8" s="1068">
        <f t="shared" si="2"/>
        <v>100</v>
      </c>
      <c r="X8" s="1069"/>
      <c r="Y8" s="3401" t="s">
        <v>1709</v>
      </c>
      <c r="Z8" s="3403"/>
      <c r="AA8" s="1071">
        <f t="shared" ref="AA8:AA47" si="3">D8/F8</f>
        <v>1</v>
      </c>
      <c r="AB8" s="1071">
        <f t="shared" ref="AB8:AB47" si="4">D8/H8</f>
        <v>1</v>
      </c>
      <c r="AC8" s="1526">
        <f t="shared" ref="AC8:AC47" si="5">D8/J8</f>
        <v>1</v>
      </c>
    </row>
    <row r="9" spans="1:29" s="1011" customFormat="1">
      <c r="A9" s="1073" t="s">
        <v>1710</v>
      </c>
      <c r="B9" s="1074" t="s">
        <v>1711</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406"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526">
        <f t="shared" si="5"/>
        <v>1</v>
      </c>
    </row>
    <row r="10" spans="1:29" s="1012" customFormat="1" ht="27">
      <c r="A10" s="1078"/>
      <c r="B10" s="1079" t="s">
        <v>1714</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406"/>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526">
        <f t="shared" si="5"/>
        <v>1</v>
      </c>
    </row>
    <row r="11" spans="1:29" ht="15">
      <c r="A11" s="1086"/>
      <c r="B11" s="1079" t="s">
        <v>1715</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06"/>
      <c r="Q11" s="811" t="str">
        <f t="shared" si="6"/>
        <v>容积率</v>
      </c>
      <c r="R11" s="1067" t="s">
        <v>1707</v>
      </c>
      <c r="S11" s="1068">
        <f t="shared" si="0"/>
        <v>100</v>
      </c>
      <c r="T11" s="1067" t="s">
        <v>1707</v>
      </c>
      <c r="U11" s="1068">
        <f t="shared" si="1"/>
        <v>100</v>
      </c>
      <c r="V11" s="1067" t="s">
        <v>1707</v>
      </c>
      <c r="W11" s="1068">
        <f t="shared" si="2"/>
        <v>100</v>
      </c>
      <c r="X11" s="1069"/>
      <c r="Y11" s="3354"/>
      <c r="Z11" s="1071" t="str">
        <f t="shared" si="7"/>
        <v>容积率</v>
      </c>
      <c r="AA11" s="1071">
        <f t="shared" si="3"/>
        <v>1</v>
      </c>
      <c r="AB11" s="1071">
        <f t="shared" si="4"/>
        <v>1</v>
      </c>
      <c r="AC11" s="1526">
        <f t="shared" si="5"/>
        <v>1</v>
      </c>
    </row>
    <row r="12" spans="1:29" s="1011" customFormat="1" ht="1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406"/>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526">
        <f t="shared" si="5"/>
        <v>1</v>
      </c>
    </row>
    <row r="13" spans="1:29" ht="1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406"/>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526">
        <f t="shared" si="5"/>
        <v>1</v>
      </c>
    </row>
    <row r="14" spans="1:29" ht="1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406"/>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526">
        <f t="shared" si="5"/>
        <v>1</v>
      </c>
    </row>
    <row r="15" spans="1:29" ht="15">
      <c r="A15" s="1103" t="s">
        <v>1716</v>
      </c>
      <c r="B15" s="1104" t="s">
        <v>1792</v>
      </c>
      <c r="C15" s="1528">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407" t="s">
        <v>1718</v>
      </c>
      <c r="Q15" s="707" t="str">
        <f t="shared" si="6"/>
        <v>办公集聚程度</v>
      </c>
      <c r="R15" s="1109" t="s">
        <v>1707</v>
      </c>
      <c r="S15" s="1110">
        <f t="shared" si="0"/>
        <v>100</v>
      </c>
      <c r="T15" s="1109" t="s">
        <v>1707</v>
      </c>
      <c r="U15" s="1110">
        <f t="shared" si="1"/>
        <v>100</v>
      </c>
      <c r="V15" s="1109" t="s">
        <v>1707</v>
      </c>
      <c r="W15" s="1110">
        <f t="shared" si="2"/>
        <v>100</v>
      </c>
      <c r="X15" s="1048"/>
      <c r="Y15" s="3412" t="s">
        <v>1718</v>
      </c>
      <c r="Z15" s="1047" t="str">
        <f t="shared" si="7"/>
        <v>办公集聚程度</v>
      </c>
      <c r="AA15" s="1047">
        <f t="shared" si="3"/>
        <v>1</v>
      </c>
      <c r="AB15" s="1047">
        <f t="shared" si="4"/>
        <v>1</v>
      </c>
      <c r="AC15" s="1529">
        <f t="shared" si="5"/>
        <v>1</v>
      </c>
    </row>
    <row r="16" spans="1:29" ht="15">
      <c r="A16" s="1086"/>
      <c r="B16" s="1111"/>
      <c r="C16" s="1114"/>
      <c r="D16" s="1113"/>
      <c r="E16" s="1112"/>
      <c r="F16" s="1113"/>
      <c r="G16" s="1114"/>
      <c r="H16" s="1115"/>
      <c r="I16" s="1112"/>
      <c r="J16" s="1113"/>
      <c r="K16" s="1398"/>
      <c r="L16" s="1098"/>
      <c r="M16" s="1044"/>
      <c r="N16" s="1044"/>
      <c r="O16" s="1044"/>
      <c r="P16" s="3408"/>
      <c r="Q16" s="707"/>
      <c r="R16" s="1109"/>
      <c r="S16" s="1110"/>
      <c r="T16" s="1109"/>
      <c r="U16" s="1110"/>
      <c r="V16" s="1109"/>
      <c r="W16" s="1110"/>
      <c r="X16" s="1048"/>
      <c r="Y16" s="3413"/>
      <c r="Z16" s="1047"/>
      <c r="AA16" s="1047">
        <v>1</v>
      </c>
      <c r="AB16" s="1047">
        <v>1</v>
      </c>
      <c r="AC16" s="1529">
        <v>1</v>
      </c>
    </row>
    <row r="17" spans="1:29" ht="15">
      <c r="A17" s="1086"/>
      <c r="B17" s="1117" t="s">
        <v>1719</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408"/>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529">
        <f t="shared" si="5"/>
        <v>1</v>
      </c>
    </row>
    <row r="18" spans="1:29" ht="15">
      <c r="A18" s="1086"/>
      <c r="B18" s="1122"/>
      <c r="C18" s="1530"/>
      <c r="D18" s="1115"/>
      <c r="E18" s="1349"/>
      <c r="F18" s="1115"/>
      <c r="G18" s="1348"/>
      <c r="H18" s="1113"/>
      <c r="I18" s="1348"/>
      <c r="J18" s="1113"/>
      <c r="K18" s="1398"/>
      <c r="L18" s="1098"/>
      <c r="M18" s="1044"/>
      <c r="N18" s="1044"/>
      <c r="O18" s="1044"/>
      <c r="P18" s="3408"/>
      <c r="Q18" s="707"/>
      <c r="R18" s="1109"/>
      <c r="S18" s="1110"/>
      <c r="T18" s="1109"/>
      <c r="U18" s="1110"/>
      <c r="V18" s="1109"/>
      <c r="W18" s="1110"/>
      <c r="X18" s="1048"/>
      <c r="Y18" s="3413"/>
      <c r="Z18" s="1047"/>
      <c r="AA18" s="1047">
        <v>1</v>
      </c>
      <c r="AB18" s="1047">
        <v>1</v>
      </c>
      <c r="AC18" s="1529">
        <v>1</v>
      </c>
    </row>
    <row r="19" spans="1:29" ht="15">
      <c r="A19" s="1086"/>
      <c r="B19" s="1117" t="s">
        <v>1720</v>
      </c>
      <c r="C19" s="1046">
        <f>估价对象房地状况!C7</f>
        <v>0</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408"/>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529">
        <f t="shared" si="5"/>
        <v>1</v>
      </c>
    </row>
    <row r="20" spans="1:29" ht="15">
      <c r="A20" s="1086"/>
      <c r="B20" s="1122"/>
      <c r="C20" s="1114"/>
      <c r="D20" s="1113"/>
      <c r="E20" s="1124"/>
      <c r="F20" s="1113"/>
      <c r="G20" s="1123"/>
      <c r="H20" s="1113"/>
      <c r="I20" s="1123"/>
      <c r="J20" s="1113"/>
      <c r="K20" s="1398"/>
      <c r="L20" s="1098"/>
      <c r="M20" s="1044"/>
      <c r="N20" s="1044"/>
      <c r="O20" s="1044"/>
      <c r="P20" s="3408"/>
      <c r="Q20" s="707"/>
      <c r="R20" s="1109"/>
      <c r="S20" s="1110"/>
      <c r="T20" s="1109"/>
      <c r="U20" s="1110"/>
      <c r="V20" s="1109"/>
      <c r="W20" s="1110"/>
      <c r="X20" s="1048"/>
      <c r="Y20" s="3413"/>
      <c r="Z20" s="1047"/>
      <c r="AA20" s="1047">
        <v>1</v>
      </c>
      <c r="AB20" s="1047">
        <v>1</v>
      </c>
      <c r="AC20" s="1529">
        <v>1</v>
      </c>
    </row>
    <row r="21" spans="1:29" ht="15">
      <c r="A21" s="1086"/>
      <c r="B21" s="1127" t="s">
        <v>1721</v>
      </c>
      <c r="C21" s="1046">
        <f>估价对象房地状况!C8</f>
        <v>0</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408"/>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529">
        <f t="shared" ref="AC21" si="10">D21/J21</f>
        <v>1</v>
      </c>
    </row>
    <row r="22" spans="1:29" ht="15">
      <c r="A22" s="1086"/>
      <c r="B22" s="1127"/>
      <c r="C22" s="1530"/>
      <c r="D22" s="1113"/>
      <c r="E22" s="1112"/>
      <c r="F22" s="1113"/>
      <c r="G22" s="1114"/>
      <c r="H22" s="1113"/>
      <c r="I22" s="1114"/>
      <c r="J22" s="1113"/>
      <c r="K22" s="1399"/>
      <c r="L22" s="1098"/>
      <c r="M22" s="1044"/>
      <c r="N22" s="1044"/>
      <c r="O22" s="1044"/>
      <c r="P22" s="3408"/>
      <c r="Q22" s="707"/>
      <c r="R22" s="1109"/>
      <c r="S22" s="1110"/>
      <c r="T22" s="1109"/>
      <c r="U22" s="1110"/>
      <c r="V22" s="1109"/>
      <c r="W22" s="1110"/>
      <c r="X22" s="1048"/>
      <c r="Y22" s="3413"/>
      <c r="Z22" s="1047"/>
      <c r="AA22" s="1047">
        <v>1</v>
      </c>
      <c r="AB22" s="1047">
        <v>1</v>
      </c>
      <c r="AC22" s="1529">
        <v>1</v>
      </c>
    </row>
    <row r="23" spans="1:29" ht="15">
      <c r="A23" s="1086"/>
      <c r="B23" s="1117" t="s">
        <v>1793</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408"/>
      <c r="Q23" s="707" t="str">
        <f>B23</f>
        <v>环境质量</v>
      </c>
      <c r="R23" s="1109" t="s">
        <v>1707</v>
      </c>
      <c r="S23" s="1110">
        <f>F23</f>
        <v>100</v>
      </c>
      <c r="T23" s="1109" t="s">
        <v>1707</v>
      </c>
      <c r="U23" s="1110">
        <f>H23</f>
        <v>100</v>
      </c>
      <c r="V23" s="1109" t="s">
        <v>1707</v>
      </c>
      <c r="W23" s="1110">
        <f>J23</f>
        <v>100</v>
      </c>
      <c r="X23" s="1048"/>
      <c r="Y23" s="3413"/>
      <c r="Z23" s="1047" t="str">
        <f>Q23</f>
        <v>环境质量</v>
      </c>
      <c r="AA23" s="1047">
        <f t="shared" si="3"/>
        <v>1</v>
      </c>
      <c r="AB23" s="1047">
        <f t="shared" si="4"/>
        <v>1</v>
      </c>
      <c r="AC23" s="1529">
        <f t="shared" si="5"/>
        <v>1</v>
      </c>
    </row>
    <row r="24" spans="1:29" ht="15">
      <c r="A24" s="1086"/>
      <c r="B24" s="1127"/>
      <c r="C24" s="1114"/>
      <c r="D24" s="1113"/>
      <c r="E24" s="1124"/>
      <c r="F24" s="1113"/>
      <c r="G24" s="1123"/>
      <c r="H24" s="1113"/>
      <c r="I24" s="1123"/>
      <c r="J24" s="1113"/>
      <c r="K24" s="1398"/>
      <c r="L24" s="1098"/>
      <c r="M24" s="1044"/>
      <c r="N24" s="1044"/>
      <c r="O24" s="1044"/>
      <c r="P24" s="3408"/>
      <c r="Q24" s="707"/>
      <c r="R24" s="1109"/>
      <c r="S24" s="1110"/>
      <c r="T24" s="1109"/>
      <c r="U24" s="1110"/>
      <c r="V24" s="1109"/>
      <c r="W24" s="1110"/>
      <c r="X24" s="1048"/>
      <c r="Y24" s="3413"/>
      <c r="Z24" s="1047"/>
      <c r="AA24" s="1047">
        <v>1</v>
      </c>
      <c r="AB24" s="1047">
        <v>1</v>
      </c>
      <c r="AC24" s="1529">
        <v>1</v>
      </c>
    </row>
    <row r="25" spans="1:29" ht="27">
      <c r="A25" s="1049"/>
      <c r="B25" s="1117" t="s">
        <v>1794</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408"/>
      <c r="Q25" s="707" t="str">
        <f>B25</f>
        <v>毗邻道路的类型与等级</v>
      </c>
      <c r="R25" s="1109" t="s">
        <v>1707</v>
      </c>
      <c r="S25" s="1110">
        <f>F25</f>
        <v>100</v>
      </c>
      <c r="T25" s="1109" t="s">
        <v>1707</v>
      </c>
      <c r="U25" s="1110">
        <f>H25</f>
        <v>100</v>
      </c>
      <c r="V25" s="1109" t="s">
        <v>1707</v>
      </c>
      <c r="W25" s="1110">
        <f>J25</f>
        <v>100</v>
      </c>
      <c r="X25" s="1048"/>
      <c r="Y25" s="3413"/>
      <c r="Z25" s="1047" t="str">
        <f>Q25</f>
        <v>毗邻道路的类型与等级</v>
      </c>
      <c r="AA25" s="1047">
        <f t="shared" si="3"/>
        <v>1</v>
      </c>
      <c r="AB25" s="1047">
        <f t="shared" si="4"/>
        <v>1</v>
      </c>
      <c r="AC25" s="1529">
        <f t="shared" si="5"/>
        <v>1</v>
      </c>
    </row>
    <row r="26" spans="1:29" ht="15">
      <c r="A26" s="1049"/>
      <c r="B26" s="1122"/>
      <c r="C26" s="1131"/>
      <c r="D26" s="708"/>
      <c r="E26" s="1130"/>
      <c r="F26" s="708"/>
      <c r="G26" s="1131"/>
      <c r="H26" s="708"/>
      <c r="I26" s="1130"/>
      <c r="J26" s="708"/>
      <c r="K26" s="1398"/>
      <c r="L26" s="1098"/>
      <c r="M26" s="1044"/>
      <c r="N26" s="1044"/>
      <c r="O26" s="1044"/>
      <c r="P26" s="3408"/>
      <c r="Q26" s="707"/>
      <c r="R26" s="1109"/>
      <c r="S26" s="1110"/>
      <c r="T26" s="1109"/>
      <c r="U26" s="1110"/>
      <c r="V26" s="1109"/>
      <c r="W26" s="1110"/>
      <c r="X26" s="1048"/>
      <c r="Y26" s="3413"/>
      <c r="Z26" s="1047"/>
      <c r="AA26" s="1047">
        <v>1</v>
      </c>
      <c r="AB26" s="1047">
        <v>1</v>
      </c>
      <c r="AC26" s="1529">
        <v>1</v>
      </c>
    </row>
    <row r="27" spans="1:29" ht="15">
      <c r="A27" s="1086"/>
      <c r="B27" s="1122" t="s">
        <v>1784</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08"/>
      <c r="Q27" s="707" t="str">
        <f t="shared" ref="Q27:Q47" si="11">B27</f>
        <v>楼层</v>
      </c>
      <c r="R27" s="1109" t="s">
        <v>1707</v>
      </c>
      <c r="S27" s="1110">
        <f>F27</f>
        <v>100</v>
      </c>
      <c r="T27" s="1109" t="s">
        <v>1707</v>
      </c>
      <c r="U27" s="1110">
        <f>H27</f>
        <v>100</v>
      </c>
      <c r="V27" s="1109" t="s">
        <v>1707</v>
      </c>
      <c r="W27" s="1110">
        <f>J27</f>
        <v>100</v>
      </c>
      <c r="X27" s="1048"/>
      <c r="Y27" s="3413"/>
      <c r="Z27" s="1047" t="str">
        <f>Q27</f>
        <v>楼层</v>
      </c>
      <c r="AA27" s="1047">
        <f t="shared" si="3"/>
        <v>1</v>
      </c>
      <c r="AB27" s="1047">
        <f t="shared" si="4"/>
        <v>1</v>
      </c>
      <c r="AC27" s="1529">
        <f t="shared" si="5"/>
        <v>1</v>
      </c>
    </row>
    <row r="28" spans="1:29" s="1011" customFormat="1" ht="15">
      <c r="A28" s="1092"/>
      <c r="B28" s="1117" t="s">
        <v>1724</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408"/>
      <c r="Q28" s="811" t="str">
        <f t="shared" si="11"/>
        <v>朝向</v>
      </c>
      <c r="R28" s="1067" t="s">
        <v>1707</v>
      </c>
      <c r="S28" s="1068">
        <f>F28</f>
        <v>100</v>
      </c>
      <c r="T28" s="1067" t="s">
        <v>1707</v>
      </c>
      <c r="U28" s="1068">
        <f>H28</f>
        <v>100</v>
      </c>
      <c r="V28" s="1067" t="s">
        <v>1707</v>
      </c>
      <c r="W28" s="1068">
        <f>J28</f>
        <v>100</v>
      </c>
      <c r="X28" s="1069"/>
      <c r="Y28" s="3413"/>
      <c r="Z28" s="1071" t="str">
        <f>Q28</f>
        <v>朝向</v>
      </c>
      <c r="AA28" s="1047">
        <f t="shared" si="3"/>
        <v>1</v>
      </c>
      <c r="AB28" s="1047">
        <f t="shared" si="4"/>
        <v>1</v>
      </c>
      <c r="AC28" s="1529">
        <f t="shared" si="5"/>
        <v>1</v>
      </c>
    </row>
    <row r="29" spans="1:29" ht="1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408"/>
      <c r="Q29" s="707">
        <f t="shared" si="11"/>
        <v>111</v>
      </c>
      <c r="R29" s="1109" t="s">
        <v>1707</v>
      </c>
      <c r="S29" s="1110">
        <f t="shared" ref="S29:S47" si="12">F29</f>
        <v>100</v>
      </c>
      <c r="T29" s="1109" t="s">
        <v>1707</v>
      </c>
      <c r="U29" s="1110">
        <f t="shared" ref="U29:U47" si="13">H29</f>
        <v>100</v>
      </c>
      <c r="V29" s="1109" t="s">
        <v>1707</v>
      </c>
      <c r="W29" s="1110">
        <f t="shared" ref="W29:W47" si="14">J29</f>
        <v>100</v>
      </c>
      <c r="X29" s="1048"/>
      <c r="Y29" s="3413"/>
      <c r="Z29" s="1047">
        <f t="shared" ref="Z29:Z47" si="15">Q29</f>
        <v>111</v>
      </c>
      <c r="AA29" s="1047">
        <f t="shared" si="3"/>
        <v>1</v>
      </c>
      <c r="AB29" s="1047">
        <f t="shared" si="4"/>
        <v>1</v>
      </c>
      <c r="AC29" s="1529">
        <f t="shared" si="5"/>
        <v>1</v>
      </c>
    </row>
    <row r="30" spans="1:29" ht="1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408"/>
      <c r="Q30" s="707">
        <f t="shared" si="11"/>
        <v>111</v>
      </c>
      <c r="R30" s="1109" t="s">
        <v>1707</v>
      </c>
      <c r="S30" s="1110">
        <f t="shared" si="12"/>
        <v>100</v>
      </c>
      <c r="T30" s="1109" t="s">
        <v>1707</v>
      </c>
      <c r="U30" s="1110">
        <f t="shared" si="13"/>
        <v>100</v>
      </c>
      <c r="V30" s="1109" t="s">
        <v>1707</v>
      </c>
      <c r="W30" s="1110">
        <f t="shared" si="14"/>
        <v>100</v>
      </c>
      <c r="X30" s="1048"/>
      <c r="Y30" s="3413"/>
      <c r="Z30" s="1047">
        <f t="shared" si="15"/>
        <v>111</v>
      </c>
      <c r="AA30" s="1047">
        <f t="shared" si="3"/>
        <v>1</v>
      </c>
      <c r="AB30" s="1047">
        <f t="shared" si="4"/>
        <v>1</v>
      </c>
      <c r="AC30" s="1529">
        <f t="shared" si="5"/>
        <v>1</v>
      </c>
    </row>
    <row r="31" spans="1:29" ht="1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408"/>
      <c r="Q31" s="707">
        <f t="shared" si="11"/>
        <v>111</v>
      </c>
      <c r="R31" s="1109" t="s">
        <v>1707</v>
      </c>
      <c r="S31" s="1110">
        <f t="shared" si="12"/>
        <v>100</v>
      </c>
      <c r="T31" s="1109" t="s">
        <v>1707</v>
      </c>
      <c r="U31" s="1110">
        <f t="shared" si="13"/>
        <v>100</v>
      </c>
      <c r="V31" s="1109" t="s">
        <v>1707</v>
      </c>
      <c r="W31" s="1110">
        <f t="shared" si="14"/>
        <v>100</v>
      </c>
      <c r="X31" s="1048"/>
      <c r="Y31" s="3413"/>
      <c r="Z31" s="1047">
        <f t="shared" si="15"/>
        <v>111</v>
      </c>
      <c r="AA31" s="1047">
        <f t="shared" si="3"/>
        <v>1</v>
      </c>
      <c r="AB31" s="1047">
        <f t="shared" si="4"/>
        <v>1</v>
      </c>
      <c r="AC31" s="1529">
        <f t="shared" si="5"/>
        <v>1</v>
      </c>
    </row>
    <row r="32" spans="1:29" ht="1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408"/>
      <c r="Q32" s="707">
        <f t="shared" si="11"/>
        <v>111</v>
      </c>
      <c r="R32" s="1109" t="s">
        <v>1707</v>
      </c>
      <c r="S32" s="1110">
        <f t="shared" si="12"/>
        <v>100</v>
      </c>
      <c r="T32" s="1109" t="s">
        <v>1707</v>
      </c>
      <c r="U32" s="1110">
        <f t="shared" si="13"/>
        <v>100</v>
      </c>
      <c r="V32" s="1109" t="s">
        <v>1707</v>
      </c>
      <c r="W32" s="1110">
        <f t="shared" si="14"/>
        <v>100</v>
      </c>
      <c r="X32" s="1048"/>
      <c r="Y32" s="3413"/>
      <c r="Z32" s="1047">
        <f t="shared" si="15"/>
        <v>111</v>
      </c>
      <c r="AA32" s="1047">
        <f t="shared" si="3"/>
        <v>1</v>
      </c>
      <c r="AB32" s="1047">
        <f t="shared" si="4"/>
        <v>1</v>
      </c>
      <c r="AC32" s="1529">
        <f t="shared" si="5"/>
        <v>1</v>
      </c>
    </row>
    <row r="33" spans="1:29" ht="15">
      <c r="A33" s="1103" t="s">
        <v>1725</v>
      </c>
      <c r="B33" s="1074" t="s">
        <v>1726</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409" t="s">
        <v>1727</v>
      </c>
      <c r="Q33" s="707" t="str">
        <f t="shared" si="11"/>
        <v>建筑类型</v>
      </c>
      <c r="R33" s="1109" t="s">
        <v>1707</v>
      </c>
      <c r="S33" s="1110">
        <f t="shared" si="12"/>
        <v>100</v>
      </c>
      <c r="T33" s="1109" t="s">
        <v>1707</v>
      </c>
      <c r="U33" s="1110">
        <f t="shared" si="13"/>
        <v>100</v>
      </c>
      <c r="V33" s="1109" t="s">
        <v>1707</v>
      </c>
      <c r="W33" s="1110">
        <f t="shared" si="14"/>
        <v>100</v>
      </c>
      <c r="X33" s="1048"/>
      <c r="Y33" s="3414" t="s">
        <v>1727</v>
      </c>
      <c r="Z33" s="1047" t="str">
        <f t="shared" si="15"/>
        <v>建筑类型</v>
      </c>
      <c r="AA33" s="1047">
        <f t="shared" si="3"/>
        <v>1</v>
      </c>
      <c r="AB33" s="1047">
        <f t="shared" si="4"/>
        <v>1</v>
      </c>
      <c r="AC33" s="1529">
        <f t="shared" si="5"/>
        <v>1</v>
      </c>
    </row>
    <row r="34" spans="1:29" s="1013" customFormat="1" ht="15">
      <c r="A34" s="1159"/>
      <c r="B34" s="1079" t="s">
        <v>1728</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10"/>
      <c r="Q34" s="1406" t="str">
        <f t="shared" si="11"/>
        <v>项目建筑规模</v>
      </c>
      <c r="R34" s="1147" t="s">
        <v>1707</v>
      </c>
      <c r="S34" s="1148" t="e">
        <f t="shared" si="12"/>
        <v>#N/A</v>
      </c>
      <c r="T34" s="1147" t="s">
        <v>1707</v>
      </c>
      <c r="U34" s="1148" t="e">
        <f t="shared" si="13"/>
        <v>#N/A</v>
      </c>
      <c r="V34" s="1147" t="s">
        <v>1707</v>
      </c>
      <c r="W34" s="1148" t="e">
        <f t="shared" si="14"/>
        <v>#N/A</v>
      </c>
      <c r="X34" s="1149"/>
      <c r="Y34" s="3414"/>
      <c r="Z34" s="1150" t="str">
        <f t="shared" si="15"/>
        <v>项目建筑规模</v>
      </c>
      <c r="AA34" s="1047" t="e">
        <f t="shared" si="3"/>
        <v>#N/A</v>
      </c>
      <c r="AB34" s="1047" t="e">
        <f t="shared" si="4"/>
        <v>#N/A</v>
      </c>
      <c r="AC34" s="1529" t="e">
        <f t="shared" si="5"/>
        <v>#N/A</v>
      </c>
    </row>
    <row r="35" spans="1:29" ht="15">
      <c r="A35" s="1154"/>
      <c r="B35" s="1079" t="s">
        <v>1729</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410"/>
      <c r="Q35" s="707" t="str">
        <f t="shared" si="11"/>
        <v>建筑结构</v>
      </c>
      <c r="R35" s="1109" t="s">
        <v>1707</v>
      </c>
      <c r="S35" s="1110">
        <f t="shared" si="12"/>
        <v>100</v>
      </c>
      <c r="T35" s="1109" t="s">
        <v>1707</v>
      </c>
      <c r="U35" s="1110">
        <f t="shared" si="13"/>
        <v>100</v>
      </c>
      <c r="V35" s="1109" t="s">
        <v>1707</v>
      </c>
      <c r="W35" s="1110">
        <f t="shared" si="14"/>
        <v>100</v>
      </c>
      <c r="X35" s="1048"/>
      <c r="Y35" s="3414"/>
      <c r="Z35" s="1047" t="str">
        <f t="shared" si="15"/>
        <v>建筑结构</v>
      </c>
      <c r="AA35" s="1047">
        <f t="shared" si="3"/>
        <v>1</v>
      </c>
      <c r="AB35" s="1047">
        <f t="shared" si="4"/>
        <v>1</v>
      </c>
      <c r="AC35" s="1529">
        <f t="shared" si="5"/>
        <v>1</v>
      </c>
    </row>
    <row r="36" spans="1:29" ht="15">
      <c r="A36" s="1154"/>
      <c r="B36" s="1079" t="s">
        <v>1731</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410"/>
      <c r="Q36" s="707" t="str">
        <f t="shared" si="11"/>
        <v>公共部分装修</v>
      </c>
      <c r="R36" s="1109" t="s">
        <v>1707</v>
      </c>
      <c r="S36" s="1110">
        <f t="shared" si="12"/>
        <v>100</v>
      </c>
      <c r="T36" s="1109" t="s">
        <v>1707</v>
      </c>
      <c r="U36" s="1110">
        <f t="shared" si="13"/>
        <v>100</v>
      </c>
      <c r="V36" s="1109" t="s">
        <v>1707</v>
      </c>
      <c r="W36" s="1110">
        <f t="shared" si="14"/>
        <v>100</v>
      </c>
      <c r="X36" s="1048"/>
      <c r="Y36" s="3414"/>
      <c r="Z36" s="1047" t="str">
        <f t="shared" si="15"/>
        <v>公共部分装修</v>
      </c>
      <c r="AA36" s="1047">
        <f t="shared" si="3"/>
        <v>1</v>
      </c>
      <c r="AB36" s="1047">
        <f t="shared" si="4"/>
        <v>1</v>
      </c>
      <c r="AC36" s="1529">
        <f t="shared" si="5"/>
        <v>1</v>
      </c>
    </row>
    <row r="37" spans="1:29" ht="15">
      <c r="A37" s="1154"/>
      <c r="B37" s="1079" t="s">
        <v>700</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410"/>
      <c r="Q37" s="707" t="str">
        <f t="shared" si="11"/>
        <v>成新度</v>
      </c>
      <c r="R37" s="1109" t="s">
        <v>1707</v>
      </c>
      <c r="S37" s="1110" t="e">
        <f t="shared" si="12"/>
        <v>#N/A</v>
      </c>
      <c r="T37" s="1109" t="s">
        <v>1707</v>
      </c>
      <c r="U37" s="1110" t="e">
        <f t="shared" si="13"/>
        <v>#N/A</v>
      </c>
      <c r="V37" s="1109" t="s">
        <v>1707</v>
      </c>
      <c r="W37" s="1110" t="e">
        <f t="shared" si="14"/>
        <v>#N/A</v>
      </c>
      <c r="X37" s="1048"/>
      <c r="Y37" s="3414"/>
      <c r="Z37" s="1047" t="str">
        <f t="shared" si="15"/>
        <v>成新度</v>
      </c>
      <c r="AA37" s="1047" t="e">
        <f t="shared" si="3"/>
        <v>#N/A</v>
      </c>
      <c r="AB37" s="1047" t="e">
        <f t="shared" si="4"/>
        <v>#N/A</v>
      </c>
      <c r="AC37" s="1529" t="e">
        <f t="shared" si="5"/>
        <v>#N/A</v>
      </c>
    </row>
    <row r="38" spans="1:29" s="1011" customFormat="1" ht="15">
      <c r="A38" s="1156"/>
      <c r="B38" s="1079" t="s">
        <v>1795</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410"/>
      <c r="Q38" s="811" t="str">
        <f t="shared" si="11"/>
        <v>写字楼等级</v>
      </c>
      <c r="R38" s="1067" t="s">
        <v>1707</v>
      </c>
      <c r="S38" s="1068">
        <f t="shared" si="12"/>
        <v>100</v>
      </c>
      <c r="T38" s="1067" t="s">
        <v>1707</v>
      </c>
      <c r="U38" s="1068">
        <f t="shared" si="13"/>
        <v>100</v>
      </c>
      <c r="V38" s="1067" t="s">
        <v>1707</v>
      </c>
      <c r="W38" s="1068">
        <f t="shared" si="14"/>
        <v>100</v>
      </c>
      <c r="X38" s="1069"/>
      <c r="Y38" s="3414"/>
      <c r="Z38" s="1071" t="str">
        <f t="shared" si="15"/>
        <v>写字楼等级</v>
      </c>
      <c r="AA38" s="1071">
        <f t="shared" si="3"/>
        <v>1</v>
      </c>
      <c r="AB38" s="1071">
        <f t="shared" si="4"/>
        <v>1</v>
      </c>
      <c r="AC38" s="1526">
        <f t="shared" si="5"/>
        <v>1</v>
      </c>
    </row>
    <row r="39" spans="1:29" ht="15">
      <c r="A39" s="1154"/>
      <c r="B39" s="1079" t="s">
        <v>1732</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410" t="s">
        <v>1727</v>
      </c>
      <c r="Q39" s="707" t="str">
        <f t="shared" si="11"/>
        <v>物业管理</v>
      </c>
      <c r="R39" s="1109" t="s">
        <v>1707</v>
      </c>
      <c r="S39" s="1110">
        <f t="shared" si="12"/>
        <v>100</v>
      </c>
      <c r="T39" s="1109" t="s">
        <v>1707</v>
      </c>
      <c r="U39" s="1110">
        <f t="shared" si="13"/>
        <v>100</v>
      </c>
      <c r="V39" s="1109" t="s">
        <v>1707</v>
      </c>
      <c r="W39" s="1110">
        <f t="shared" si="14"/>
        <v>100</v>
      </c>
      <c r="X39" s="1048"/>
      <c r="Y39" s="3414" t="s">
        <v>1727</v>
      </c>
      <c r="Z39" s="1047" t="str">
        <f t="shared" si="15"/>
        <v>物业管理</v>
      </c>
      <c r="AA39" s="1047">
        <f t="shared" si="3"/>
        <v>1</v>
      </c>
      <c r="AB39" s="1047">
        <f t="shared" si="4"/>
        <v>1</v>
      </c>
      <c r="AC39" s="1529">
        <f t="shared" si="5"/>
        <v>1</v>
      </c>
    </row>
    <row r="40" spans="1:29" ht="15">
      <c r="A40" s="1154"/>
      <c r="B40" s="1079" t="s">
        <v>1733</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410"/>
      <c r="Q40" s="707" t="str">
        <f t="shared" si="11"/>
        <v>市政基础设施</v>
      </c>
      <c r="R40" s="1109" t="s">
        <v>1707</v>
      </c>
      <c r="S40" s="1110">
        <f t="shared" si="12"/>
        <v>100</v>
      </c>
      <c r="T40" s="1109" t="s">
        <v>1707</v>
      </c>
      <c r="U40" s="1110">
        <f t="shared" si="13"/>
        <v>100</v>
      </c>
      <c r="V40" s="1109" t="s">
        <v>1707</v>
      </c>
      <c r="W40" s="1110">
        <f t="shared" si="14"/>
        <v>100</v>
      </c>
      <c r="X40" s="1048"/>
      <c r="Y40" s="3414"/>
      <c r="Z40" s="1047" t="str">
        <f t="shared" si="15"/>
        <v>市政基础设施</v>
      </c>
      <c r="AA40" s="1047">
        <f t="shared" si="3"/>
        <v>1</v>
      </c>
      <c r="AB40" s="1047">
        <f t="shared" si="4"/>
        <v>1</v>
      </c>
      <c r="AC40" s="1529">
        <f t="shared" si="5"/>
        <v>1</v>
      </c>
    </row>
    <row r="41" spans="1:29" ht="15">
      <c r="A41" s="1154"/>
      <c r="B41" s="1079" t="s">
        <v>1787</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10"/>
      <c r="Q41" s="707" t="str">
        <f t="shared" si="11"/>
        <v>层高</v>
      </c>
      <c r="R41" s="1109" t="s">
        <v>1707</v>
      </c>
      <c r="S41" s="1110">
        <f t="shared" si="12"/>
        <v>100</v>
      </c>
      <c r="T41" s="1109" t="s">
        <v>1707</v>
      </c>
      <c r="U41" s="1110">
        <f t="shared" si="13"/>
        <v>100</v>
      </c>
      <c r="V41" s="1109" t="s">
        <v>1707</v>
      </c>
      <c r="W41" s="1110">
        <f t="shared" si="14"/>
        <v>100</v>
      </c>
      <c r="X41" s="1048"/>
      <c r="Y41" s="3414"/>
      <c r="Z41" s="1047" t="str">
        <f t="shared" si="15"/>
        <v>层高</v>
      </c>
      <c r="AA41" s="1047">
        <f t="shared" si="3"/>
        <v>1</v>
      </c>
      <c r="AB41" s="1047">
        <f t="shared" si="4"/>
        <v>1</v>
      </c>
      <c r="AC41" s="1529">
        <f t="shared" si="5"/>
        <v>1</v>
      </c>
    </row>
    <row r="42" spans="1:29" s="1013" customFormat="1" ht="15">
      <c r="A42" s="1159"/>
      <c r="B42" s="1185" t="s">
        <v>1796</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10"/>
      <c r="Q42" s="1406" t="str">
        <f t="shared" si="11"/>
        <v>单套建筑面积</v>
      </c>
      <c r="R42" s="1147" t="s">
        <v>1707</v>
      </c>
      <c r="S42" s="1148">
        <f t="shared" si="12"/>
        <v>100</v>
      </c>
      <c r="T42" s="1147" t="s">
        <v>1707</v>
      </c>
      <c r="U42" s="1148">
        <f t="shared" si="13"/>
        <v>100</v>
      </c>
      <c r="V42" s="1147" t="s">
        <v>1707</v>
      </c>
      <c r="W42" s="1148">
        <f t="shared" si="14"/>
        <v>100</v>
      </c>
      <c r="X42" s="1149"/>
      <c r="Y42" s="3414"/>
      <c r="Z42" s="1150" t="str">
        <f t="shared" si="15"/>
        <v>单套建筑面积</v>
      </c>
      <c r="AA42" s="1047">
        <f t="shared" si="3"/>
        <v>1</v>
      </c>
      <c r="AB42" s="1047">
        <f t="shared" si="4"/>
        <v>1</v>
      </c>
      <c r="AC42" s="1529">
        <f t="shared" si="5"/>
        <v>1</v>
      </c>
    </row>
    <row r="43" spans="1:29" ht="15">
      <c r="A43" s="1154"/>
      <c r="B43" s="1079" t="s">
        <v>1736</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410"/>
      <c r="Q43" s="707" t="str">
        <f t="shared" si="11"/>
        <v>内部装修</v>
      </c>
      <c r="R43" s="1109" t="s">
        <v>1707</v>
      </c>
      <c r="S43" s="1110">
        <f t="shared" si="12"/>
        <v>100</v>
      </c>
      <c r="T43" s="1109" t="s">
        <v>1707</v>
      </c>
      <c r="U43" s="1110">
        <f t="shared" si="13"/>
        <v>100</v>
      </c>
      <c r="V43" s="1109" t="s">
        <v>1707</v>
      </c>
      <c r="W43" s="1110">
        <f t="shared" si="14"/>
        <v>100</v>
      </c>
      <c r="X43" s="1048"/>
      <c r="Y43" s="3414"/>
      <c r="Z43" s="1047" t="str">
        <f t="shared" si="15"/>
        <v>内部装修</v>
      </c>
      <c r="AA43" s="1047">
        <f t="shared" si="3"/>
        <v>1</v>
      </c>
      <c r="AB43" s="1047">
        <f t="shared" si="4"/>
        <v>1</v>
      </c>
      <c r="AC43" s="1529">
        <f t="shared" si="5"/>
        <v>1</v>
      </c>
    </row>
    <row r="44" spans="1:29" ht="15">
      <c r="A44" s="1154"/>
      <c r="B44" s="1079" t="s">
        <v>1737</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10"/>
      <c r="Q44" s="707" t="str">
        <f t="shared" si="11"/>
        <v>内部装修维护情况</v>
      </c>
      <c r="R44" s="1109" t="s">
        <v>1707</v>
      </c>
      <c r="S44" s="1110">
        <f t="shared" si="12"/>
        <v>100</v>
      </c>
      <c r="T44" s="1109" t="s">
        <v>1707</v>
      </c>
      <c r="U44" s="1110">
        <f t="shared" si="13"/>
        <v>100</v>
      </c>
      <c r="V44" s="1109" t="s">
        <v>1707</v>
      </c>
      <c r="W44" s="1110">
        <f t="shared" si="14"/>
        <v>100</v>
      </c>
      <c r="X44" s="1048"/>
      <c r="Y44" s="3414"/>
      <c r="Z44" s="1047" t="str">
        <f t="shared" si="15"/>
        <v>内部装修维护情况</v>
      </c>
      <c r="AA44" s="1047">
        <f t="shared" si="3"/>
        <v>1</v>
      </c>
      <c r="AB44" s="1047">
        <f t="shared" si="4"/>
        <v>1</v>
      </c>
      <c r="AC44" s="1529">
        <f t="shared" si="5"/>
        <v>1</v>
      </c>
    </row>
    <row r="45" spans="1:29" s="1011" customFormat="1" ht="1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10"/>
      <c r="Q45" s="811">
        <f t="shared" si="11"/>
        <v>111</v>
      </c>
      <c r="R45" s="1067" t="s">
        <v>1707</v>
      </c>
      <c r="S45" s="1068">
        <f t="shared" si="12"/>
        <v>100</v>
      </c>
      <c r="T45" s="1067" t="s">
        <v>1707</v>
      </c>
      <c r="U45" s="1068">
        <f t="shared" si="13"/>
        <v>100</v>
      </c>
      <c r="V45" s="1067" t="s">
        <v>1707</v>
      </c>
      <c r="W45" s="1068">
        <f t="shared" si="14"/>
        <v>100</v>
      </c>
      <c r="X45" s="1069"/>
      <c r="Y45" s="3414"/>
      <c r="Z45" s="1071">
        <f t="shared" si="15"/>
        <v>111</v>
      </c>
      <c r="AA45" s="1071">
        <f t="shared" si="3"/>
        <v>1</v>
      </c>
      <c r="AB45" s="1071">
        <f t="shared" si="4"/>
        <v>1</v>
      </c>
      <c r="AC45" s="1526">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10"/>
      <c r="Q46" s="707">
        <f t="shared" si="11"/>
        <v>111</v>
      </c>
      <c r="R46" s="1109" t="s">
        <v>1707</v>
      </c>
      <c r="S46" s="1110">
        <f t="shared" si="12"/>
        <v>100</v>
      </c>
      <c r="T46" s="1109" t="s">
        <v>1707</v>
      </c>
      <c r="U46" s="1110">
        <f t="shared" si="13"/>
        <v>100</v>
      </c>
      <c r="V46" s="1109" t="s">
        <v>1707</v>
      </c>
      <c r="W46" s="1110">
        <f t="shared" si="14"/>
        <v>100</v>
      </c>
      <c r="X46" s="1048"/>
      <c r="Y46" s="3414"/>
      <c r="Z46" s="1047">
        <f t="shared" si="15"/>
        <v>111</v>
      </c>
      <c r="AA46" s="1047">
        <f t="shared" si="3"/>
        <v>1</v>
      </c>
      <c r="AB46" s="1047">
        <f t="shared" si="4"/>
        <v>1</v>
      </c>
      <c r="AC46" s="1529">
        <f t="shared" si="5"/>
        <v>1</v>
      </c>
    </row>
    <row r="47" spans="1:29" ht="1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11"/>
      <c r="Q47" s="707">
        <f t="shared" si="11"/>
        <v>111</v>
      </c>
      <c r="R47" s="1109" t="s">
        <v>1707</v>
      </c>
      <c r="S47" s="1110">
        <f t="shared" si="12"/>
        <v>100</v>
      </c>
      <c r="T47" s="1109" t="s">
        <v>1707</v>
      </c>
      <c r="U47" s="1110">
        <f t="shared" si="13"/>
        <v>100</v>
      </c>
      <c r="V47" s="1109" t="s">
        <v>1707</v>
      </c>
      <c r="W47" s="1110">
        <f t="shared" si="14"/>
        <v>100</v>
      </c>
      <c r="X47" s="1048"/>
      <c r="Y47" s="3415"/>
      <c r="Z47" s="1047">
        <f t="shared" si="15"/>
        <v>111</v>
      </c>
      <c r="AA47" s="1047">
        <f t="shared" si="3"/>
        <v>1</v>
      </c>
      <c r="AB47" s="1047">
        <f t="shared" si="4"/>
        <v>1</v>
      </c>
      <c r="AC47" s="1529">
        <f t="shared" si="5"/>
        <v>1</v>
      </c>
    </row>
    <row r="48" spans="1:29" ht="15">
      <c r="A48" s="1162" t="s">
        <v>1738</v>
      </c>
      <c r="B48" s="1411"/>
      <c r="C48" s="1412" t="s">
        <v>124</v>
      </c>
      <c r="D48" s="1165"/>
      <c r="E48" s="1166"/>
      <c r="F48" s="1167"/>
      <c r="G48" s="1168"/>
      <c r="H48" s="1169"/>
      <c r="I48" s="1166"/>
      <c r="J48" s="1169"/>
      <c r="K48" s="1170"/>
      <c r="L48" s="1171"/>
      <c r="M48" s="1044"/>
      <c r="N48" s="1044"/>
      <c r="O48" s="1044"/>
      <c r="P48" s="3406" t="str">
        <f>A48</f>
        <v>成交单价（元/平方米）</v>
      </c>
      <c r="Q48" s="3404"/>
      <c r="R48" s="3405">
        <f>E48</f>
        <v>0</v>
      </c>
      <c r="S48" s="3405"/>
      <c r="T48" s="3405">
        <f>G48</f>
        <v>0</v>
      </c>
      <c r="U48" s="3405"/>
      <c r="V48" s="3405">
        <f>I48</f>
        <v>0</v>
      </c>
      <c r="W48" s="3405"/>
      <c r="X48" s="1172"/>
      <c r="Y48" s="1173"/>
      <c r="Z48" s="1172"/>
      <c r="AA48" s="1172"/>
      <c r="AB48" s="1172"/>
      <c r="AC48" s="1111"/>
    </row>
    <row r="49" spans="1:29" ht="15">
      <c r="A49" s="1174" t="s">
        <v>1739</v>
      </c>
      <c r="B49" s="1413"/>
      <c r="C49" s="1414" t="e">
        <f>R50</f>
        <v>#DIV/0!</v>
      </c>
      <c r="D49" s="1177" t="s">
        <v>1740</v>
      </c>
      <c r="E49" s="1415" t="e">
        <f>R49</f>
        <v>#DIV/0!</v>
      </c>
      <c r="F49" s="1178"/>
      <c r="G49" s="1414" t="e">
        <f>T49</f>
        <v>#DIV/0!</v>
      </c>
      <c r="H49" s="1178"/>
      <c r="I49" s="1415" t="e">
        <f>V49</f>
        <v>#DIV/0!</v>
      </c>
      <c r="J49" s="1178"/>
      <c r="K49" s="1180">
        <f>F49+H49+J49</f>
        <v>0</v>
      </c>
      <c r="L49" s="1171"/>
      <c r="M49" s="1044"/>
      <c r="N49" s="1044"/>
      <c r="O49" s="1044"/>
      <c r="P49" s="3406"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172"/>
      <c r="Y49" s="1172"/>
      <c r="Z49" s="1172"/>
      <c r="AA49" s="1172"/>
      <c r="AB49" s="1172"/>
      <c r="AC49" s="1111"/>
    </row>
    <row r="50" spans="1:29" ht="15">
      <c r="A50" s="1181" t="s">
        <v>1741</v>
      </c>
      <c r="B50" s="1182"/>
      <c r="C50" s="1053" t="e">
        <f>R50</f>
        <v>#DIV/0!</v>
      </c>
      <c r="D50" s="1053"/>
      <c r="E50" s="1053"/>
      <c r="F50" s="1053"/>
      <c r="G50" s="1053"/>
      <c r="H50" s="1053"/>
      <c r="I50" s="1053"/>
      <c r="J50" s="1183"/>
      <c r="K50" s="1184"/>
      <c r="L50" s="1171"/>
      <c r="M50" s="1044"/>
      <c r="N50" s="1044"/>
      <c r="O50" s="1044"/>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1742</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1743</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1744</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1745</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ht="15">
      <c r="A59" s="1417" t="s">
        <v>1705</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ht="15">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ht="15">
      <c r="A61" s="1249" t="s">
        <v>1746</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ht="15">
      <c r="A62" s="1255" t="s">
        <v>1708</v>
      </c>
      <c r="B62" s="1256"/>
      <c r="C62" s="1257" t="s">
        <v>1747</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ht="15">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1748</v>
      </c>
      <c r="B64" s="1265" t="s">
        <v>1711</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7">
      <c r="A66" s="1086"/>
      <c r="B66" s="1274" t="s">
        <v>1714</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ht="15">
      <c r="A68" s="1086"/>
      <c r="B68" s="1282" t="s">
        <v>1715</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1716</v>
      </c>
      <c r="B77" s="1265" t="s">
        <v>1792</v>
      </c>
      <c r="C77" s="1308" t="s">
        <v>1749</v>
      </c>
      <c r="D77" s="1308" t="s">
        <v>1750</v>
      </c>
      <c r="E77" s="1308" t="s">
        <v>1751</v>
      </c>
      <c r="F77" s="1308" t="s">
        <v>1752</v>
      </c>
      <c r="G77" s="1308" t="s">
        <v>1753</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ht="15">
      <c r="A79" s="1086"/>
      <c r="B79" s="1274" t="s">
        <v>1719</v>
      </c>
      <c r="C79" s="1313" t="s">
        <v>1749</v>
      </c>
      <c r="D79" s="1313" t="s">
        <v>1750</v>
      </c>
      <c r="E79" s="1313" t="s">
        <v>1751</v>
      </c>
      <c r="F79" s="1313" t="s">
        <v>1752</v>
      </c>
      <c r="G79" s="1313" t="s">
        <v>1753</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ht="15">
      <c r="A81" s="1086"/>
      <c r="B81" s="1274" t="s">
        <v>1720</v>
      </c>
      <c r="C81" s="1313" t="s">
        <v>1749</v>
      </c>
      <c r="D81" s="1313" t="s">
        <v>1750</v>
      </c>
      <c r="E81" s="1313" t="s">
        <v>1751</v>
      </c>
      <c r="F81" s="1313" t="s">
        <v>1752</v>
      </c>
      <c r="G81" s="1313" t="s">
        <v>1753</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ht="15">
      <c r="A83" s="1086"/>
      <c r="B83" s="1282" t="s">
        <v>1721</v>
      </c>
      <c r="C83" s="1116" t="s">
        <v>1754</v>
      </c>
      <c r="D83" s="1116" t="s">
        <v>1755</v>
      </c>
      <c r="E83" s="1116" t="s">
        <v>1756</v>
      </c>
      <c r="F83" s="1116" t="s">
        <v>1757</v>
      </c>
      <c r="G83" s="1116" t="s">
        <v>1758</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ht="15">
      <c r="A85" s="1086"/>
      <c r="B85" s="1274" t="s">
        <v>1793</v>
      </c>
      <c r="C85" s="1313" t="s">
        <v>1749</v>
      </c>
      <c r="D85" s="1313" t="s">
        <v>1750</v>
      </c>
      <c r="E85" s="1313" t="s">
        <v>1751</v>
      </c>
      <c r="F85" s="1313" t="s">
        <v>1752</v>
      </c>
      <c r="G85" s="1313" t="s">
        <v>1753</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7">
      <c r="A87" s="1092"/>
      <c r="B87" s="1274" t="s">
        <v>1794</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1725</v>
      </c>
      <c r="B101" s="1265" t="s">
        <v>1726</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ht="15">
      <c r="A103" s="1086"/>
      <c r="B103" s="1274" t="s">
        <v>1728</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1729</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1731</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700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1795</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1732</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1733</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1797</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1788</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1736</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c r="A125" s="1154"/>
      <c r="B125" s="1274" t="s">
        <v>1737</v>
      </c>
      <c r="C125" s="1313" t="s">
        <v>1749</v>
      </c>
      <c r="D125" s="1313" t="s">
        <v>1750</v>
      </c>
      <c r="E125" s="1313" t="s">
        <v>1751</v>
      </c>
      <c r="F125" s="1313" t="s">
        <v>1752</v>
      </c>
      <c r="G125" s="1313" t="s">
        <v>1753</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1687</v>
      </c>
      <c r="B1" s="1488" t="s">
        <v>1798</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1047</v>
      </c>
      <c r="B3" s="1035">
        <f>IF(C2="——",C43,ROUND(B2*10000/D3,0))</f>
        <v>0</v>
      </c>
      <c r="C3" s="1389" t="s">
        <v>1691</v>
      </c>
      <c r="D3" s="1390">
        <f>IF(D1="",'数据-汇总表'!E3,SUMIF('数据-汇总表'!$C19:$C33,D1,'数据-汇总表'!$E19:$E33))</f>
        <v>50585.8</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491"/>
      <c r="M4" s="1227"/>
      <c r="N4" s="1227"/>
      <c r="O4" s="1227"/>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491"/>
      <c r="M5" s="1227"/>
      <c r="N5" s="1227"/>
      <c r="O5" s="1227"/>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491"/>
      <c r="M6" s="1227"/>
      <c r="N6" s="1227"/>
      <c r="O6" s="1227"/>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40" si="3">D8/F8</f>
        <v>1</v>
      </c>
      <c r="AB8" s="1071">
        <f t="shared" ref="AB8:AB40" si="4">D8/H8</f>
        <v>1</v>
      </c>
      <c r="AC8" s="1071">
        <f t="shared" ref="AC8:AC40" si="5">D8/J8</f>
        <v>1</v>
      </c>
    </row>
    <row r="9" spans="1:29" s="1011" customFormat="1">
      <c r="A9" s="1073" t="s">
        <v>1710</v>
      </c>
      <c r="B9" s="1074" t="s">
        <v>1711</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79" t="s">
        <v>1715</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404"/>
      <c r="Q11" s="811" t="str">
        <f t="shared" si="6"/>
        <v>容积率</v>
      </c>
      <c r="R11" s="1067" t="s">
        <v>1707</v>
      </c>
      <c r="S11" s="1068">
        <f t="shared" si="0"/>
        <v>100</v>
      </c>
      <c r="T11" s="1067" t="s">
        <v>1707</v>
      </c>
      <c r="U11" s="1068">
        <f t="shared" si="1"/>
        <v>100</v>
      </c>
      <c r="V11" s="1067" t="s">
        <v>1707</v>
      </c>
      <c r="W11" s="1068">
        <f t="shared" si="2"/>
        <v>100</v>
      </c>
      <c r="X11" s="1069"/>
      <c r="Y11" s="3354"/>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1799</v>
      </c>
      <c r="C15" s="1105">
        <f>估价对象房地状况!G3</f>
        <v>0</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12" t="s">
        <v>1718</v>
      </c>
      <c r="Q15" s="707" t="str">
        <f t="shared" si="6"/>
        <v>产业集聚程度</v>
      </c>
      <c r="R15" s="1109" t="s">
        <v>1707</v>
      </c>
      <c r="S15" s="1110">
        <f t="shared" si="0"/>
        <v>100</v>
      </c>
      <c r="T15" s="1109" t="s">
        <v>1707</v>
      </c>
      <c r="U15" s="1110">
        <f t="shared" si="1"/>
        <v>100</v>
      </c>
      <c r="V15" s="1109" t="s">
        <v>1707</v>
      </c>
      <c r="W15" s="1110">
        <f t="shared" si="2"/>
        <v>100</v>
      </c>
      <c r="X15" s="1048"/>
      <c r="Y15" s="3412" t="s">
        <v>1718</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501"/>
      <c r="M16" s="1227"/>
      <c r="N16" s="1227"/>
      <c r="O16" s="1499"/>
      <c r="P16" s="3413"/>
      <c r="Q16" s="707"/>
      <c r="R16" s="1109"/>
      <c r="S16" s="1110"/>
      <c r="T16" s="1109"/>
      <c r="U16" s="1110"/>
      <c r="V16" s="1109"/>
      <c r="W16" s="1110"/>
      <c r="X16" s="1048"/>
      <c r="Y16" s="3413"/>
      <c r="Z16" s="1047"/>
      <c r="AA16" s="1047">
        <v>1</v>
      </c>
      <c r="AB16" s="1047">
        <v>1</v>
      </c>
      <c r="AC16" s="1047">
        <v>1</v>
      </c>
    </row>
    <row r="17" spans="1:29" ht="15">
      <c r="A17" s="1086"/>
      <c r="B17" s="1346" t="s">
        <v>1719</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13"/>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501"/>
      <c r="M18" s="1227"/>
      <c r="N18" s="1227"/>
      <c r="O18" s="1499"/>
      <c r="P18" s="3413"/>
      <c r="Q18" s="707"/>
      <c r="R18" s="1109"/>
      <c r="S18" s="1110"/>
      <c r="T18" s="1109"/>
      <c r="U18" s="1110"/>
      <c r="V18" s="1109"/>
      <c r="W18" s="1110"/>
      <c r="X18" s="1048"/>
      <c r="Y18" s="3413"/>
      <c r="Z18" s="1047"/>
      <c r="AA18" s="1047">
        <v>1</v>
      </c>
      <c r="AB18" s="1047">
        <v>1</v>
      </c>
      <c r="AC18" s="1047">
        <v>1</v>
      </c>
    </row>
    <row r="19" spans="1:29" ht="15">
      <c r="A19" s="1086"/>
      <c r="B19" s="1346" t="s">
        <v>1720</v>
      </c>
      <c r="C19" s="1118">
        <f>估价对象房地状况!G5</f>
        <v>0</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13"/>
      <c r="Q19" s="707" t="str">
        <f>B19</f>
        <v>公共配套设施</v>
      </c>
      <c r="R19" s="1109" t="s">
        <v>1707</v>
      </c>
      <c r="S19" s="1110">
        <f>F19</f>
        <v>100</v>
      </c>
      <c r="T19" s="1109" t="s">
        <v>1707</v>
      </c>
      <c r="U19" s="1110">
        <f>H19</f>
        <v>100</v>
      </c>
      <c r="V19" s="1109" t="s">
        <v>1707</v>
      </c>
      <c r="W19" s="1110">
        <f>J19</f>
        <v>100</v>
      </c>
      <c r="X19" s="1048"/>
      <c r="Y19" s="3413"/>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501"/>
      <c r="M20" s="1227"/>
      <c r="N20" s="1227"/>
      <c r="O20" s="1499"/>
      <c r="P20" s="3413"/>
      <c r="Q20" s="707"/>
      <c r="R20" s="1109"/>
      <c r="S20" s="1110"/>
      <c r="T20" s="1109"/>
      <c r="U20" s="1110"/>
      <c r="V20" s="1109"/>
      <c r="W20" s="1110"/>
      <c r="X20" s="1048"/>
      <c r="Y20" s="3413"/>
      <c r="Z20" s="1047"/>
      <c r="AA20" s="1047">
        <v>1</v>
      </c>
      <c r="AB20" s="1047">
        <v>1</v>
      </c>
      <c r="AC20" s="1047">
        <v>1</v>
      </c>
    </row>
    <row r="21" spans="1:29" ht="15">
      <c r="A21" s="1086"/>
      <c r="B21" s="1352" t="s">
        <v>1721</v>
      </c>
      <c r="C21" s="1118">
        <f>估价对象房地状况!G6</f>
        <v>0</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13"/>
      <c r="Q21" s="707" t="str">
        <f>B21</f>
        <v>基础设施水平</v>
      </c>
      <c r="R21" s="1109" t="s">
        <v>1707</v>
      </c>
      <c r="S21" s="1110">
        <f>F21</f>
        <v>100</v>
      </c>
      <c r="T21" s="1109" t="s">
        <v>1707</v>
      </c>
      <c r="U21" s="1110">
        <f>H21</f>
        <v>100</v>
      </c>
      <c r="V21" s="1109" t="s">
        <v>1707</v>
      </c>
      <c r="W21" s="1110">
        <f>J21</f>
        <v>100</v>
      </c>
      <c r="X21" s="1048"/>
      <c r="Y21" s="3413"/>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501"/>
      <c r="M22" s="1227"/>
      <c r="N22" s="1227"/>
      <c r="O22" s="1499"/>
      <c r="P22" s="3413"/>
      <c r="Q22" s="707"/>
      <c r="R22" s="1109"/>
      <c r="S22" s="1110"/>
      <c r="T22" s="1109"/>
      <c r="U22" s="1110"/>
      <c r="V22" s="1109"/>
      <c r="W22" s="1110"/>
      <c r="X22" s="1048"/>
      <c r="Y22" s="3413"/>
      <c r="Z22" s="1047"/>
      <c r="AA22" s="1047">
        <v>1</v>
      </c>
      <c r="AB22" s="1047">
        <v>1</v>
      </c>
      <c r="AC22" s="1047">
        <v>1</v>
      </c>
    </row>
    <row r="23" spans="1:29" ht="15">
      <c r="A23" s="1086"/>
      <c r="B23" s="1346" t="s">
        <v>1793</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13"/>
      <c r="Q23" s="707" t="str">
        <f>B23</f>
        <v>环境质量</v>
      </c>
      <c r="R23" s="1109" t="s">
        <v>1707</v>
      </c>
      <c r="S23" s="1110">
        <f>F23</f>
        <v>100</v>
      </c>
      <c r="T23" s="1109" t="s">
        <v>1707</v>
      </c>
      <c r="U23" s="1110">
        <f>H23</f>
        <v>100</v>
      </c>
      <c r="V23" s="1109" t="s">
        <v>1707</v>
      </c>
      <c r="W23" s="1110">
        <f>J23</f>
        <v>100</v>
      </c>
      <c r="X23" s="1048"/>
      <c r="Y23" s="3413"/>
      <c r="Z23" s="1047" t="str">
        <f>Q23</f>
        <v>环境质量</v>
      </c>
      <c r="AA23" s="1047">
        <f t="shared" si="3"/>
        <v>1</v>
      </c>
      <c r="AB23" s="1047">
        <f t="shared" si="4"/>
        <v>1</v>
      </c>
      <c r="AC23" s="1047">
        <f t="shared" si="5"/>
        <v>1</v>
      </c>
    </row>
    <row r="24" spans="1:29" ht="15">
      <c r="A24" s="1086"/>
      <c r="B24" s="1352"/>
      <c r="C24" s="1112"/>
      <c r="D24" s="1113"/>
      <c r="E24" s="1123"/>
      <c r="F24" s="1055"/>
      <c r="G24" s="1124"/>
      <c r="H24" s="1113"/>
      <c r="I24" s="1123"/>
      <c r="J24" s="1113"/>
      <c r="K24" s="1398"/>
      <c r="L24" s="1501"/>
      <c r="M24" s="1227"/>
      <c r="N24" s="1227"/>
      <c r="O24" s="1499"/>
      <c r="P24" s="3413"/>
      <c r="Q24" s="707"/>
      <c r="R24" s="1109"/>
      <c r="S24" s="1110"/>
      <c r="T24" s="1109"/>
      <c r="U24" s="1110"/>
      <c r="V24" s="1109"/>
      <c r="W24" s="1110"/>
      <c r="X24" s="1048"/>
      <c r="Y24" s="3413"/>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13"/>
      <c r="Q25" s="707">
        <f>B25</f>
        <v>111</v>
      </c>
      <c r="R25" s="1109" t="s">
        <v>1707</v>
      </c>
      <c r="S25" s="1110">
        <f>F25</f>
        <v>100</v>
      </c>
      <c r="T25" s="1109" t="s">
        <v>1707</v>
      </c>
      <c r="U25" s="1110">
        <f>H25</f>
        <v>100</v>
      </c>
      <c r="V25" s="1109" t="s">
        <v>1707</v>
      </c>
      <c r="W25" s="1110">
        <f>J25</f>
        <v>100</v>
      </c>
      <c r="X25" s="1048"/>
      <c r="Y25" s="3413"/>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13"/>
      <c r="Q26" s="707">
        <f t="shared" ref="Q26:Q40" si="11">B26</f>
        <v>111</v>
      </c>
      <c r="R26" s="1109" t="s">
        <v>1707</v>
      </c>
      <c r="S26" s="1110">
        <f>F26</f>
        <v>100</v>
      </c>
      <c r="T26" s="1109" t="s">
        <v>1707</v>
      </c>
      <c r="U26" s="1110">
        <f>H26</f>
        <v>100</v>
      </c>
      <c r="V26" s="1109" t="s">
        <v>1707</v>
      </c>
      <c r="W26" s="1110">
        <f>J26</f>
        <v>100</v>
      </c>
      <c r="X26" s="1048"/>
      <c r="Y26" s="3413"/>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13"/>
      <c r="Q27" s="811">
        <f t="shared" si="11"/>
        <v>111</v>
      </c>
      <c r="R27" s="1067" t="s">
        <v>1707</v>
      </c>
      <c r="S27" s="1068">
        <f>F27</f>
        <v>100</v>
      </c>
      <c r="T27" s="1067" t="s">
        <v>1707</v>
      </c>
      <c r="U27" s="1068">
        <f>H27</f>
        <v>100</v>
      </c>
      <c r="V27" s="1067" t="s">
        <v>1707</v>
      </c>
      <c r="W27" s="1068">
        <f>J27</f>
        <v>100</v>
      </c>
      <c r="X27" s="1069"/>
      <c r="Y27" s="3413"/>
      <c r="Z27" s="1071">
        <f>Q27</f>
        <v>111</v>
      </c>
      <c r="AA27" s="1047">
        <f t="shared" si="3"/>
        <v>1</v>
      </c>
      <c r="AB27" s="1047">
        <f t="shared" si="4"/>
        <v>1</v>
      </c>
      <c r="AC27" s="1047">
        <f t="shared" si="5"/>
        <v>1</v>
      </c>
    </row>
    <row r="28" spans="1:29" ht="1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13"/>
      <c r="Q28" s="707">
        <f t="shared" si="11"/>
        <v>111</v>
      </c>
      <c r="R28" s="1109" t="s">
        <v>1707</v>
      </c>
      <c r="S28" s="1110">
        <f t="shared" ref="S28:S40" si="12">F28</f>
        <v>100</v>
      </c>
      <c r="T28" s="1109" t="s">
        <v>1707</v>
      </c>
      <c r="U28" s="1110">
        <f t="shared" ref="U28:U40" si="13">H28</f>
        <v>100</v>
      </c>
      <c r="V28" s="1109" t="s">
        <v>1707</v>
      </c>
      <c r="W28" s="1110">
        <f t="shared" ref="W28:W40" si="14">J28</f>
        <v>100</v>
      </c>
      <c r="X28" s="1048"/>
      <c r="Y28" s="3413"/>
      <c r="Z28" s="1047">
        <f t="shared" ref="Z28:Z40" si="15">Q28</f>
        <v>111</v>
      </c>
      <c r="AA28" s="1047">
        <f t="shared" si="3"/>
        <v>1</v>
      </c>
      <c r="AB28" s="1047">
        <f t="shared" si="4"/>
        <v>1</v>
      </c>
      <c r="AC28" s="1047">
        <f t="shared" si="5"/>
        <v>1</v>
      </c>
    </row>
    <row r="29" spans="1:29" ht="28.5">
      <c r="A29" s="1401" t="s">
        <v>1725</v>
      </c>
      <c r="B29" s="1074" t="s">
        <v>1726</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49" t="s">
        <v>1727</v>
      </c>
      <c r="Q29" s="707" t="str">
        <f t="shared" si="11"/>
        <v>建筑类型</v>
      </c>
      <c r="R29" s="1109" t="s">
        <v>1707</v>
      </c>
      <c r="S29" s="1110">
        <f t="shared" si="12"/>
        <v>100</v>
      </c>
      <c r="T29" s="1109" t="s">
        <v>1707</v>
      </c>
      <c r="U29" s="1110">
        <f t="shared" si="13"/>
        <v>100</v>
      </c>
      <c r="V29" s="1109" t="s">
        <v>1707</v>
      </c>
      <c r="W29" s="1110">
        <f t="shared" si="14"/>
        <v>100</v>
      </c>
      <c r="X29" s="1048"/>
      <c r="Y29" s="3414" t="s">
        <v>1727</v>
      </c>
      <c r="Z29" s="1047" t="str">
        <f t="shared" si="15"/>
        <v>建筑类型</v>
      </c>
      <c r="AA29" s="1047">
        <f t="shared" si="3"/>
        <v>1</v>
      </c>
      <c r="AB29" s="1047">
        <f t="shared" si="4"/>
        <v>1</v>
      </c>
      <c r="AC29" s="1047">
        <f t="shared" si="5"/>
        <v>1</v>
      </c>
    </row>
    <row r="30" spans="1:29" s="1013" customFormat="1" ht="15">
      <c r="A30" s="1159"/>
      <c r="B30" s="1079" t="s">
        <v>1728</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14"/>
      <c r="Q30" s="1406" t="str">
        <f t="shared" si="11"/>
        <v>项目建筑规模</v>
      </c>
      <c r="R30" s="1147" t="s">
        <v>1707</v>
      </c>
      <c r="S30" s="1148" t="e">
        <f t="shared" si="12"/>
        <v>#N/A</v>
      </c>
      <c r="T30" s="1147" t="s">
        <v>1707</v>
      </c>
      <c r="U30" s="1148" t="e">
        <f t="shared" si="13"/>
        <v>#N/A</v>
      </c>
      <c r="V30" s="1147" t="s">
        <v>1707</v>
      </c>
      <c r="W30" s="1148" t="e">
        <f t="shared" si="14"/>
        <v>#N/A</v>
      </c>
      <c r="X30" s="1149"/>
      <c r="Y30" s="3414"/>
      <c r="Z30" s="1150" t="str">
        <f t="shared" si="15"/>
        <v>项目建筑规模</v>
      </c>
      <c r="AA30" s="1047" t="e">
        <f t="shared" si="3"/>
        <v>#N/A</v>
      </c>
      <c r="AB30" s="1047" t="e">
        <f t="shared" si="4"/>
        <v>#N/A</v>
      </c>
      <c r="AC30" s="1047" t="e">
        <f t="shared" si="5"/>
        <v>#N/A</v>
      </c>
    </row>
    <row r="31" spans="1:29" ht="15">
      <c r="A31" s="1154"/>
      <c r="B31" s="1079" t="s">
        <v>1729</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14"/>
      <c r="Q31" s="707" t="str">
        <f t="shared" si="11"/>
        <v>建筑结构</v>
      </c>
      <c r="R31" s="1109" t="s">
        <v>1707</v>
      </c>
      <c r="S31" s="1110">
        <f t="shared" si="12"/>
        <v>100</v>
      </c>
      <c r="T31" s="1109" t="s">
        <v>1707</v>
      </c>
      <c r="U31" s="1110">
        <f t="shared" si="13"/>
        <v>100</v>
      </c>
      <c r="V31" s="1109" t="s">
        <v>1707</v>
      </c>
      <c r="W31" s="1110">
        <f t="shared" si="14"/>
        <v>100</v>
      </c>
      <c r="X31" s="1048"/>
      <c r="Y31" s="3414"/>
      <c r="Z31" s="1047" t="str">
        <f t="shared" si="15"/>
        <v>建筑结构</v>
      </c>
      <c r="AA31" s="1047">
        <f t="shared" si="3"/>
        <v>1</v>
      </c>
      <c r="AB31" s="1047">
        <f t="shared" si="4"/>
        <v>1</v>
      </c>
      <c r="AC31" s="1047">
        <f t="shared" si="5"/>
        <v>1</v>
      </c>
    </row>
    <row r="32" spans="1:29" ht="15">
      <c r="A32" s="1154"/>
      <c r="B32" s="1079" t="s">
        <v>1731</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14"/>
      <c r="Q32" s="707" t="str">
        <f t="shared" si="11"/>
        <v>公共部分装修</v>
      </c>
      <c r="R32" s="1109" t="s">
        <v>1707</v>
      </c>
      <c r="S32" s="1110">
        <f t="shared" si="12"/>
        <v>100</v>
      </c>
      <c r="T32" s="1109" t="s">
        <v>1707</v>
      </c>
      <c r="U32" s="1110">
        <f t="shared" si="13"/>
        <v>100</v>
      </c>
      <c r="V32" s="1109" t="s">
        <v>1707</v>
      </c>
      <c r="W32" s="1110">
        <f t="shared" si="14"/>
        <v>100</v>
      </c>
      <c r="X32" s="1048"/>
      <c r="Y32" s="3414"/>
      <c r="Z32" s="1047" t="str">
        <f t="shared" si="15"/>
        <v>公共部分装修</v>
      </c>
      <c r="AA32" s="1047">
        <f t="shared" si="3"/>
        <v>1</v>
      </c>
      <c r="AB32" s="1047">
        <f t="shared" si="4"/>
        <v>1</v>
      </c>
      <c r="AC32" s="1047">
        <f t="shared" si="5"/>
        <v>1</v>
      </c>
    </row>
    <row r="33" spans="1:29" ht="15">
      <c r="A33" s="1154"/>
      <c r="B33" s="1079" t="s">
        <v>700</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14"/>
      <c r="Q33" s="707" t="str">
        <f t="shared" si="11"/>
        <v>成新度</v>
      </c>
      <c r="R33" s="1109" t="s">
        <v>1707</v>
      </c>
      <c r="S33" s="1110" t="e">
        <f t="shared" si="12"/>
        <v>#N/A</v>
      </c>
      <c r="T33" s="1109" t="s">
        <v>1707</v>
      </c>
      <c r="U33" s="1110" t="e">
        <f t="shared" si="13"/>
        <v>#N/A</v>
      </c>
      <c r="V33" s="1109" t="s">
        <v>1707</v>
      </c>
      <c r="W33" s="1110" t="e">
        <f t="shared" si="14"/>
        <v>#N/A</v>
      </c>
      <c r="X33" s="1048"/>
      <c r="Y33" s="3414"/>
      <c r="Z33" s="1047" t="str">
        <f t="shared" si="15"/>
        <v>成新度</v>
      </c>
      <c r="AA33" s="1047" t="e">
        <f t="shared" si="3"/>
        <v>#N/A</v>
      </c>
      <c r="AB33" s="1047" t="e">
        <f t="shared" si="4"/>
        <v>#N/A</v>
      </c>
      <c r="AC33" s="1047" t="e">
        <f t="shared" si="5"/>
        <v>#N/A</v>
      </c>
    </row>
    <row r="34" spans="1:29" s="1011" customFormat="1" ht="15">
      <c r="A34" s="1156"/>
      <c r="B34" s="1079" t="s">
        <v>1732</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14"/>
      <c r="Q34" s="811" t="str">
        <f t="shared" si="11"/>
        <v>物业管理</v>
      </c>
      <c r="R34" s="1067" t="s">
        <v>1707</v>
      </c>
      <c r="S34" s="1068">
        <f t="shared" si="12"/>
        <v>100</v>
      </c>
      <c r="T34" s="1067" t="s">
        <v>1707</v>
      </c>
      <c r="U34" s="1068">
        <f t="shared" si="13"/>
        <v>100</v>
      </c>
      <c r="V34" s="1067" t="s">
        <v>1707</v>
      </c>
      <c r="W34" s="1068">
        <f t="shared" si="14"/>
        <v>100</v>
      </c>
      <c r="X34" s="1069"/>
      <c r="Y34" s="3414"/>
      <c r="Z34" s="1071" t="str">
        <f t="shared" si="15"/>
        <v>物业管理</v>
      </c>
      <c r="AA34" s="1071">
        <f t="shared" si="3"/>
        <v>1</v>
      </c>
      <c r="AB34" s="1071">
        <f t="shared" si="4"/>
        <v>1</v>
      </c>
      <c r="AC34" s="1071">
        <f t="shared" si="5"/>
        <v>1</v>
      </c>
    </row>
    <row r="35" spans="1:29" ht="15">
      <c r="A35" s="1154"/>
      <c r="B35" s="1079" t="s">
        <v>1733</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14" t="s">
        <v>1727</v>
      </c>
      <c r="Q35" s="707" t="str">
        <f t="shared" si="11"/>
        <v>市政基础设施</v>
      </c>
      <c r="R35" s="1109" t="s">
        <v>1707</v>
      </c>
      <c r="S35" s="1110">
        <f t="shared" si="12"/>
        <v>100</v>
      </c>
      <c r="T35" s="1109" t="s">
        <v>1707</v>
      </c>
      <c r="U35" s="1110">
        <f t="shared" si="13"/>
        <v>100</v>
      </c>
      <c r="V35" s="1109" t="s">
        <v>1707</v>
      </c>
      <c r="W35" s="1110">
        <f t="shared" si="14"/>
        <v>100</v>
      </c>
      <c r="X35" s="1048"/>
      <c r="Y35" s="3414" t="s">
        <v>1727</v>
      </c>
      <c r="Z35" s="1047" t="str">
        <f t="shared" si="15"/>
        <v>市政基础设施</v>
      </c>
      <c r="AA35" s="1047">
        <f t="shared" si="3"/>
        <v>1</v>
      </c>
      <c r="AB35" s="1047">
        <f t="shared" si="4"/>
        <v>1</v>
      </c>
      <c r="AC35" s="1047">
        <f t="shared" si="5"/>
        <v>1</v>
      </c>
    </row>
    <row r="36" spans="1:29" ht="15">
      <c r="A36" s="1154"/>
      <c r="B36" s="1079" t="s">
        <v>1736</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14"/>
      <c r="Q36" s="707" t="str">
        <f t="shared" si="11"/>
        <v>内部装修</v>
      </c>
      <c r="R36" s="1109" t="s">
        <v>1707</v>
      </c>
      <c r="S36" s="1110">
        <f t="shared" si="12"/>
        <v>100</v>
      </c>
      <c r="T36" s="1109" t="s">
        <v>1707</v>
      </c>
      <c r="U36" s="1110">
        <f t="shared" si="13"/>
        <v>100</v>
      </c>
      <c r="V36" s="1109" t="s">
        <v>1707</v>
      </c>
      <c r="W36" s="1110">
        <f t="shared" si="14"/>
        <v>100</v>
      </c>
      <c r="X36" s="1048"/>
      <c r="Y36" s="3414"/>
      <c r="Z36" s="1047" t="str">
        <f t="shared" si="15"/>
        <v>内部装修</v>
      </c>
      <c r="AA36" s="1047">
        <f t="shared" si="3"/>
        <v>1</v>
      </c>
      <c r="AB36" s="1047">
        <f t="shared" si="4"/>
        <v>1</v>
      </c>
      <c r="AC36" s="1047">
        <f t="shared" si="5"/>
        <v>1</v>
      </c>
    </row>
    <row r="37" spans="1:29" ht="15">
      <c r="A37" s="1154"/>
      <c r="B37" s="1079" t="s">
        <v>1800</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14"/>
      <c r="Q37" s="707" t="str">
        <f t="shared" si="11"/>
        <v>内部装修状况</v>
      </c>
      <c r="R37" s="1109" t="s">
        <v>1707</v>
      </c>
      <c r="S37" s="1110">
        <f t="shared" si="12"/>
        <v>100</v>
      </c>
      <c r="T37" s="1109" t="s">
        <v>1707</v>
      </c>
      <c r="U37" s="1110">
        <f t="shared" si="13"/>
        <v>100</v>
      </c>
      <c r="V37" s="1109" t="s">
        <v>1707</v>
      </c>
      <c r="W37" s="1110">
        <f t="shared" si="14"/>
        <v>100</v>
      </c>
      <c r="X37" s="1048"/>
      <c r="Y37" s="3414"/>
      <c r="Z37" s="1047" t="str">
        <f t="shared" si="15"/>
        <v>内部装修状况</v>
      </c>
      <c r="AA37" s="1047">
        <f t="shared" si="3"/>
        <v>1</v>
      </c>
      <c r="AB37" s="1047">
        <f t="shared" si="4"/>
        <v>1</v>
      </c>
      <c r="AC37" s="1047">
        <f t="shared" si="5"/>
        <v>1</v>
      </c>
    </row>
    <row r="38" spans="1:29" s="1013" customFormat="1" ht="1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14"/>
      <c r="Q38" s="1406">
        <f t="shared" si="11"/>
        <v>111</v>
      </c>
      <c r="R38" s="1147" t="s">
        <v>1707</v>
      </c>
      <c r="S38" s="1148">
        <f t="shared" si="12"/>
        <v>100</v>
      </c>
      <c r="T38" s="1147" t="s">
        <v>1707</v>
      </c>
      <c r="U38" s="1148">
        <f t="shared" si="13"/>
        <v>100</v>
      </c>
      <c r="V38" s="1147" t="s">
        <v>1707</v>
      </c>
      <c r="W38" s="1148">
        <f t="shared" si="14"/>
        <v>100</v>
      </c>
      <c r="X38" s="1149"/>
      <c r="Y38" s="3414"/>
      <c r="Z38" s="1150">
        <f t="shared" si="15"/>
        <v>111</v>
      </c>
      <c r="AA38" s="1047">
        <f t="shared" si="3"/>
        <v>1</v>
      </c>
      <c r="AB38" s="1047">
        <f t="shared" si="4"/>
        <v>1</v>
      </c>
      <c r="AC38" s="1047">
        <f t="shared" si="5"/>
        <v>1</v>
      </c>
    </row>
    <row r="39" spans="1:29" ht="1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14"/>
      <c r="Q39" s="707">
        <f t="shared" si="11"/>
        <v>111</v>
      </c>
      <c r="R39" s="1109" t="s">
        <v>1707</v>
      </c>
      <c r="S39" s="1110">
        <f t="shared" si="12"/>
        <v>100</v>
      </c>
      <c r="T39" s="1109" t="s">
        <v>1707</v>
      </c>
      <c r="U39" s="1110">
        <f t="shared" si="13"/>
        <v>100</v>
      </c>
      <c r="V39" s="1109" t="s">
        <v>1707</v>
      </c>
      <c r="W39" s="1110">
        <f t="shared" si="14"/>
        <v>100</v>
      </c>
      <c r="X39" s="1048"/>
      <c r="Y39" s="3414"/>
      <c r="Z39" s="1047">
        <f t="shared" si="15"/>
        <v>111</v>
      </c>
      <c r="AA39" s="1047">
        <f t="shared" si="3"/>
        <v>1</v>
      </c>
      <c r="AB39" s="1047">
        <f t="shared" si="4"/>
        <v>1</v>
      </c>
      <c r="AC39" s="1047">
        <f t="shared" si="5"/>
        <v>1</v>
      </c>
    </row>
    <row r="40" spans="1:29" ht="1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15"/>
      <c r="Q40" s="707">
        <f t="shared" si="11"/>
        <v>111</v>
      </c>
      <c r="R40" s="1109" t="s">
        <v>1707</v>
      </c>
      <c r="S40" s="1110">
        <f t="shared" si="12"/>
        <v>100</v>
      </c>
      <c r="T40" s="1109" t="s">
        <v>1707</v>
      </c>
      <c r="U40" s="1110">
        <f t="shared" si="13"/>
        <v>100</v>
      </c>
      <c r="V40" s="1109" t="s">
        <v>1707</v>
      </c>
      <c r="W40" s="1110">
        <f t="shared" si="14"/>
        <v>100</v>
      </c>
      <c r="X40" s="1048"/>
      <c r="Y40" s="3415"/>
      <c r="Z40" s="1047">
        <f t="shared" si="15"/>
        <v>111</v>
      </c>
      <c r="AA40" s="1047">
        <f t="shared" si="3"/>
        <v>1</v>
      </c>
      <c r="AB40" s="1047">
        <f t="shared" si="4"/>
        <v>1</v>
      </c>
      <c r="AC40" s="1047">
        <f t="shared" si="5"/>
        <v>1</v>
      </c>
    </row>
    <row r="41" spans="1:29" ht="15">
      <c r="A41" s="1162" t="s">
        <v>1738</v>
      </c>
      <c r="B41" s="1411"/>
      <c r="C41" s="1412" t="s">
        <v>124</v>
      </c>
      <c r="D41" s="1165"/>
      <c r="E41" s="1166"/>
      <c r="F41" s="1167"/>
      <c r="G41" s="1168"/>
      <c r="H41" s="1169"/>
      <c r="I41" s="1166"/>
      <c r="J41" s="1169"/>
      <c r="K41" s="1170"/>
      <c r="L41" s="1504"/>
      <c r="M41" s="1227"/>
      <c r="N41" s="1227"/>
      <c r="O41" s="1227"/>
      <c r="P41" s="3404" t="str">
        <f>A41</f>
        <v>成交单价（元/平方米）</v>
      </c>
      <c r="Q41" s="3404"/>
      <c r="R41" s="3405">
        <f>E41</f>
        <v>0</v>
      </c>
      <c r="S41" s="3405"/>
      <c r="T41" s="3405">
        <f>G41</f>
        <v>0</v>
      </c>
      <c r="U41" s="3405"/>
      <c r="V41" s="3405">
        <f>I41</f>
        <v>0</v>
      </c>
      <c r="W41" s="3405"/>
      <c r="X41" s="1172"/>
      <c r="Y41" s="1173"/>
      <c r="Z41" s="1172"/>
      <c r="AA41" s="1172"/>
      <c r="AB41" s="1172"/>
      <c r="AC41" s="1172"/>
    </row>
    <row r="42" spans="1:29" ht="15">
      <c r="A42" s="1174" t="s">
        <v>1739</v>
      </c>
      <c r="B42" s="1413"/>
      <c r="C42" s="1414" t="e">
        <f>R43</f>
        <v>#DIV/0!</v>
      </c>
      <c r="D42" s="1177" t="s">
        <v>1740</v>
      </c>
      <c r="E42" s="1415" t="e">
        <f>R42</f>
        <v>#DIV/0!</v>
      </c>
      <c r="F42" s="1178"/>
      <c r="G42" s="1414" t="e">
        <f>T42</f>
        <v>#DIV/0!</v>
      </c>
      <c r="H42" s="1178"/>
      <c r="I42" s="1415" t="e">
        <f>V42</f>
        <v>#DIV/0!</v>
      </c>
      <c r="J42" s="1178"/>
      <c r="K42" s="1180">
        <f>F42+H42+J42</f>
        <v>0</v>
      </c>
      <c r="L42" s="1504"/>
      <c r="M42" s="1227"/>
      <c r="N42" s="1227"/>
      <c r="O42" s="1227"/>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172"/>
      <c r="Y42" s="1172"/>
      <c r="Z42" s="1172"/>
      <c r="AA42" s="1172"/>
      <c r="AB42" s="1172"/>
      <c r="AC42" s="1172"/>
    </row>
    <row r="43" spans="1:29" ht="15">
      <c r="A43" s="1181" t="s">
        <v>1741</v>
      </c>
      <c r="B43" s="1182"/>
      <c r="C43" s="1053" t="e">
        <f>R43</f>
        <v>#DIV/0!</v>
      </c>
      <c r="D43" s="1053"/>
      <c r="E43" s="1053"/>
      <c r="F43" s="1053"/>
      <c r="G43" s="1053"/>
      <c r="H43" s="1053"/>
      <c r="I43" s="1053"/>
      <c r="J43" s="1053"/>
      <c r="K43" s="1184"/>
      <c r="L43" s="1504"/>
      <c r="M43" s="1227"/>
      <c r="N43" s="1227"/>
      <c r="O43" s="122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1745</v>
      </c>
      <c r="B51" s="1172"/>
      <c r="C51" s="1234"/>
      <c r="D51" s="1234"/>
      <c r="E51" s="1234"/>
      <c r="F51" s="1235"/>
      <c r="G51" s="1235"/>
      <c r="H51" s="1234"/>
      <c r="I51" s="1234"/>
      <c r="J51" s="1234"/>
      <c r="K51" s="1366"/>
      <c r="L51" s="1367"/>
      <c r="M51" s="1238"/>
      <c r="N51" s="1238"/>
      <c r="O51" s="1238"/>
      <c r="P51" s="1507"/>
      <c r="Q51" s="1508"/>
    </row>
    <row r="52" spans="1:17" s="1016" customFormat="1" ht="15">
      <c r="A52" s="1417" t="s">
        <v>1705</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ht="15">
      <c r="A53" s="1126"/>
      <c r="B53" s="1256"/>
      <c r="C53" s="1421">
        <v>100</v>
      </c>
      <c r="D53" s="1263"/>
      <c r="E53" s="1263"/>
      <c r="F53" s="1263"/>
      <c r="G53" s="1263"/>
      <c r="H53" s="1263"/>
      <c r="I53" s="1263"/>
      <c r="J53" s="1263"/>
      <c r="K53" s="1263"/>
      <c r="L53" s="1263"/>
      <c r="M53" s="1093"/>
      <c r="N53" s="1263"/>
      <c r="O53" s="1264"/>
      <c r="P53" s="1508"/>
    </row>
    <row r="54" spans="1:17" s="1011" customFormat="1" ht="15">
      <c r="A54" s="1249" t="s">
        <v>1746</v>
      </c>
      <c r="B54" s="1250"/>
      <c r="C54" s="1251"/>
      <c r="D54" s="1252"/>
      <c r="E54" s="1252"/>
      <c r="F54" s="1252"/>
      <c r="G54" s="1252"/>
      <c r="H54" s="1252"/>
      <c r="I54" s="1252"/>
      <c r="J54" s="1252"/>
      <c r="K54" s="1252"/>
      <c r="L54" s="1252"/>
      <c r="M54" s="1253"/>
      <c r="N54" s="1509"/>
      <c r="O54" s="1510"/>
      <c r="P54" s="1508"/>
      <c r="Q54" s="1508"/>
    </row>
    <row r="55" spans="1:17" s="1011" customFormat="1" ht="15">
      <c r="A55" s="1255" t="s">
        <v>1708</v>
      </c>
      <c r="B55" s="1256"/>
      <c r="C55" s="1257" t="s">
        <v>1747</v>
      </c>
      <c r="D55" s="1258"/>
      <c r="E55" s="1258"/>
      <c r="F55" s="1258"/>
      <c r="G55" s="1258"/>
      <c r="H55" s="1258"/>
      <c r="I55" s="1258"/>
      <c r="J55" s="1258"/>
      <c r="K55" s="1258"/>
      <c r="L55" s="1259"/>
      <c r="M55" s="1260"/>
      <c r="N55" s="1511"/>
      <c r="O55" s="1511"/>
      <c r="P55" s="1512"/>
      <c r="Q55" s="1508"/>
    </row>
    <row r="56" spans="1:17" s="1011" customFormat="1" ht="15">
      <c r="A56" s="1255"/>
      <c r="B56" s="1256"/>
      <c r="C56" s="1262">
        <v>100</v>
      </c>
      <c r="D56" s="1263"/>
      <c r="E56" s="1263"/>
      <c r="F56" s="1263"/>
      <c r="G56" s="1263"/>
      <c r="H56" s="1263"/>
      <c r="I56" s="1263"/>
      <c r="J56" s="1263"/>
      <c r="K56" s="1263"/>
      <c r="L56" s="1263"/>
      <c r="M56" s="1264"/>
      <c r="N56" s="1511"/>
      <c r="O56" s="1511"/>
      <c r="P56" s="1508"/>
      <c r="Q56" s="1508"/>
    </row>
    <row r="57" spans="1:17">
      <c r="A57" s="1103" t="s">
        <v>1748</v>
      </c>
      <c r="B57" s="1265" t="s">
        <v>1711</v>
      </c>
      <c r="C57" s="699">
        <f>C9</f>
        <v>0</v>
      </c>
      <c r="D57" s="1153"/>
      <c r="E57" s="1153"/>
      <c r="F57" s="1153"/>
      <c r="G57" s="1153"/>
      <c r="H57" s="1153"/>
      <c r="I57" s="1153"/>
      <c r="J57" s="1153"/>
      <c r="K57" s="1266"/>
      <c r="L57" s="1267"/>
      <c r="M57" s="1268"/>
      <c r="N57" s="1513"/>
      <c r="O57" s="1513"/>
      <c r="P57" s="1514"/>
      <c r="Q57" s="1508"/>
    </row>
    <row r="58" spans="1:17" ht="15">
      <c r="A58" s="1086"/>
      <c r="B58" s="1270"/>
      <c r="C58" s="1271">
        <v>100</v>
      </c>
      <c r="D58" s="1271"/>
      <c r="E58" s="1271"/>
      <c r="F58" s="1271"/>
      <c r="G58" s="1271"/>
      <c r="H58" s="1271"/>
      <c r="I58" s="1271"/>
      <c r="J58" s="1271"/>
      <c r="K58" s="1271"/>
      <c r="L58" s="1271"/>
      <c r="M58" s="1272"/>
      <c r="N58" s="1515"/>
      <c r="O58" s="1515"/>
      <c r="P58" s="1514"/>
      <c r="Q58" s="1508"/>
    </row>
    <row r="59" spans="1:17" ht="27">
      <c r="A59" s="1086"/>
      <c r="B59" s="1274" t="s">
        <v>1714</v>
      </c>
      <c r="C59" s="1323"/>
      <c r="D59" s="1323"/>
      <c r="E59" s="1323"/>
      <c r="F59" s="1323"/>
      <c r="G59" s="1323"/>
      <c r="H59" s="1323"/>
      <c r="I59" s="1323"/>
      <c r="J59" s="1323"/>
      <c r="K59" s="1324"/>
      <c r="L59" s="1325"/>
      <c r="M59" s="1326"/>
      <c r="N59" s="1513"/>
      <c r="O59" s="1513"/>
      <c r="P59" s="1514"/>
      <c r="Q59" s="1508"/>
    </row>
    <row r="60" spans="1:17" ht="15">
      <c r="A60" s="1086"/>
      <c r="B60" s="1279"/>
      <c r="C60" s="1271"/>
      <c r="D60" s="1271"/>
      <c r="E60" s="1271"/>
      <c r="F60" s="1271"/>
      <c r="G60" s="1271"/>
      <c r="H60" s="1271"/>
      <c r="I60" s="1271"/>
      <c r="J60" s="1271"/>
      <c r="K60" s="1271"/>
      <c r="L60" s="1271"/>
      <c r="M60" s="1272"/>
      <c r="N60" s="1515"/>
      <c r="O60" s="1515"/>
      <c r="P60" s="1514"/>
      <c r="Q60" s="1508"/>
    </row>
    <row r="61" spans="1:17" ht="15">
      <c r="A61" s="1086"/>
      <c r="B61" s="1282" t="s">
        <v>1715</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ht="15">
      <c r="A62" s="1086"/>
      <c r="B62" s="1284"/>
      <c r="C62" s="1095">
        <v>0</v>
      </c>
      <c r="D62" s="1095">
        <v>2</v>
      </c>
      <c r="E62" s="1095"/>
      <c r="F62" s="1095"/>
      <c r="G62" s="1095"/>
      <c r="H62" s="1095"/>
      <c r="I62" s="1095"/>
      <c r="J62" s="1095"/>
      <c r="K62" s="1285"/>
      <c r="L62" s="1286"/>
      <c r="M62" s="1287"/>
      <c r="N62" s="1513"/>
      <c r="O62" s="1513"/>
      <c r="P62" s="1514"/>
      <c r="Q62" s="1508"/>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ht="15">
      <c r="A64" s="1288"/>
      <c r="B64" s="1274">
        <f>B12</f>
        <v>111</v>
      </c>
      <c r="C64" s="1289"/>
      <c r="D64" s="1289"/>
      <c r="E64" s="1289"/>
      <c r="F64" s="1289"/>
      <c r="G64" s="1289"/>
      <c r="H64" s="1290"/>
      <c r="I64" s="1290"/>
      <c r="J64" s="1290"/>
      <c r="K64" s="1290"/>
      <c r="L64" s="1291"/>
      <c r="M64" s="1292"/>
      <c r="N64" s="1516"/>
      <c r="O64" s="1516"/>
      <c r="P64" s="1517"/>
      <c r="Q64" s="1518"/>
    </row>
    <row r="65" spans="1:17" s="1013" customFormat="1" ht="15">
      <c r="A65" s="1288"/>
      <c r="B65" s="1279"/>
      <c r="C65" s="1295"/>
      <c r="D65" s="1271"/>
      <c r="E65" s="1271"/>
      <c r="F65" s="1271"/>
      <c r="G65" s="1271"/>
      <c r="H65" s="1271"/>
      <c r="I65" s="1271"/>
      <c r="J65" s="1271"/>
      <c r="K65" s="1271"/>
      <c r="L65" s="1271"/>
      <c r="M65" s="1272"/>
      <c r="N65" s="1515"/>
      <c r="O65" s="1515"/>
      <c r="P65" s="1517"/>
      <c r="Q65" s="1518"/>
    </row>
    <row r="66" spans="1:17" s="1013" customFormat="1" ht="15">
      <c r="A66" s="1288"/>
      <c r="B66" s="1274">
        <f>B13</f>
        <v>111</v>
      </c>
      <c r="C66" s="1289"/>
      <c r="D66" s="1289"/>
      <c r="E66" s="1289"/>
      <c r="F66" s="1289"/>
      <c r="G66" s="1289"/>
      <c r="H66" s="1290"/>
      <c r="I66" s="1290"/>
      <c r="J66" s="1290"/>
      <c r="K66" s="1290"/>
      <c r="L66" s="1291"/>
      <c r="M66" s="1292"/>
      <c r="N66" s="1516"/>
      <c r="O66" s="1516"/>
      <c r="Q66" s="1519"/>
    </row>
    <row r="67" spans="1:17" s="1013" customFormat="1" ht="15">
      <c r="A67" s="1288"/>
      <c r="B67" s="1279"/>
      <c r="C67" s="1295"/>
      <c r="D67" s="1271"/>
      <c r="E67" s="1271"/>
      <c r="F67" s="1271"/>
      <c r="G67" s="1295"/>
      <c r="H67" s="1297"/>
      <c r="I67" s="1297"/>
      <c r="J67" s="1297"/>
      <c r="K67" s="1297"/>
      <c r="L67" s="1297"/>
      <c r="M67" s="1298"/>
      <c r="N67" s="1516"/>
      <c r="O67" s="1516"/>
      <c r="P67" s="1517"/>
      <c r="Q67" s="1518"/>
    </row>
    <row r="68" spans="1:17" s="1013" customFormat="1" ht="15">
      <c r="A68" s="1288"/>
      <c r="B68" s="1282">
        <f>B14</f>
        <v>111</v>
      </c>
      <c r="C68" s="1258"/>
      <c r="D68" s="1258"/>
      <c r="E68" s="1258"/>
      <c r="F68" s="1258"/>
      <c r="G68" s="1258"/>
      <c r="H68" s="1299"/>
      <c r="I68" s="1299"/>
      <c r="J68" s="1299"/>
      <c r="K68" s="1299"/>
      <c r="L68" s="1300"/>
      <c r="M68" s="1301"/>
      <c r="N68" s="1516"/>
      <c r="O68" s="1516"/>
      <c r="P68" s="1520"/>
      <c r="Q68" s="1518"/>
    </row>
    <row r="69" spans="1:17" s="1013" customFormat="1" ht="15">
      <c r="A69" s="1303"/>
      <c r="B69" s="1304"/>
      <c r="C69" s="1305"/>
      <c r="D69" s="1305"/>
      <c r="E69" s="1305"/>
      <c r="F69" s="1305"/>
      <c r="G69" s="1305"/>
      <c r="H69" s="1306"/>
      <c r="I69" s="1306"/>
      <c r="J69" s="1306"/>
      <c r="K69" s="1306"/>
      <c r="L69" s="1306"/>
      <c r="M69" s="1307"/>
      <c r="N69" s="1516"/>
      <c r="O69" s="1516"/>
      <c r="P69" s="1517"/>
      <c r="Q69" s="1518"/>
    </row>
    <row r="70" spans="1:17">
      <c r="A70" s="1103" t="s">
        <v>1716</v>
      </c>
      <c r="B70" s="1265" t="s">
        <v>1799</v>
      </c>
      <c r="C70" s="1308" t="s">
        <v>1749</v>
      </c>
      <c r="D70" s="1308" t="s">
        <v>1750</v>
      </c>
      <c r="E70" s="1308" t="s">
        <v>1751</v>
      </c>
      <c r="F70" s="1308" t="s">
        <v>1752</v>
      </c>
      <c r="G70" s="1308" t="s">
        <v>1753</v>
      </c>
      <c r="H70" s="699"/>
      <c r="I70" s="699"/>
      <c r="J70" s="699"/>
      <c r="K70" s="1309"/>
      <c r="L70" s="1310"/>
      <c r="M70" s="1311"/>
      <c r="N70" s="1513"/>
      <c r="O70" s="1513"/>
      <c r="P70" s="1521"/>
      <c r="Q70" s="1508"/>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ht="15">
      <c r="A72" s="1086"/>
      <c r="B72" s="1274" t="s">
        <v>1719</v>
      </c>
      <c r="C72" s="1313" t="s">
        <v>1749</v>
      </c>
      <c r="D72" s="1313" t="s">
        <v>1750</v>
      </c>
      <c r="E72" s="1313" t="s">
        <v>1751</v>
      </c>
      <c r="F72" s="1313" t="s">
        <v>1752</v>
      </c>
      <c r="G72" s="1313" t="s">
        <v>1753</v>
      </c>
      <c r="H72" s="1275"/>
      <c r="I72" s="1275"/>
      <c r="J72" s="1275"/>
      <c r="K72" s="1276"/>
      <c r="L72" s="1277"/>
      <c r="M72" s="1278"/>
      <c r="N72" s="1513"/>
      <c r="O72" s="1513"/>
      <c r="P72" s="1514"/>
      <c r="Q72" s="1508"/>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ht="15">
      <c r="A74" s="1086"/>
      <c r="B74" s="1274" t="s">
        <v>1720</v>
      </c>
      <c r="C74" s="1313" t="s">
        <v>1749</v>
      </c>
      <c r="D74" s="1313" t="s">
        <v>1750</v>
      </c>
      <c r="E74" s="1313" t="s">
        <v>1751</v>
      </c>
      <c r="F74" s="1313" t="s">
        <v>1752</v>
      </c>
      <c r="G74" s="1313" t="s">
        <v>1753</v>
      </c>
      <c r="H74" s="1275"/>
      <c r="I74" s="1275"/>
      <c r="J74" s="1275"/>
      <c r="K74" s="1276"/>
      <c r="L74" s="1277"/>
      <c r="M74" s="1278"/>
      <c r="N74" s="1513"/>
      <c r="O74" s="1513"/>
      <c r="P74" s="1514"/>
      <c r="Q74" s="1508"/>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ht="15">
      <c r="A76" s="1086"/>
      <c r="B76" s="1282" t="s">
        <v>1721</v>
      </c>
      <c r="C76" s="1116" t="s">
        <v>1754</v>
      </c>
      <c r="D76" s="1116" t="s">
        <v>1755</v>
      </c>
      <c r="E76" s="1116" t="s">
        <v>1756</v>
      </c>
      <c r="F76" s="1116" t="s">
        <v>1757</v>
      </c>
      <c r="G76" s="1116" t="s">
        <v>1758</v>
      </c>
      <c r="H76" s="1275"/>
      <c r="I76" s="1275"/>
      <c r="J76" s="1275"/>
      <c r="K76" s="1275"/>
      <c r="L76" s="1275"/>
      <c r="M76" s="1422"/>
      <c r="N76" s="1515"/>
      <c r="O76" s="1515"/>
      <c r="P76" s="1514"/>
      <c r="Q76" s="1508"/>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ht="15">
      <c r="A78" s="1086"/>
      <c r="B78" s="1274" t="s">
        <v>1793</v>
      </c>
      <c r="C78" s="1313" t="s">
        <v>1749</v>
      </c>
      <c r="D78" s="1313" t="s">
        <v>1750</v>
      </c>
      <c r="E78" s="1313" t="s">
        <v>1751</v>
      </c>
      <c r="F78" s="1313" t="s">
        <v>1752</v>
      </c>
      <c r="G78" s="1313" t="s">
        <v>1753</v>
      </c>
      <c r="H78" s="1275"/>
      <c r="I78" s="1275"/>
      <c r="J78" s="1275"/>
      <c r="K78" s="1276"/>
      <c r="L78" s="1277"/>
      <c r="M78" s="1278"/>
      <c r="N78" s="1513"/>
      <c r="O78" s="1513"/>
      <c r="P78" s="1514"/>
      <c r="Q78" s="1508"/>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ht="15">
      <c r="A80" s="1092"/>
      <c r="B80" s="1274">
        <f>B25</f>
        <v>111</v>
      </c>
      <c r="C80" s="1289"/>
      <c r="D80" s="1289"/>
      <c r="E80" s="1289"/>
      <c r="F80" s="1289"/>
      <c r="G80" s="1289"/>
      <c r="H80" s="1289"/>
      <c r="I80" s="1289"/>
      <c r="J80" s="1289"/>
      <c r="K80" s="1289"/>
      <c r="L80" s="1423"/>
      <c r="M80" s="1424"/>
      <c r="N80" s="1511"/>
      <c r="O80" s="1511"/>
      <c r="P80" s="1514"/>
      <c r="Q80" s="1508"/>
    </row>
    <row r="81" spans="1:17" s="1011" customFormat="1" ht="15">
      <c r="A81" s="1092"/>
      <c r="B81" s="1279"/>
      <c r="C81" s="1295"/>
      <c r="D81" s="1271"/>
      <c r="E81" s="1271"/>
      <c r="F81" s="1271"/>
      <c r="G81" s="1271"/>
      <c r="H81" s="1271"/>
      <c r="I81" s="1271"/>
      <c r="J81" s="1271"/>
      <c r="K81" s="1271"/>
      <c r="L81" s="1271"/>
      <c r="M81" s="1272"/>
      <c r="N81" s="1515"/>
      <c r="O81" s="1515"/>
      <c r="P81" s="1514"/>
      <c r="Q81" s="1508"/>
    </row>
    <row r="82" spans="1:17" s="1011" customFormat="1" ht="15">
      <c r="A82" s="1092"/>
      <c r="B82" s="1274">
        <f>B26</f>
        <v>111</v>
      </c>
      <c r="C82" s="1289"/>
      <c r="D82" s="1289"/>
      <c r="E82" s="1289"/>
      <c r="F82" s="1289"/>
      <c r="G82" s="1289"/>
      <c r="H82" s="1289"/>
      <c r="I82" s="1289"/>
      <c r="J82" s="1289"/>
      <c r="K82" s="1289"/>
      <c r="L82" s="1423"/>
      <c r="M82" s="1424"/>
      <c r="N82" s="1511"/>
      <c r="O82" s="1511"/>
      <c r="P82" s="1514"/>
      <c r="Q82" s="1508"/>
    </row>
    <row r="83" spans="1:17" s="1011" customFormat="1" ht="15">
      <c r="A83" s="1092"/>
      <c r="B83" s="1279"/>
      <c r="C83" s="1295"/>
      <c r="D83" s="1271"/>
      <c r="E83" s="1271"/>
      <c r="F83" s="1271"/>
      <c r="G83" s="1271"/>
      <c r="H83" s="1271"/>
      <c r="I83" s="1271"/>
      <c r="J83" s="1271"/>
      <c r="K83" s="1271"/>
      <c r="L83" s="1271"/>
      <c r="M83" s="1272"/>
      <c r="N83" s="1515"/>
      <c r="O83" s="1515"/>
      <c r="P83" s="1514"/>
      <c r="Q83" s="1508"/>
    </row>
    <row r="84" spans="1:17" s="1013" customFormat="1" ht="15">
      <c r="A84" s="1288"/>
      <c r="B84" s="1274">
        <f>B27</f>
        <v>111</v>
      </c>
      <c r="C84" s="1289"/>
      <c r="D84" s="1289"/>
      <c r="E84" s="1289"/>
      <c r="F84" s="1289"/>
      <c r="G84" s="1289"/>
      <c r="H84" s="1289"/>
      <c r="I84" s="1289"/>
      <c r="J84" s="1289"/>
      <c r="K84" s="1289"/>
      <c r="L84" s="1423"/>
      <c r="M84" s="1424"/>
      <c r="N84" s="1516"/>
      <c r="O84" s="1516"/>
      <c r="P84" s="1517"/>
      <c r="Q84" s="1518"/>
    </row>
    <row r="85" spans="1:17" s="1013" customFormat="1" ht="15">
      <c r="A85" s="1288"/>
      <c r="B85" s="1279"/>
      <c r="C85" s="1295"/>
      <c r="D85" s="1271"/>
      <c r="E85" s="1271"/>
      <c r="F85" s="1271"/>
      <c r="G85" s="1271"/>
      <c r="H85" s="1271"/>
      <c r="I85" s="1271"/>
      <c r="J85" s="1271"/>
      <c r="K85" s="1271"/>
      <c r="L85" s="1271"/>
      <c r="M85" s="1272"/>
      <c r="N85" s="1516"/>
      <c r="O85" s="1516"/>
      <c r="P85" s="1517"/>
      <c r="Q85" s="1518"/>
    </row>
    <row r="86" spans="1:17" ht="15">
      <c r="A86" s="1086"/>
      <c r="B86" s="1282">
        <f>B28</f>
        <v>111</v>
      </c>
      <c r="C86" s="1258"/>
      <c r="D86" s="1258"/>
      <c r="E86" s="1258"/>
      <c r="F86" s="1258"/>
      <c r="G86" s="1327"/>
      <c r="H86" s="1327"/>
      <c r="I86" s="1327"/>
      <c r="J86" s="1327"/>
      <c r="K86" s="1328"/>
      <c r="L86" s="1329"/>
      <c r="M86" s="1330"/>
      <c r="N86" s="1513"/>
      <c r="O86" s="1513"/>
      <c r="P86" s="1514"/>
      <c r="Q86" s="1508"/>
    </row>
    <row r="87" spans="1:17" ht="15">
      <c r="A87" s="1099"/>
      <c r="B87" s="1304"/>
      <c r="C87" s="1305"/>
      <c r="D87" s="1305"/>
      <c r="E87" s="1305"/>
      <c r="F87" s="1305"/>
      <c r="G87" s="1331"/>
      <c r="H87" s="1331"/>
      <c r="I87" s="1331"/>
      <c r="J87" s="1331"/>
      <c r="K87" s="1331"/>
      <c r="L87" s="1331"/>
      <c r="M87" s="1332"/>
      <c r="N87" s="1515"/>
      <c r="O87" s="1515"/>
      <c r="P87" s="1514"/>
      <c r="Q87" s="1508"/>
    </row>
    <row r="88" spans="1:17">
      <c r="A88" s="1103" t="s">
        <v>1725</v>
      </c>
      <c r="B88" s="1265" t="s">
        <v>1726</v>
      </c>
      <c r="C88" s="1153"/>
      <c r="D88" s="1153"/>
      <c r="E88" s="1153"/>
      <c r="F88" s="1153"/>
      <c r="G88" s="1153"/>
      <c r="H88" s="1153"/>
      <c r="I88" s="1153"/>
      <c r="J88" s="1153"/>
      <c r="K88" s="1266"/>
      <c r="L88" s="1267"/>
      <c r="M88" s="1268"/>
      <c r="N88" s="1513"/>
      <c r="O88" s="1513"/>
      <c r="P88" s="1514"/>
      <c r="Q88" s="1508"/>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ht="15">
      <c r="A90" s="1086"/>
      <c r="B90" s="1274" t="s">
        <v>1728</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ht="15">
      <c r="A92" s="1288"/>
      <c r="B92" s="1279"/>
      <c r="C92" s="1295"/>
      <c r="D92" s="1271"/>
      <c r="E92" s="1271"/>
      <c r="F92" s="1271"/>
      <c r="G92" s="1271"/>
      <c r="H92" s="1271"/>
      <c r="I92" s="1271"/>
      <c r="J92" s="1271"/>
      <c r="K92" s="1271"/>
      <c r="L92" s="1271"/>
      <c r="M92" s="1272"/>
      <c r="N92" s="1515"/>
      <c r="O92" s="1515"/>
      <c r="P92" s="1517"/>
      <c r="Q92" s="1518"/>
    </row>
    <row r="93" spans="1:17">
      <c r="A93" s="1154"/>
      <c r="B93" s="1274" t="s">
        <v>1729</v>
      </c>
      <c r="C93" s="1289"/>
      <c r="D93" s="1289"/>
      <c r="E93" s="1323"/>
      <c r="F93" s="1323"/>
      <c r="G93" s="1323"/>
      <c r="H93" s="1323"/>
      <c r="I93" s="1323"/>
      <c r="J93" s="1323"/>
      <c r="K93" s="1324"/>
      <c r="L93" s="1325"/>
      <c r="M93" s="1326"/>
      <c r="N93" s="1513"/>
      <c r="O93" s="1513"/>
      <c r="P93" s="1514"/>
      <c r="Q93" s="1508"/>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1731</v>
      </c>
      <c r="C95" s="1289"/>
      <c r="D95" s="1289"/>
      <c r="E95" s="1289"/>
      <c r="F95" s="1323"/>
      <c r="G95" s="1323"/>
      <c r="H95" s="1323"/>
      <c r="I95" s="1323"/>
      <c r="J95" s="1323"/>
      <c r="K95" s="1324"/>
      <c r="L95" s="1325"/>
      <c r="M95" s="1326"/>
      <c r="N95" s="1513"/>
      <c r="O95" s="1513"/>
      <c r="P95" s="1514"/>
      <c r="Q95" s="1508"/>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700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1732</v>
      </c>
      <c r="C100" s="1289"/>
      <c r="D100" s="1289"/>
      <c r="E100" s="1289"/>
      <c r="F100" s="1289"/>
      <c r="G100" s="1289"/>
      <c r="H100" s="1323"/>
      <c r="I100" s="1323"/>
      <c r="J100" s="1323"/>
      <c r="K100" s="1324"/>
      <c r="L100" s="1325"/>
      <c r="M100" s="1326"/>
      <c r="N100" s="1516"/>
      <c r="O100" s="1516"/>
      <c r="P100" s="1517"/>
      <c r="Q100" s="1518"/>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1733</v>
      </c>
      <c r="C102" s="1289"/>
      <c r="D102" s="1289"/>
      <c r="E102" s="1289"/>
      <c r="F102" s="1289"/>
      <c r="G102" s="1289"/>
      <c r="H102" s="1323"/>
      <c r="I102" s="1323"/>
      <c r="J102" s="1323"/>
      <c r="K102" s="1324"/>
      <c r="L102" s="1325"/>
      <c r="M102" s="1326"/>
      <c r="N102" s="1513"/>
      <c r="O102" s="1513"/>
      <c r="P102" s="1514"/>
      <c r="Q102" s="1508"/>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1736</v>
      </c>
      <c r="C104" s="1289"/>
      <c r="D104" s="1289"/>
      <c r="E104" s="1289"/>
      <c r="F104" s="1289"/>
      <c r="G104" s="1289"/>
      <c r="H104" s="1323"/>
      <c r="I104" s="1323"/>
      <c r="J104" s="1323"/>
      <c r="K104" s="1324"/>
      <c r="L104" s="1325"/>
      <c r="M104" s="1326"/>
      <c r="N104" s="1513"/>
      <c r="O104" s="1513"/>
      <c r="P104" s="1514"/>
      <c r="Q104" s="1508"/>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c r="A106" s="1154"/>
      <c r="B106" s="1428" t="s">
        <v>1801</v>
      </c>
      <c r="C106" s="1313" t="s">
        <v>1749</v>
      </c>
      <c r="D106" s="1313" t="s">
        <v>1750</v>
      </c>
      <c r="E106" s="1313" t="s">
        <v>1751</v>
      </c>
      <c r="F106" s="1313" t="s">
        <v>1752</v>
      </c>
      <c r="G106" s="1313" t="s">
        <v>1753</v>
      </c>
      <c r="H106" s="1275"/>
      <c r="I106" s="1275"/>
      <c r="J106" s="1275"/>
      <c r="K106" s="1276"/>
      <c r="L106" s="1277"/>
      <c r="M106" s="1278"/>
      <c r="N106" s="1515"/>
      <c r="O106" s="1515"/>
      <c r="P106" s="646"/>
      <c r="Q106" s="1522"/>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ht="15">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ht="15">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ht="15">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604</v>
      </c>
      <c r="C1" s="1374" t="s">
        <v>1689</v>
      </c>
      <c r="D1" s="1375"/>
      <c r="E1" s="1376"/>
      <c r="F1" s="1377"/>
      <c r="G1" s="1434" t="s">
        <v>1690</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1047</v>
      </c>
      <c r="B3" s="1035" t="e">
        <f>IF(AND(C2="——",B37="元/平方米"),C39,ROUND(B2*10000/D3,0))</f>
        <v>#DIV/0!</v>
      </c>
      <c r="C3" s="1389" t="s">
        <v>1691</v>
      </c>
      <c r="D3" s="1390">
        <f>SUMIF('数据-汇总表'!$C19:$C33,D1,'数据-汇总表'!$E19:$E33)</f>
        <v>0</v>
      </c>
      <c r="E3" s="1389" t="s">
        <v>1803</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01" t="s">
        <v>1706</v>
      </c>
      <c r="Q7" s="3402"/>
      <c r="R7" s="1067" t="s">
        <v>1707</v>
      </c>
      <c r="S7" s="1068">
        <f t="shared" ref="S7:S14" si="0">F7</f>
        <v>0</v>
      </c>
      <c r="T7" s="1067" t="s">
        <v>1707</v>
      </c>
      <c r="U7" s="1068">
        <f t="shared" ref="U7:U14" si="1">H7</f>
        <v>0</v>
      </c>
      <c r="V7" s="1067" t="s">
        <v>1707</v>
      </c>
      <c r="W7" s="1068">
        <f t="shared" ref="W7:W14"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36" si="3">D8/F8</f>
        <v>1</v>
      </c>
      <c r="AB8" s="1071">
        <f t="shared" ref="AB8:AB36" si="4">D8/H8</f>
        <v>1</v>
      </c>
      <c r="AC8" s="1071">
        <f t="shared" ref="AC8:AC36" si="5">D8/J8</f>
        <v>1</v>
      </c>
    </row>
    <row r="9" spans="1:29" s="1011" customFormat="1">
      <c r="A9" s="1441" t="s">
        <v>1710</v>
      </c>
      <c r="B9" s="1442" t="s">
        <v>1711</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404" t="s">
        <v>1712</v>
      </c>
      <c r="Q9" s="811" t="str">
        <f t="shared" ref="Q9:Q14" si="6">B9</f>
        <v>用途</v>
      </c>
      <c r="R9" s="1067" t="s">
        <v>1707</v>
      </c>
      <c r="S9" s="1068">
        <f t="shared" si="0"/>
        <v>100</v>
      </c>
      <c r="T9" s="1067" t="s">
        <v>1707</v>
      </c>
      <c r="U9" s="1068">
        <f t="shared" si="1"/>
        <v>100</v>
      </c>
      <c r="V9" s="1067" t="s">
        <v>1707</v>
      </c>
      <c r="W9" s="1068">
        <f t="shared" si="2"/>
        <v>100</v>
      </c>
      <c r="X9" s="1069"/>
      <c r="Y9" s="3354" t="s">
        <v>1713</v>
      </c>
      <c r="Z9" s="1071" t="str">
        <f t="shared" ref="Z9:Z14" si="7">Q9</f>
        <v>用途</v>
      </c>
      <c r="AA9" s="1071">
        <f t="shared" si="3"/>
        <v>1</v>
      </c>
      <c r="AB9" s="1071">
        <f t="shared" si="4"/>
        <v>1</v>
      </c>
      <c r="AC9" s="1071">
        <f t="shared" si="5"/>
        <v>1</v>
      </c>
    </row>
    <row r="10" spans="1:29" s="1012" customFormat="1" ht="27">
      <c r="A10" s="1444"/>
      <c r="B10" s="1445" t="s">
        <v>1714</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04"/>
      <c r="Q11" s="811">
        <f t="shared" si="6"/>
        <v>111</v>
      </c>
      <c r="R11" s="1067" t="s">
        <v>1707</v>
      </c>
      <c r="S11" s="1068">
        <f t="shared" si="0"/>
        <v>100</v>
      </c>
      <c r="T11" s="1067" t="s">
        <v>1707</v>
      </c>
      <c r="U11" s="1068">
        <f t="shared" si="1"/>
        <v>100</v>
      </c>
      <c r="V11" s="1067" t="s">
        <v>1707</v>
      </c>
      <c r="W11" s="1068">
        <f t="shared" si="2"/>
        <v>100</v>
      </c>
      <c r="X11" s="1069"/>
      <c r="Y11" s="3354"/>
      <c r="Z11" s="1071">
        <f t="shared" si="7"/>
        <v>111</v>
      </c>
      <c r="AA11" s="1071">
        <f t="shared" si="3"/>
        <v>1</v>
      </c>
      <c r="AB11" s="1071">
        <f t="shared" si="4"/>
        <v>1</v>
      </c>
      <c r="AC11" s="1071">
        <f t="shared" si="5"/>
        <v>1</v>
      </c>
    </row>
    <row r="12" spans="1:29" s="1011" customFormat="1" ht="1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38" t="s">
        <v>1716</v>
      </c>
      <c r="B14" s="1104" t="s">
        <v>1719</v>
      </c>
      <c r="C14" s="1105">
        <f>IF(B1="工业",估价对象房地状况!G4,估价对象房地状况!C6)</f>
        <v>0</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12" t="s">
        <v>1718</v>
      </c>
      <c r="Q14" s="707" t="str">
        <f t="shared" si="6"/>
        <v>交通便捷度</v>
      </c>
      <c r="R14" s="1109" t="s">
        <v>1707</v>
      </c>
      <c r="S14" s="1110">
        <f t="shared" si="0"/>
        <v>100</v>
      </c>
      <c r="T14" s="1109" t="s">
        <v>1707</v>
      </c>
      <c r="U14" s="1110">
        <f t="shared" si="1"/>
        <v>100</v>
      </c>
      <c r="V14" s="1109" t="s">
        <v>1707</v>
      </c>
      <c r="W14" s="1110">
        <f t="shared" si="2"/>
        <v>100</v>
      </c>
      <c r="X14" s="1048"/>
      <c r="Y14" s="3412" t="s">
        <v>1718</v>
      </c>
      <c r="Z14" s="1047" t="str">
        <f t="shared" si="7"/>
        <v>交通便捷度</v>
      </c>
      <c r="AA14" s="1047">
        <f t="shared" si="3"/>
        <v>1</v>
      </c>
      <c r="AB14" s="1047">
        <f t="shared" si="4"/>
        <v>1</v>
      </c>
      <c r="AC14" s="1047">
        <f t="shared" si="5"/>
        <v>1</v>
      </c>
    </row>
    <row r="15" spans="1:29" ht="15">
      <c r="A15" s="1049"/>
      <c r="B15" s="1451"/>
      <c r="C15" s="1112"/>
      <c r="D15" s="1113"/>
      <c r="E15" s="1112"/>
      <c r="F15" s="1055"/>
      <c r="G15" s="1112"/>
      <c r="H15" s="1115"/>
      <c r="I15" s="1112"/>
      <c r="J15" s="1113"/>
      <c r="K15" s="1398"/>
      <c r="L15" s="1098"/>
      <c r="M15" s="1044"/>
      <c r="N15" s="1044"/>
      <c r="O15" s="1044"/>
      <c r="P15" s="3413"/>
      <c r="Q15" s="707"/>
      <c r="R15" s="1109"/>
      <c r="S15" s="1110"/>
      <c r="T15" s="1109"/>
      <c r="U15" s="1110"/>
      <c r="V15" s="1109"/>
      <c r="W15" s="1110"/>
      <c r="X15" s="1048"/>
      <c r="Y15" s="3413"/>
      <c r="Z15" s="1047"/>
      <c r="AA15" s="1047">
        <v>1</v>
      </c>
      <c r="AB15" s="1047">
        <v>1</v>
      </c>
      <c r="AC15" s="1047">
        <v>1</v>
      </c>
    </row>
    <row r="16" spans="1:29" ht="15">
      <c r="A16" s="1049"/>
      <c r="B16" s="1117" t="s">
        <v>1720</v>
      </c>
      <c r="C16" s="1118">
        <f>IF(B1="工业",估价对象房地状况!G5,估价对象房地状况!C7)</f>
        <v>0</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13"/>
      <c r="Q16" s="707" t="str">
        <f>B16</f>
        <v>公共配套设施</v>
      </c>
      <c r="R16" s="1109" t="s">
        <v>1707</v>
      </c>
      <c r="S16" s="1110">
        <f>F16</f>
        <v>100</v>
      </c>
      <c r="T16" s="1109" t="s">
        <v>1707</v>
      </c>
      <c r="U16" s="1110">
        <f>H16</f>
        <v>100</v>
      </c>
      <c r="V16" s="1109" t="s">
        <v>1707</v>
      </c>
      <c r="W16" s="1110">
        <f>J16</f>
        <v>100</v>
      </c>
      <c r="X16" s="1048"/>
      <c r="Y16" s="3413"/>
      <c r="Z16" s="1047" t="str">
        <f>Q16</f>
        <v>公共配套设施</v>
      </c>
      <c r="AA16" s="1047">
        <f t="shared" si="3"/>
        <v>1</v>
      </c>
      <c r="AB16" s="1047">
        <f t="shared" si="4"/>
        <v>1</v>
      </c>
      <c r="AC16" s="1047">
        <f t="shared" si="5"/>
        <v>1</v>
      </c>
    </row>
    <row r="17" spans="1:29" ht="15">
      <c r="A17" s="1049"/>
      <c r="B17" s="1122"/>
      <c r="C17" s="1347"/>
      <c r="D17" s="1113"/>
      <c r="E17" s="1112"/>
      <c r="F17" s="1055"/>
      <c r="G17" s="1112"/>
      <c r="H17" s="1113"/>
      <c r="I17" s="1112"/>
      <c r="J17" s="1113"/>
      <c r="K17" s="1398"/>
      <c r="L17" s="1098"/>
      <c r="M17" s="1044"/>
      <c r="N17" s="1044"/>
      <c r="O17" s="1044"/>
      <c r="P17" s="3413"/>
      <c r="Q17" s="707"/>
      <c r="R17" s="1109"/>
      <c r="S17" s="1110"/>
      <c r="T17" s="1109"/>
      <c r="U17" s="1110"/>
      <c r="V17" s="1109"/>
      <c r="W17" s="1110"/>
      <c r="X17" s="1048"/>
      <c r="Y17" s="3413"/>
      <c r="Z17" s="1047"/>
      <c r="AA17" s="1047">
        <v>1</v>
      </c>
      <c r="AB17" s="1047">
        <v>1</v>
      </c>
      <c r="AC17" s="1047">
        <v>1</v>
      </c>
    </row>
    <row r="18" spans="1:29" ht="15">
      <c r="A18" s="1049"/>
      <c r="B18" s="1127" t="s">
        <v>1721</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13"/>
      <c r="Q18" s="707" t="str">
        <f>B18</f>
        <v>基础设施水平</v>
      </c>
      <c r="R18" s="1109" t="s">
        <v>1707</v>
      </c>
      <c r="S18" s="1110">
        <f>F18</f>
        <v>100</v>
      </c>
      <c r="T18" s="1109" t="s">
        <v>1707</v>
      </c>
      <c r="U18" s="1110">
        <f>H18</f>
        <v>100</v>
      </c>
      <c r="V18" s="1109" t="s">
        <v>1707</v>
      </c>
      <c r="W18" s="1110">
        <f>J18</f>
        <v>100</v>
      </c>
      <c r="X18" s="1048"/>
      <c r="Y18" s="3413"/>
      <c r="Z18" s="1047" t="str">
        <f>Q18</f>
        <v>基础设施水平</v>
      </c>
      <c r="AA18" s="1047">
        <f t="shared" ref="AA18" si="8">D18/F18</f>
        <v>1</v>
      </c>
      <c r="AB18" s="1047">
        <f t="shared" ref="AB18" si="9">D18/H18</f>
        <v>1</v>
      </c>
      <c r="AC18" s="1047">
        <f t="shared" ref="AC18" si="10">D18/J18</f>
        <v>1</v>
      </c>
    </row>
    <row r="19" spans="1:29" ht="15">
      <c r="A19" s="1049"/>
      <c r="B19" s="1127"/>
      <c r="C19" s="1347"/>
      <c r="D19" s="1115"/>
      <c r="E19" s="1347"/>
      <c r="F19" s="1051"/>
      <c r="G19" s="1347"/>
      <c r="H19" s="1113"/>
      <c r="I19" s="1112"/>
      <c r="J19" s="1113"/>
      <c r="K19" s="1399"/>
      <c r="L19" s="1098"/>
      <c r="M19" s="1044"/>
      <c r="N19" s="1044"/>
      <c r="O19" s="1044"/>
      <c r="P19" s="3413"/>
      <c r="Q19" s="707"/>
      <c r="R19" s="1109"/>
      <c r="S19" s="1110"/>
      <c r="T19" s="1109"/>
      <c r="U19" s="1110"/>
      <c r="V19" s="1109"/>
      <c r="W19" s="1110"/>
      <c r="X19" s="1048"/>
      <c r="Y19" s="3413"/>
      <c r="Z19" s="1047"/>
      <c r="AA19" s="1047">
        <v>1</v>
      </c>
      <c r="AB19" s="1047">
        <v>1</v>
      </c>
      <c r="AC19" s="1047">
        <v>1</v>
      </c>
    </row>
    <row r="20" spans="1:29" ht="15">
      <c r="A20" s="1049"/>
      <c r="B20" s="1117" t="s">
        <v>1722</v>
      </c>
      <c r="C20" s="1118">
        <f>IF(B1="工业",估价对象房地状况!G7,估价对象房地状况!C9)</f>
        <v>0</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13"/>
      <c r="Q20" s="707" t="str">
        <f>B20</f>
        <v>自然及人文环境</v>
      </c>
      <c r="R20" s="1109" t="s">
        <v>1707</v>
      </c>
      <c r="S20" s="1110">
        <f>F20</f>
        <v>100</v>
      </c>
      <c r="T20" s="1109" t="s">
        <v>1707</v>
      </c>
      <c r="U20" s="1110">
        <f>H20</f>
        <v>100</v>
      </c>
      <c r="V20" s="1109" t="s">
        <v>1707</v>
      </c>
      <c r="W20" s="1110">
        <f>J20</f>
        <v>100</v>
      </c>
      <c r="X20" s="1048"/>
      <c r="Y20" s="3413"/>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98"/>
      <c r="L21" s="1098"/>
      <c r="M21" s="1044"/>
      <c r="N21" s="1044"/>
      <c r="O21" s="1044"/>
      <c r="P21" s="3413"/>
      <c r="Q21" s="707"/>
      <c r="R21" s="1109"/>
      <c r="S21" s="1110"/>
      <c r="T21" s="1109"/>
      <c r="U21" s="1110"/>
      <c r="V21" s="1109"/>
      <c r="W21" s="1110"/>
      <c r="X21" s="1048"/>
      <c r="Y21" s="3413"/>
      <c r="Z21" s="1047"/>
      <c r="AA21" s="1047">
        <v>1</v>
      </c>
      <c r="AB21" s="1047">
        <v>1</v>
      </c>
      <c r="AC21" s="1047">
        <v>1</v>
      </c>
    </row>
    <row r="22" spans="1:29" ht="15">
      <c r="A22" s="1049"/>
      <c r="B22" s="1117" t="s">
        <v>1784</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13"/>
      <c r="Q22" s="707" t="str">
        <f>B22</f>
        <v>楼层</v>
      </c>
      <c r="R22" s="1109" t="s">
        <v>1707</v>
      </c>
      <c r="S22" s="1110">
        <f>F22</f>
        <v>100</v>
      </c>
      <c r="T22" s="1109" t="s">
        <v>1707</v>
      </c>
      <c r="U22" s="1110">
        <f>H22</f>
        <v>100</v>
      </c>
      <c r="V22" s="1109" t="s">
        <v>1707</v>
      </c>
      <c r="W22" s="1110">
        <f>J22</f>
        <v>100</v>
      </c>
      <c r="X22" s="1048"/>
      <c r="Y22" s="3413"/>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13"/>
      <c r="Q23" s="707">
        <f>B23</f>
        <v>111</v>
      </c>
      <c r="R23" s="1109" t="s">
        <v>1707</v>
      </c>
      <c r="S23" s="1110">
        <f>F23</f>
        <v>100</v>
      </c>
      <c r="T23" s="1109" t="s">
        <v>1707</v>
      </c>
      <c r="U23" s="1110">
        <f>H23</f>
        <v>100</v>
      </c>
      <c r="V23" s="1109" t="s">
        <v>1707</v>
      </c>
      <c r="W23" s="1110">
        <f>J23</f>
        <v>100</v>
      </c>
      <c r="X23" s="1048"/>
      <c r="Y23" s="3413"/>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13"/>
      <c r="Q24" s="707">
        <f t="shared" ref="Q24:Q36" si="11">B24</f>
        <v>111</v>
      </c>
      <c r="R24" s="1109" t="s">
        <v>1707</v>
      </c>
      <c r="S24" s="1110">
        <f>F24</f>
        <v>100</v>
      </c>
      <c r="T24" s="1109" t="s">
        <v>1707</v>
      </c>
      <c r="U24" s="1110">
        <f>H24</f>
        <v>100</v>
      </c>
      <c r="V24" s="1109" t="s">
        <v>1707</v>
      </c>
      <c r="W24" s="1110">
        <f>J24</f>
        <v>100</v>
      </c>
      <c r="X24" s="1048"/>
      <c r="Y24" s="3413"/>
      <c r="Z24" s="1047">
        <f>Q24</f>
        <v>111</v>
      </c>
      <c r="AA24" s="1047">
        <f t="shared" si="3"/>
        <v>1</v>
      </c>
      <c r="AB24" s="1047">
        <f t="shared" si="4"/>
        <v>1</v>
      </c>
      <c r="AC24" s="1047">
        <f t="shared" si="5"/>
        <v>1</v>
      </c>
    </row>
    <row r="25" spans="1:29" s="1011" customFormat="1" ht="1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13"/>
      <c r="Q25" s="811">
        <f t="shared" si="11"/>
        <v>111</v>
      </c>
      <c r="R25" s="1067" t="s">
        <v>1707</v>
      </c>
      <c r="S25" s="1068">
        <f>F25</f>
        <v>100</v>
      </c>
      <c r="T25" s="1067" t="s">
        <v>1707</v>
      </c>
      <c r="U25" s="1068">
        <f>H25</f>
        <v>100</v>
      </c>
      <c r="V25" s="1067" t="s">
        <v>1707</v>
      </c>
      <c r="W25" s="1068">
        <f>J25</f>
        <v>100</v>
      </c>
      <c r="X25" s="1069"/>
      <c r="Y25" s="3413"/>
      <c r="Z25" s="1071">
        <f>Q25</f>
        <v>111</v>
      </c>
      <c r="AA25" s="1047">
        <f t="shared" si="3"/>
        <v>1</v>
      </c>
      <c r="AB25" s="1047">
        <f t="shared" si="4"/>
        <v>1</v>
      </c>
      <c r="AC25" s="1047">
        <f t="shared" si="5"/>
        <v>1</v>
      </c>
    </row>
    <row r="26" spans="1:29" ht="28.5">
      <c r="A26" s="1456" t="s">
        <v>1725</v>
      </c>
      <c r="B26" s="1076" t="s">
        <v>1804</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9" t="s">
        <v>1727</v>
      </c>
      <c r="Q26" s="707" t="str">
        <f t="shared" si="11"/>
        <v>配套类型</v>
      </c>
      <c r="R26" s="1109" t="s">
        <v>1707</v>
      </c>
      <c r="S26" s="1110">
        <f t="shared" ref="S26:S36" si="12">F26</f>
        <v>0</v>
      </c>
      <c r="T26" s="1109" t="s">
        <v>1707</v>
      </c>
      <c r="U26" s="1110">
        <f t="shared" ref="U26:U36" si="13">H26</f>
        <v>0</v>
      </c>
      <c r="V26" s="1109" t="s">
        <v>1707</v>
      </c>
      <c r="W26" s="1110">
        <f t="shared" ref="W26:W36" si="14">J26</f>
        <v>0</v>
      </c>
      <c r="X26" s="1048"/>
      <c r="Y26" s="3414" t="s">
        <v>1727</v>
      </c>
      <c r="Z26" s="1047" t="str">
        <f t="shared" ref="Z26:Z36" si="15">Q26</f>
        <v>配套类型</v>
      </c>
      <c r="AA26" s="1047" t="e">
        <f t="shared" si="3"/>
        <v>#DIV/0!</v>
      </c>
      <c r="AB26" s="1047" t="e">
        <f t="shared" si="4"/>
        <v>#DIV/0!</v>
      </c>
      <c r="AC26" s="1047" t="e">
        <f t="shared" si="5"/>
        <v>#DIV/0!</v>
      </c>
    </row>
    <row r="27" spans="1:29" s="1013" customFormat="1" ht="15">
      <c r="A27" s="1458"/>
      <c r="B27" s="1081" t="s">
        <v>1805</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14"/>
      <c r="Q27" s="1406" t="str">
        <f t="shared" si="11"/>
        <v>项目停车位配比</v>
      </c>
      <c r="R27" s="1147" t="s">
        <v>1707</v>
      </c>
      <c r="S27" s="1148">
        <f t="shared" si="12"/>
        <v>100</v>
      </c>
      <c r="T27" s="1147" t="s">
        <v>1707</v>
      </c>
      <c r="U27" s="1148">
        <f t="shared" si="13"/>
        <v>100</v>
      </c>
      <c r="V27" s="1147" t="s">
        <v>1707</v>
      </c>
      <c r="W27" s="1148">
        <f t="shared" si="14"/>
        <v>100</v>
      </c>
      <c r="X27" s="1149"/>
      <c r="Y27" s="3414"/>
      <c r="Z27" s="1150" t="str">
        <f t="shared" si="15"/>
        <v>项目停车位配比</v>
      </c>
      <c r="AA27" s="1047">
        <f t="shared" si="3"/>
        <v>1</v>
      </c>
      <c r="AB27" s="1047">
        <f t="shared" si="4"/>
        <v>1</v>
      </c>
      <c r="AC27" s="1047">
        <f t="shared" si="5"/>
        <v>1</v>
      </c>
    </row>
    <row r="28" spans="1:29" ht="15">
      <c r="A28" s="1460"/>
      <c r="B28" s="1081" t="s">
        <v>1731</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14"/>
      <c r="Q28" s="707" t="str">
        <f t="shared" si="11"/>
        <v>公共部分装修</v>
      </c>
      <c r="R28" s="1109" t="s">
        <v>1707</v>
      </c>
      <c r="S28" s="1110">
        <f t="shared" si="12"/>
        <v>100</v>
      </c>
      <c r="T28" s="1109" t="s">
        <v>1707</v>
      </c>
      <c r="U28" s="1110">
        <f t="shared" si="13"/>
        <v>100</v>
      </c>
      <c r="V28" s="1109" t="s">
        <v>1707</v>
      </c>
      <c r="W28" s="1110">
        <f t="shared" si="14"/>
        <v>100</v>
      </c>
      <c r="X28" s="1048"/>
      <c r="Y28" s="3414"/>
      <c r="Z28" s="1047" t="str">
        <f t="shared" si="15"/>
        <v>公共部分装修</v>
      </c>
      <c r="AA28" s="1047">
        <f t="shared" si="3"/>
        <v>1</v>
      </c>
      <c r="AB28" s="1047">
        <f t="shared" si="4"/>
        <v>1</v>
      </c>
      <c r="AC28" s="1047">
        <f t="shared" si="5"/>
        <v>1</v>
      </c>
    </row>
    <row r="29" spans="1:29" ht="15">
      <c r="A29" s="1460"/>
      <c r="B29" s="1081" t="s">
        <v>1806</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14"/>
      <c r="Q29" s="707" t="str">
        <f t="shared" si="11"/>
        <v>成新率</v>
      </c>
      <c r="R29" s="1109" t="s">
        <v>1707</v>
      </c>
      <c r="S29" s="1110" t="e">
        <f t="shared" si="12"/>
        <v>#N/A</v>
      </c>
      <c r="T29" s="1109" t="s">
        <v>1707</v>
      </c>
      <c r="U29" s="1110" t="e">
        <f t="shared" si="13"/>
        <v>#N/A</v>
      </c>
      <c r="V29" s="1109" t="s">
        <v>1707</v>
      </c>
      <c r="W29" s="1110" t="e">
        <f t="shared" si="14"/>
        <v>#N/A</v>
      </c>
      <c r="X29" s="1048"/>
      <c r="Y29" s="3414"/>
      <c r="Z29" s="1047" t="str">
        <f t="shared" si="15"/>
        <v>成新率</v>
      </c>
      <c r="AA29" s="1047" t="e">
        <f t="shared" si="3"/>
        <v>#N/A</v>
      </c>
      <c r="AB29" s="1047" t="e">
        <f t="shared" si="4"/>
        <v>#N/A</v>
      </c>
      <c r="AC29" s="1047" t="e">
        <f t="shared" si="5"/>
        <v>#N/A</v>
      </c>
    </row>
    <row r="30" spans="1:29" ht="15">
      <c r="A30" s="1460"/>
      <c r="B30" s="1081" t="s">
        <v>1807</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14"/>
      <c r="Q30" s="707" t="str">
        <f t="shared" si="11"/>
        <v>物业等级</v>
      </c>
      <c r="R30" s="1109" t="s">
        <v>1707</v>
      </c>
      <c r="S30" s="1110">
        <f t="shared" si="12"/>
        <v>100</v>
      </c>
      <c r="T30" s="1109" t="s">
        <v>1707</v>
      </c>
      <c r="U30" s="1110">
        <f t="shared" si="13"/>
        <v>100</v>
      </c>
      <c r="V30" s="1109" t="s">
        <v>1707</v>
      </c>
      <c r="W30" s="1110">
        <f t="shared" si="14"/>
        <v>100</v>
      </c>
      <c r="X30" s="1048"/>
      <c r="Y30" s="3414"/>
      <c r="Z30" s="1047" t="str">
        <f t="shared" si="15"/>
        <v>物业等级</v>
      </c>
      <c r="AA30" s="1047">
        <f t="shared" si="3"/>
        <v>1</v>
      </c>
      <c r="AB30" s="1047">
        <f t="shared" si="4"/>
        <v>1</v>
      </c>
      <c r="AC30" s="1047">
        <f t="shared" si="5"/>
        <v>1</v>
      </c>
    </row>
    <row r="31" spans="1:29" s="1011" customFormat="1" ht="15">
      <c r="A31" s="1461"/>
      <c r="B31" s="1081" t="s">
        <v>1808</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14"/>
      <c r="Q31" s="811" t="str">
        <f t="shared" si="11"/>
        <v>停车位面积</v>
      </c>
      <c r="R31" s="1067" t="s">
        <v>1707</v>
      </c>
      <c r="S31" s="1068" t="e">
        <f t="shared" si="12"/>
        <v>#N/A</v>
      </c>
      <c r="T31" s="1067" t="s">
        <v>1707</v>
      </c>
      <c r="U31" s="1068" t="e">
        <f t="shared" si="13"/>
        <v>#N/A</v>
      </c>
      <c r="V31" s="1067" t="s">
        <v>1707</v>
      </c>
      <c r="W31" s="1068" t="e">
        <f t="shared" si="14"/>
        <v>#N/A</v>
      </c>
      <c r="X31" s="1069"/>
      <c r="Y31" s="3414"/>
      <c r="Z31" s="1071" t="str">
        <f t="shared" si="15"/>
        <v>停车位面积</v>
      </c>
      <c r="AA31" s="1071" t="e">
        <f t="shared" si="3"/>
        <v>#N/A</v>
      </c>
      <c r="AB31" s="1071" t="e">
        <f t="shared" si="4"/>
        <v>#N/A</v>
      </c>
      <c r="AC31" s="1071" t="e">
        <f t="shared" si="5"/>
        <v>#N/A</v>
      </c>
    </row>
    <row r="32" spans="1:29" ht="15">
      <c r="A32" s="1460"/>
      <c r="B32" s="1081" t="s">
        <v>1809</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14" t="s">
        <v>1727</v>
      </c>
      <c r="Q32" s="707" t="str">
        <f t="shared" si="11"/>
        <v>车位类型</v>
      </c>
      <c r="R32" s="1109" t="s">
        <v>1707</v>
      </c>
      <c r="S32" s="1110">
        <f t="shared" si="12"/>
        <v>100</v>
      </c>
      <c r="T32" s="1109" t="s">
        <v>1707</v>
      </c>
      <c r="U32" s="1110">
        <f t="shared" si="13"/>
        <v>100</v>
      </c>
      <c r="V32" s="1109" t="s">
        <v>1707</v>
      </c>
      <c r="W32" s="1110">
        <f t="shared" si="14"/>
        <v>100</v>
      </c>
      <c r="X32" s="1048"/>
      <c r="Y32" s="3414" t="s">
        <v>1727</v>
      </c>
      <c r="Z32" s="1047" t="str">
        <f t="shared" si="15"/>
        <v>车位类型</v>
      </c>
      <c r="AA32" s="1047">
        <f t="shared" si="3"/>
        <v>1</v>
      </c>
      <c r="AB32" s="1047">
        <f t="shared" si="4"/>
        <v>1</v>
      </c>
      <c r="AC32" s="1047">
        <f t="shared" si="5"/>
        <v>1</v>
      </c>
    </row>
    <row r="33" spans="1:29" ht="15">
      <c r="A33" s="1460"/>
      <c r="B33" s="1081" t="s">
        <v>1810</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14"/>
      <c r="Q33" s="707" t="str">
        <f t="shared" si="11"/>
        <v>是否直接入户</v>
      </c>
      <c r="R33" s="1109" t="s">
        <v>1707</v>
      </c>
      <c r="S33" s="1110">
        <f t="shared" si="12"/>
        <v>100</v>
      </c>
      <c r="T33" s="1109" t="s">
        <v>1707</v>
      </c>
      <c r="U33" s="1110">
        <f t="shared" si="13"/>
        <v>100</v>
      </c>
      <c r="V33" s="1109" t="s">
        <v>1707</v>
      </c>
      <c r="W33" s="1110">
        <f t="shared" si="14"/>
        <v>100</v>
      </c>
      <c r="X33" s="1048"/>
      <c r="Y33" s="3414"/>
      <c r="Z33" s="1047" t="str">
        <f t="shared" si="15"/>
        <v>是否直接入户</v>
      </c>
      <c r="AA33" s="1047">
        <f t="shared" si="3"/>
        <v>1</v>
      </c>
      <c r="AB33" s="1047">
        <f t="shared" si="4"/>
        <v>1</v>
      </c>
      <c r="AC33" s="1047">
        <f t="shared" si="5"/>
        <v>1</v>
      </c>
    </row>
    <row r="34" spans="1:29" ht="1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14"/>
      <c r="Q34" s="707">
        <f t="shared" si="11"/>
        <v>111</v>
      </c>
      <c r="R34" s="1109" t="s">
        <v>1707</v>
      </c>
      <c r="S34" s="1110">
        <f t="shared" si="12"/>
        <v>100</v>
      </c>
      <c r="T34" s="1109" t="s">
        <v>1707</v>
      </c>
      <c r="U34" s="1110">
        <f t="shared" si="13"/>
        <v>100</v>
      </c>
      <c r="V34" s="1109" t="s">
        <v>1707</v>
      </c>
      <c r="W34" s="1110">
        <f t="shared" si="14"/>
        <v>100</v>
      </c>
      <c r="X34" s="1048"/>
      <c r="Y34" s="3414"/>
      <c r="Z34" s="1047">
        <f t="shared" si="15"/>
        <v>111</v>
      </c>
      <c r="AA34" s="1047">
        <f t="shared" si="3"/>
        <v>1</v>
      </c>
      <c r="AB34" s="1047">
        <f t="shared" si="4"/>
        <v>1</v>
      </c>
      <c r="AC34" s="1047">
        <f t="shared" si="5"/>
        <v>1</v>
      </c>
    </row>
    <row r="35" spans="1:29" s="1013" customFormat="1" ht="1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14"/>
      <c r="Q35" s="1406">
        <f t="shared" si="11"/>
        <v>111</v>
      </c>
      <c r="R35" s="1147" t="s">
        <v>1707</v>
      </c>
      <c r="S35" s="1148">
        <f t="shared" si="12"/>
        <v>100</v>
      </c>
      <c r="T35" s="1147" t="s">
        <v>1707</v>
      </c>
      <c r="U35" s="1148">
        <f t="shared" si="13"/>
        <v>100</v>
      </c>
      <c r="V35" s="1147" t="s">
        <v>1707</v>
      </c>
      <c r="W35" s="1148">
        <f t="shared" si="14"/>
        <v>100</v>
      </c>
      <c r="X35" s="1149"/>
      <c r="Y35" s="3414"/>
      <c r="Z35" s="1150">
        <f t="shared" si="15"/>
        <v>111</v>
      </c>
      <c r="AA35" s="1047">
        <f t="shared" si="3"/>
        <v>1</v>
      </c>
      <c r="AB35" s="1047">
        <f t="shared" si="4"/>
        <v>1</v>
      </c>
      <c r="AC35" s="1047">
        <f t="shared" si="5"/>
        <v>1</v>
      </c>
    </row>
    <row r="36" spans="1:29" ht="1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14"/>
      <c r="Q36" s="707">
        <f t="shared" si="11"/>
        <v>111</v>
      </c>
      <c r="R36" s="1109" t="s">
        <v>1707</v>
      </c>
      <c r="S36" s="1110">
        <f t="shared" si="12"/>
        <v>100</v>
      </c>
      <c r="T36" s="1109" t="s">
        <v>1707</v>
      </c>
      <c r="U36" s="1110">
        <f t="shared" si="13"/>
        <v>100</v>
      </c>
      <c r="V36" s="1109" t="s">
        <v>1707</v>
      </c>
      <c r="W36" s="1110">
        <f t="shared" si="14"/>
        <v>100</v>
      </c>
      <c r="X36" s="1048"/>
      <c r="Y36" s="3414"/>
      <c r="Z36" s="1047">
        <f t="shared" si="15"/>
        <v>111</v>
      </c>
      <c r="AA36" s="1047">
        <f t="shared" si="3"/>
        <v>1</v>
      </c>
      <c r="AB36" s="1047">
        <f t="shared" si="4"/>
        <v>1</v>
      </c>
      <c r="AC36" s="1047">
        <f t="shared" si="5"/>
        <v>1</v>
      </c>
    </row>
    <row r="37" spans="1:29" ht="15">
      <c r="A37" s="1162" t="s">
        <v>1811</v>
      </c>
      <c r="B37" s="1463" t="s">
        <v>1812</v>
      </c>
      <c r="C37" s="1412" t="s">
        <v>124</v>
      </c>
      <c r="D37" s="1165"/>
      <c r="E37" s="1166"/>
      <c r="F37" s="1167"/>
      <c r="G37" s="1168"/>
      <c r="H37" s="1169"/>
      <c r="I37" s="1166"/>
      <c r="J37" s="1169"/>
      <c r="K37" s="1464"/>
      <c r="L37" s="1171"/>
      <c r="M37" s="1044"/>
      <c r="N37" s="1044"/>
      <c r="O37" s="1044"/>
      <c r="P37" s="3404" t="str">
        <f>A37</f>
        <v>成交单价</v>
      </c>
      <c r="Q37" s="3404"/>
      <c r="R37" s="3405">
        <f>E37</f>
        <v>0</v>
      </c>
      <c r="S37" s="3405"/>
      <c r="T37" s="3405">
        <f>G37</f>
        <v>0</v>
      </c>
      <c r="U37" s="3405"/>
      <c r="V37" s="3405">
        <f>I37</f>
        <v>0</v>
      </c>
      <c r="W37" s="3405"/>
      <c r="X37" s="1172"/>
      <c r="Y37" s="1173"/>
      <c r="Z37" s="1172"/>
      <c r="AA37" s="1172"/>
      <c r="AB37" s="1172"/>
      <c r="AC37" s="1172"/>
    </row>
    <row r="38" spans="1:29" ht="15">
      <c r="A38" s="1174" t="s">
        <v>1739</v>
      </c>
      <c r="B38" s="1413" t="str">
        <f>B37</f>
        <v>元/平方米</v>
      </c>
      <c r="C38" s="1414" t="e">
        <f>R39</f>
        <v>#DIV/0!</v>
      </c>
      <c r="D38" s="1177" t="s">
        <v>1740</v>
      </c>
      <c r="E38" s="1415" t="e">
        <f>R38</f>
        <v>#DIV/0!</v>
      </c>
      <c r="F38" s="1178"/>
      <c r="G38" s="1414" t="e">
        <f>T38</f>
        <v>#DIV/0!</v>
      </c>
      <c r="H38" s="1178"/>
      <c r="I38" s="1415" t="e">
        <f>V38</f>
        <v>#DIV/0!</v>
      </c>
      <c r="J38" s="1178"/>
      <c r="K38" s="1180">
        <f>F38+H38+J38</f>
        <v>0</v>
      </c>
      <c r="L38" s="1171"/>
      <c r="M38" s="1044"/>
      <c r="N38" s="1044"/>
      <c r="O38" s="1044"/>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172"/>
      <c r="Y38" s="1172"/>
      <c r="Z38" s="1172"/>
      <c r="AA38" s="1172"/>
      <c r="AB38" s="1172"/>
      <c r="AC38" s="1172"/>
    </row>
    <row r="39" spans="1:29" ht="15">
      <c r="A39" s="1181" t="s">
        <v>1813</v>
      </c>
      <c r="B39" s="1182"/>
      <c r="C39" s="1053" t="e">
        <f>R39</f>
        <v>#DIV/0!</v>
      </c>
      <c r="D39" s="1053"/>
      <c r="E39" s="1053"/>
      <c r="F39" s="1053"/>
      <c r="G39" s="1053"/>
      <c r="H39" s="1053"/>
      <c r="I39" s="1053"/>
      <c r="J39" s="1053"/>
      <c r="K39" s="1465"/>
      <c r="L39" s="1171"/>
      <c r="M39" s="1044"/>
      <c r="N39" s="1044"/>
      <c r="O39" s="1044"/>
      <c r="P39" s="3416" t="str">
        <f>A39</f>
        <v>估价对象XX用房的比较价值（楼面单价，元/平方米）</v>
      </c>
      <c r="Q39" s="3417"/>
      <c r="R39" s="3450" t="e">
        <f>IF(F1="售价",ROUND(IF(D38="简单平均",AVERAGE(R38:W38),R38*F38+T38*H38+V38*J38),0),ROUND(IF(D38="简单平均",AVERAGE(R38:V38),R38*F38+T38*H38+V38*J38),1))</f>
        <v>#DIV/0!</v>
      </c>
      <c r="S39" s="3450"/>
      <c r="T39" s="3450"/>
      <c r="U39" s="3450"/>
      <c r="V39" s="3450"/>
      <c r="W39" s="3450"/>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1742</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1743</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1744</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1745</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ht="15">
      <c r="A48" s="1417" t="s">
        <v>1705</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ht="15">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ht="15">
      <c r="A50" s="1249" t="s">
        <v>1746</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ht="15">
      <c r="A51" s="1255" t="s">
        <v>1708</v>
      </c>
      <c r="B51" s="1256"/>
      <c r="C51" s="1257" t="s">
        <v>1747</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1748</v>
      </c>
      <c r="B53" s="1265" t="s">
        <v>1711</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7">
      <c r="A55" s="1086"/>
      <c r="B55" s="1274" t="s">
        <v>1714</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1716</v>
      </c>
      <c r="B63" s="1265" t="s">
        <v>1719</v>
      </c>
      <c r="C63" s="1308" t="s">
        <v>1749</v>
      </c>
      <c r="D63" s="1308" t="s">
        <v>1750</v>
      </c>
      <c r="E63" s="1308" t="s">
        <v>1751</v>
      </c>
      <c r="F63" s="1308" t="s">
        <v>1752</v>
      </c>
      <c r="G63" s="1308" t="s">
        <v>1753</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ht="15">
      <c r="A65" s="1086"/>
      <c r="B65" s="1274" t="s">
        <v>1720</v>
      </c>
      <c r="C65" s="1313" t="s">
        <v>1749</v>
      </c>
      <c r="D65" s="1313" t="s">
        <v>1750</v>
      </c>
      <c r="E65" s="1313" t="s">
        <v>1751</v>
      </c>
      <c r="F65" s="1313" t="s">
        <v>1752</v>
      </c>
      <c r="G65" s="1313" t="s">
        <v>1753</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ht="15">
      <c r="A67" s="1086"/>
      <c r="B67" s="1282" t="s">
        <v>1721</v>
      </c>
      <c r="C67" s="1116" t="s">
        <v>1754</v>
      </c>
      <c r="D67" s="1116" t="s">
        <v>1755</v>
      </c>
      <c r="E67" s="1116" t="s">
        <v>1756</v>
      </c>
      <c r="F67" s="1116" t="s">
        <v>1757</v>
      </c>
      <c r="G67" s="1116" t="s">
        <v>1758</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ht="15">
      <c r="A69" s="1086"/>
      <c r="B69" s="1274" t="s">
        <v>1722</v>
      </c>
      <c r="C69" s="1313" t="s">
        <v>1749</v>
      </c>
      <c r="D69" s="1313" t="s">
        <v>1750</v>
      </c>
      <c r="E69" s="1313" t="s">
        <v>1751</v>
      </c>
      <c r="F69" s="1313" t="s">
        <v>1752</v>
      </c>
      <c r="G69" s="1313" t="s">
        <v>1753</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ht="15">
      <c r="A71" s="1086"/>
      <c r="B71" s="1274" t="s">
        <v>1784</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7">
      <c r="A79" s="1103" t="s">
        <v>1725</v>
      </c>
      <c r="B79" s="1265" t="s">
        <v>1814</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ht="15">
      <c r="A81" s="1086"/>
      <c r="B81" s="1274" t="s">
        <v>1805</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1731</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1806</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1807</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1808</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1809</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1810</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1802</v>
      </c>
      <c r="B1" s="1373" t="s">
        <v>1815</v>
      </c>
      <c r="C1" s="1374" t="s">
        <v>1689</v>
      </c>
      <c r="D1" s="1375"/>
      <c r="E1" s="1376"/>
      <c r="F1" s="1377"/>
      <c r="G1" s="1378" t="s">
        <v>1690</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IF(C2="——",C37,ROUND(B2*10000/D3,0))</f>
        <v>#DIV/0!</v>
      </c>
      <c r="C3" s="1389" t="s">
        <v>1691</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01" t="s">
        <v>1706</v>
      </c>
      <c r="Q7" s="3402"/>
      <c r="R7" s="1067" t="s">
        <v>1707</v>
      </c>
      <c r="S7" s="1068">
        <f t="shared" ref="S7:S14" si="0">F7</f>
        <v>0</v>
      </c>
      <c r="T7" s="1067" t="s">
        <v>1707</v>
      </c>
      <c r="U7" s="1068">
        <f t="shared" ref="U7:U14" si="1">H7</f>
        <v>0</v>
      </c>
      <c r="V7" s="1067" t="s">
        <v>1707</v>
      </c>
      <c r="W7" s="1068">
        <f t="shared" ref="W7:W14" si="2">J7</f>
        <v>0</v>
      </c>
      <c r="X7" s="1069"/>
      <c r="Y7" s="3401" t="s">
        <v>1706</v>
      </c>
      <c r="Z7" s="3403"/>
      <c r="AA7" s="1071" t="e">
        <f>D7/F7</f>
        <v>#DIV/0!</v>
      </c>
      <c r="AB7" s="1071" t="e">
        <f>D7/H7</f>
        <v>#DIV/0!</v>
      </c>
      <c r="AC7" s="1071" t="e">
        <f>D7/J7</f>
        <v>#DIV/0!</v>
      </c>
    </row>
    <row r="8" spans="1:29" s="1011" customFormat="1" ht="15">
      <c r="A8" s="1056" t="s">
        <v>1708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01" t="s">
        <v>1709</v>
      </c>
      <c r="Q8" s="3403"/>
      <c r="R8" s="1067" t="s">
        <v>1707</v>
      </c>
      <c r="S8" s="1068">
        <f t="shared" si="0"/>
        <v>100</v>
      </c>
      <c r="T8" s="1067" t="s">
        <v>1707</v>
      </c>
      <c r="U8" s="1068">
        <f t="shared" si="1"/>
        <v>100</v>
      </c>
      <c r="V8" s="1067" t="s">
        <v>1707</v>
      </c>
      <c r="W8" s="1068">
        <f t="shared" si="2"/>
        <v>100</v>
      </c>
      <c r="X8" s="1069"/>
      <c r="Y8" s="3401" t="s">
        <v>1709</v>
      </c>
      <c r="Z8" s="3403"/>
      <c r="AA8" s="1071">
        <f t="shared" ref="AA8:AA34" si="3">D8/F8</f>
        <v>1</v>
      </c>
      <c r="AB8" s="1071">
        <f t="shared" ref="AB8:AB34" si="4">D8/H8</f>
        <v>1</v>
      </c>
      <c r="AC8" s="1071">
        <f t="shared" ref="AC8:AC34" si="5">D8/J8</f>
        <v>1</v>
      </c>
    </row>
    <row r="9" spans="1:29" s="1011" customFormat="1">
      <c r="A9" s="1073" t="s">
        <v>1710</v>
      </c>
      <c r="B9" s="1074" t="s">
        <v>1711</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404" t="s">
        <v>1712</v>
      </c>
      <c r="Q9" s="811" t="str">
        <f t="shared" ref="Q9:Q14" si="6">B9</f>
        <v>用途</v>
      </c>
      <c r="R9" s="1067" t="s">
        <v>1707</v>
      </c>
      <c r="S9" s="1068">
        <f t="shared" si="0"/>
        <v>100</v>
      </c>
      <c r="T9" s="1067" t="s">
        <v>1707</v>
      </c>
      <c r="U9" s="1068">
        <f t="shared" si="1"/>
        <v>100</v>
      </c>
      <c r="V9" s="1067" t="s">
        <v>1707</v>
      </c>
      <c r="W9" s="1068">
        <f t="shared" si="2"/>
        <v>100</v>
      </c>
      <c r="X9" s="1069"/>
      <c r="Y9" s="3354" t="s">
        <v>1713</v>
      </c>
      <c r="Z9" s="1071" t="str">
        <f t="shared" ref="Z9:Z14" si="7">Q9</f>
        <v>用途</v>
      </c>
      <c r="AA9" s="1071">
        <f t="shared" si="3"/>
        <v>1</v>
      </c>
      <c r="AB9" s="1071">
        <f t="shared" si="4"/>
        <v>1</v>
      </c>
      <c r="AC9" s="1071">
        <f t="shared" si="5"/>
        <v>1</v>
      </c>
    </row>
    <row r="10" spans="1:29" s="1012" customFormat="1" ht="27">
      <c r="A10" s="1078"/>
      <c r="B10" s="1079" t="s">
        <v>1714</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404"/>
      <c r="Q10" s="811" t="str">
        <f t="shared" si="6"/>
        <v>土地使用年限（年）</v>
      </c>
      <c r="R10" s="1067" t="s">
        <v>1707</v>
      </c>
      <c r="S10" s="1068">
        <f t="shared" si="0"/>
        <v>100</v>
      </c>
      <c r="T10" s="1067" t="s">
        <v>1707</v>
      </c>
      <c r="U10" s="1068">
        <f t="shared" si="1"/>
        <v>100</v>
      </c>
      <c r="V10" s="1067" t="s">
        <v>1707</v>
      </c>
      <c r="W10" s="1068">
        <f t="shared" si="2"/>
        <v>100</v>
      </c>
      <c r="X10" s="1069"/>
      <c r="Y10" s="3354"/>
      <c r="Z10" s="1071" t="str">
        <f t="shared" si="7"/>
        <v>土地使用年限（年）</v>
      </c>
      <c r="AA10" s="1071">
        <f t="shared" si="3"/>
        <v>1</v>
      </c>
      <c r="AB10" s="1071">
        <f t="shared" si="4"/>
        <v>1</v>
      </c>
      <c r="AC10" s="1071">
        <f t="shared" si="5"/>
        <v>1</v>
      </c>
    </row>
    <row r="11" spans="1:29" ht="1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404"/>
      <c r="Q11" s="811">
        <f t="shared" si="6"/>
        <v>111</v>
      </c>
      <c r="R11" s="1067" t="s">
        <v>1707</v>
      </c>
      <c r="S11" s="1068">
        <f t="shared" si="0"/>
        <v>100</v>
      </c>
      <c r="T11" s="1067" t="s">
        <v>1707</v>
      </c>
      <c r="U11" s="1068">
        <f t="shared" si="1"/>
        <v>100</v>
      </c>
      <c r="V11" s="1067" t="s">
        <v>1707</v>
      </c>
      <c r="W11" s="1068">
        <f t="shared" si="2"/>
        <v>100</v>
      </c>
      <c r="X11" s="1069"/>
      <c r="Y11" s="3354"/>
      <c r="Z11" s="1071">
        <f t="shared" si="7"/>
        <v>111</v>
      </c>
      <c r="AA11" s="1071">
        <f t="shared" si="3"/>
        <v>1</v>
      </c>
      <c r="AB11" s="1071">
        <f t="shared" si="4"/>
        <v>1</v>
      </c>
      <c r="AC11" s="1071">
        <f t="shared" si="5"/>
        <v>1</v>
      </c>
    </row>
    <row r="12" spans="1:29" s="1011" customFormat="1" ht="1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103" t="s">
        <v>1716</v>
      </c>
      <c r="B14" s="1344" t="s">
        <v>1719</v>
      </c>
      <c r="C14" s="1105">
        <f>IF(B1="工业",估价对象房地状况!G4,估价对象房地状况!C6)</f>
        <v>0</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12" t="s">
        <v>1718</v>
      </c>
      <c r="Q14" s="707" t="str">
        <f t="shared" si="6"/>
        <v>交通便捷度</v>
      </c>
      <c r="R14" s="1109" t="s">
        <v>1707</v>
      </c>
      <c r="S14" s="1110">
        <f t="shared" si="0"/>
        <v>100</v>
      </c>
      <c r="T14" s="1109" t="s">
        <v>1707</v>
      </c>
      <c r="U14" s="1110">
        <f t="shared" si="1"/>
        <v>100</v>
      </c>
      <c r="V14" s="1109" t="s">
        <v>1707</v>
      </c>
      <c r="W14" s="1110">
        <f t="shared" si="2"/>
        <v>100</v>
      </c>
      <c r="X14" s="1048"/>
      <c r="Y14" s="3412" t="s">
        <v>1718</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98"/>
      <c r="L15" s="1098"/>
      <c r="M15" s="1044"/>
      <c r="N15" s="1044"/>
      <c r="O15" s="1091"/>
      <c r="P15" s="3413"/>
      <c r="Q15" s="707"/>
      <c r="R15" s="1109"/>
      <c r="S15" s="1110"/>
      <c r="T15" s="1109"/>
      <c r="U15" s="1110"/>
      <c r="V15" s="1109"/>
      <c r="W15" s="1110"/>
      <c r="X15" s="1048"/>
      <c r="Y15" s="3413"/>
      <c r="Z15" s="1047"/>
      <c r="AA15" s="1047">
        <v>1</v>
      </c>
      <c r="AB15" s="1047">
        <v>1</v>
      </c>
      <c r="AC15" s="1047">
        <v>1</v>
      </c>
    </row>
    <row r="16" spans="1:29" ht="15">
      <c r="A16" s="1086"/>
      <c r="B16" s="1346" t="s">
        <v>1720</v>
      </c>
      <c r="C16" s="1118">
        <f>IF(B1="工业",估价对象房地状况!G5,估价对象房地状况!C7)</f>
        <v>0</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13"/>
      <c r="Q16" s="707" t="str">
        <f>B16</f>
        <v>公共配套设施</v>
      </c>
      <c r="R16" s="1109" t="s">
        <v>1707</v>
      </c>
      <c r="S16" s="1110">
        <f>F16</f>
        <v>100</v>
      </c>
      <c r="T16" s="1109" t="s">
        <v>1707</v>
      </c>
      <c r="U16" s="1110">
        <f>H16</f>
        <v>100</v>
      </c>
      <c r="V16" s="1109" t="s">
        <v>1707</v>
      </c>
      <c r="W16" s="1110">
        <f>J16</f>
        <v>100</v>
      </c>
      <c r="X16" s="1048"/>
      <c r="Y16" s="3413"/>
      <c r="Z16" s="1047" t="str">
        <f>Q16</f>
        <v>公共配套设施</v>
      </c>
      <c r="AA16" s="1047">
        <f t="shared" si="3"/>
        <v>1</v>
      </c>
      <c r="AB16" s="1047">
        <f t="shared" si="4"/>
        <v>1</v>
      </c>
      <c r="AC16" s="1047">
        <f t="shared" si="5"/>
        <v>1</v>
      </c>
    </row>
    <row r="17" spans="1:29" ht="15">
      <c r="A17" s="1086"/>
      <c r="B17" s="1151"/>
      <c r="C17" s="1347"/>
      <c r="D17" s="1113"/>
      <c r="E17" s="1112"/>
      <c r="F17" s="1055"/>
      <c r="G17" s="1112"/>
      <c r="H17" s="1113"/>
      <c r="I17" s="1112"/>
      <c r="J17" s="1113"/>
      <c r="K17" s="1398"/>
      <c r="L17" s="1098"/>
      <c r="M17" s="1044"/>
      <c r="N17" s="1044"/>
      <c r="O17" s="1091"/>
      <c r="P17" s="3413"/>
      <c r="Q17" s="707"/>
      <c r="R17" s="1109"/>
      <c r="S17" s="1110"/>
      <c r="T17" s="1109"/>
      <c r="U17" s="1110"/>
      <c r="V17" s="1109"/>
      <c r="W17" s="1110"/>
      <c r="X17" s="1048"/>
      <c r="Y17" s="3413"/>
      <c r="Z17" s="1047"/>
      <c r="AA17" s="1047">
        <v>1</v>
      </c>
      <c r="AB17" s="1047">
        <v>1</v>
      </c>
      <c r="AC17" s="1047">
        <v>1</v>
      </c>
    </row>
    <row r="18" spans="1:29" ht="15">
      <c r="A18" s="1086"/>
      <c r="B18" s="1352" t="s">
        <v>1721</v>
      </c>
      <c r="C18" s="1118">
        <f>IF(B1="工业",估价对象房地状况!G6,估价对象房地状况!C8)</f>
        <v>0</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13"/>
      <c r="Q18" s="707" t="str">
        <f>B18</f>
        <v>基础设施水平</v>
      </c>
      <c r="R18" s="1109" t="s">
        <v>1707</v>
      </c>
      <c r="S18" s="1110">
        <f>F18</f>
        <v>100</v>
      </c>
      <c r="T18" s="1109" t="s">
        <v>1707</v>
      </c>
      <c r="U18" s="1110">
        <f>H18</f>
        <v>100</v>
      </c>
      <c r="V18" s="1109" t="s">
        <v>1707</v>
      </c>
      <c r="W18" s="1110">
        <f>J18</f>
        <v>100</v>
      </c>
      <c r="X18" s="1048"/>
      <c r="Y18" s="3413"/>
      <c r="Z18" s="1047" t="str">
        <f>Q18</f>
        <v>基础设施水平</v>
      </c>
      <c r="AA18" s="1047">
        <f t="shared" ref="AA18" si="8">D18/F18</f>
        <v>1</v>
      </c>
      <c r="AB18" s="1047">
        <f t="shared" ref="AB18" si="9">D18/H18</f>
        <v>1</v>
      </c>
      <c r="AC18" s="1047">
        <f t="shared" ref="AC18" si="10">D18/J18</f>
        <v>1</v>
      </c>
    </row>
    <row r="19" spans="1:29" ht="15">
      <c r="A19" s="1086"/>
      <c r="B19" s="1352"/>
      <c r="C19" s="1347"/>
      <c r="D19" s="1115"/>
      <c r="E19" s="1347"/>
      <c r="F19" s="1051"/>
      <c r="G19" s="1347"/>
      <c r="H19" s="1113"/>
      <c r="I19" s="1112"/>
      <c r="J19" s="1113"/>
      <c r="K19" s="1399"/>
      <c r="L19" s="1098"/>
      <c r="M19" s="1044"/>
      <c r="N19" s="1044"/>
      <c r="O19" s="1091"/>
      <c r="P19" s="3413"/>
      <c r="Q19" s="707"/>
      <c r="R19" s="1109"/>
      <c r="S19" s="1110"/>
      <c r="T19" s="1109"/>
      <c r="U19" s="1110"/>
      <c r="V19" s="1109"/>
      <c r="W19" s="1110"/>
      <c r="X19" s="1048"/>
      <c r="Y19" s="3413"/>
      <c r="Z19" s="1047"/>
      <c r="AA19" s="1047">
        <v>1</v>
      </c>
      <c r="AB19" s="1047">
        <v>1</v>
      </c>
      <c r="AC19" s="1047">
        <v>1</v>
      </c>
    </row>
    <row r="20" spans="1:29" ht="15">
      <c r="A20" s="1086"/>
      <c r="B20" s="1346" t="s">
        <v>1722</v>
      </c>
      <c r="C20" s="1118">
        <f>IF(B1="工业",估价对象房地状况!G7,估价对象房地状况!C9)</f>
        <v>0</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13"/>
      <c r="Q20" s="707" t="str">
        <f>B20</f>
        <v>自然及人文环境</v>
      </c>
      <c r="R20" s="1109" t="s">
        <v>1707</v>
      </c>
      <c r="S20" s="1110">
        <f>F20</f>
        <v>100</v>
      </c>
      <c r="T20" s="1109" t="s">
        <v>1707</v>
      </c>
      <c r="U20" s="1110">
        <f>H20</f>
        <v>100</v>
      </c>
      <c r="V20" s="1109" t="s">
        <v>1707</v>
      </c>
      <c r="W20" s="1110">
        <f>J20</f>
        <v>100</v>
      </c>
      <c r="X20" s="1048"/>
      <c r="Y20" s="3413"/>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98"/>
      <c r="L21" s="1098"/>
      <c r="M21" s="1044"/>
      <c r="N21" s="1044"/>
      <c r="O21" s="1091"/>
      <c r="P21" s="3413"/>
      <c r="Q21" s="707"/>
      <c r="R21" s="1109"/>
      <c r="S21" s="1110"/>
      <c r="T21" s="1109"/>
      <c r="U21" s="1110"/>
      <c r="V21" s="1109"/>
      <c r="W21" s="1110"/>
      <c r="X21" s="1048"/>
      <c r="Y21" s="3413"/>
      <c r="Z21" s="1047"/>
      <c r="AA21" s="1047">
        <v>1</v>
      </c>
      <c r="AB21" s="1047">
        <v>1</v>
      </c>
      <c r="AC21" s="1047">
        <v>1</v>
      </c>
    </row>
    <row r="22" spans="1:29" ht="15">
      <c r="A22" s="1086"/>
      <c r="B22" s="1346" t="s">
        <v>1784</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13"/>
      <c r="Q22" s="707" t="str">
        <f>B22</f>
        <v>楼层</v>
      </c>
      <c r="R22" s="1109" t="s">
        <v>1707</v>
      </c>
      <c r="S22" s="1110">
        <f>F22</f>
        <v>100</v>
      </c>
      <c r="T22" s="1109" t="s">
        <v>1707</v>
      </c>
      <c r="U22" s="1110">
        <f>H22</f>
        <v>100</v>
      </c>
      <c r="V22" s="1109" t="s">
        <v>1707</v>
      </c>
      <c r="W22" s="1110">
        <f>J22</f>
        <v>100</v>
      </c>
      <c r="X22" s="1048"/>
      <c r="Y22" s="3413"/>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13"/>
      <c r="Q23" s="707">
        <f>B23</f>
        <v>111</v>
      </c>
      <c r="R23" s="1109" t="s">
        <v>1707</v>
      </c>
      <c r="S23" s="1110">
        <f>F23</f>
        <v>100</v>
      </c>
      <c r="T23" s="1109" t="s">
        <v>1707</v>
      </c>
      <c r="U23" s="1110">
        <f>H23</f>
        <v>100</v>
      </c>
      <c r="V23" s="1109" t="s">
        <v>1707</v>
      </c>
      <c r="W23" s="1110">
        <f>J23</f>
        <v>100</v>
      </c>
      <c r="X23" s="1048"/>
      <c r="Y23" s="3413"/>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13"/>
      <c r="Q24" s="707">
        <f t="shared" ref="Q24:Q34" si="11">B24</f>
        <v>111</v>
      </c>
      <c r="R24" s="1109" t="s">
        <v>1707</v>
      </c>
      <c r="S24" s="1110">
        <f>F24</f>
        <v>100</v>
      </c>
      <c r="T24" s="1109" t="s">
        <v>1707</v>
      </c>
      <c r="U24" s="1110">
        <f>H24</f>
        <v>100</v>
      </c>
      <c r="V24" s="1109" t="s">
        <v>1707</v>
      </c>
      <c r="W24" s="1110">
        <f>J24</f>
        <v>100</v>
      </c>
      <c r="X24" s="1048"/>
      <c r="Y24" s="3413"/>
      <c r="Z24" s="1047">
        <f>Q24</f>
        <v>111</v>
      </c>
      <c r="AA24" s="1047">
        <f t="shared" si="3"/>
        <v>1</v>
      </c>
      <c r="AB24" s="1047">
        <f t="shared" si="4"/>
        <v>1</v>
      </c>
      <c r="AC24" s="1047">
        <f t="shared" si="5"/>
        <v>1</v>
      </c>
    </row>
    <row r="25" spans="1:29" s="1011" customFormat="1" ht="1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13"/>
      <c r="Q25" s="811">
        <f t="shared" si="11"/>
        <v>111</v>
      </c>
      <c r="R25" s="1067" t="s">
        <v>1707</v>
      </c>
      <c r="S25" s="1068">
        <f>F25</f>
        <v>100</v>
      </c>
      <c r="T25" s="1067" t="s">
        <v>1707</v>
      </c>
      <c r="U25" s="1068">
        <f>H25</f>
        <v>100</v>
      </c>
      <c r="V25" s="1067" t="s">
        <v>1707</v>
      </c>
      <c r="W25" s="1068">
        <f>J25</f>
        <v>100</v>
      </c>
      <c r="X25" s="1069"/>
      <c r="Y25" s="3413"/>
      <c r="Z25" s="1071">
        <f>Q25</f>
        <v>111</v>
      </c>
      <c r="AA25" s="1047">
        <f t="shared" si="3"/>
        <v>1</v>
      </c>
      <c r="AB25" s="1047">
        <f t="shared" si="4"/>
        <v>1</v>
      </c>
      <c r="AC25" s="1047">
        <f t="shared" si="5"/>
        <v>1</v>
      </c>
    </row>
    <row r="26" spans="1:29" ht="28.5">
      <c r="A26" s="1401" t="s">
        <v>1725</v>
      </c>
      <c r="B26" s="1074" t="s">
        <v>1731</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49" t="s">
        <v>1727</v>
      </c>
      <c r="Q26" s="707" t="str">
        <f t="shared" si="11"/>
        <v>公共部分装修</v>
      </c>
      <c r="R26" s="1109" t="s">
        <v>1707</v>
      </c>
      <c r="S26" s="1110">
        <f t="shared" ref="S26:S34" si="12">F26</f>
        <v>100</v>
      </c>
      <c r="T26" s="1109" t="s">
        <v>1707</v>
      </c>
      <c r="U26" s="1110">
        <f t="shared" ref="U26:U34" si="13">H26</f>
        <v>100</v>
      </c>
      <c r="V26" s="1109" t="s">
        <v>1707</v>
      </c>
      <c r="W26" s="1110">
        <f t="shared" ref="W26:W34" si="14">J26</f>
        <v>100</v>
      </c>
      <c r="X26" s="1048"/>
      <c r="Y26" s="3414" t="s">
        <v>1727</v>
      </c>
      <c r="Z26" s="1047" t="str">
        <f t="shared" ref="Z26:Z34" si="15">Q26</f>
        <v>公共部分装修</v>
      </c>
      <c r="AA26" s="1047">
        <f t="shared" si="3"/>
        <v>1</v>
      </c>
      <c r="AB26" s="1047">
        <f t="shared" si="4"/>
        <v>1</v>
      </c>
      <c r="AC26" s="1047">
        <f t="shared" si="5"/>
        <v>1</v>
      </c>
    </row>
    <row r="27" spans="1:29" s="1013" customFormat="1" ht="15">
      <c r="A27" s="1159"/>
      <c r="B27" s="1079" t="s">
        <v>1806</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14"/>
      <c r="Q27" s="1406" t="str">
        <f t="shared" si="11"/>
        <v>成新率</v>
      </c>
      <c r="R27" s="1147" t="s">
        <v>1707</v>
      </c>
      <c r="S27" s="1148" t="e">
        <f t="shared" si="12"/>
        <v>#N/A</v>
      </c>
      <c r="T27" s="1147" t="s">
        <v>1707</v>
      </c>
      <c r="U27" s="1148" t="e">
        <f t="shared" si="13"/>
        <v>#N/A</v>
      </c>
      <c r="V27" s="1147" t="s">
        <v>1707</v>
      </c>
      <c r="W27" s="1148" t="e">
        <f t="shared" si="14"/>
        <v>#N/A</v>
      </c>
      <c r="X27" s="1149"/>
      <c r="Y27" s="3414"/>
      <c r="Z27" s="1150" t="str">
        <f t="shared" si="15"/>
        <v>成新率</v>
      </c>
      <c r="AA27" s="1047" t="e">
        <f t="shared" si="3"/>
        <v>#N/A</v>
      </c>
      <c r="AB27" s="1047" t="e">
        <f t="shared" si="4"/>
        <v>#N/A</v>
      </c>
      <c r="AC27" s="1047" t="e">
        <f t="shared" si="5"/>
        <v>#N/A</v>
      </c>
    </row>
    <row r="28" spans="1:29" ht="15">
      <c r="A28" s="1154"/>
      <c r="B28" s="1079" t="s">
        <v>1807</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14"/>
      <c r="Q28" s="707" t="str">
        <f t="shared" si="11"/>
        <v>物业等级</v>
      </c>
      <c r="R28" s="1109" t="s">
        <v>1707</v>
      </c>
      <c r="S28" s="1110">
        <f t="shared" si="12"/>
        <v>100</v>
      </c>
      <c r="T28" s="1109" t="s">
        <v>1707</v>
      </c>
      <c r="U28" s="1110">
        <f t="shared" si="13"/>
        <v>100</v>
      </c>
      <c r="V28" s="1109" t="s">
        <v>1707</v>
      </c>
      <c r="W28" s="1110">
        <f t="shared" si="14"/>
        <v>100</v>
      </c>
      <c r="X28" s="1048"/>
      <c r="Y28" s="3414"/>
      <c r="Z28" s="1047" t="str">
        <f t="shared" si="15"/>
        <v>物业等级</v>
      </c>
      <c r="AA28" s="1047">
        <f t="shared" si="3"/>
        <v>1</v>
      </c>
      <c r="AB28" s="1047">
        <f t="shared" si="4"/>
        <v>1</v>
      </c>
      <c r="AC28" s="1047">
        <f t="shared" si="5"/>
        <v>1</v>
      </c>
    </row>
    <row r="29" spans="1:29" ht="15">
      <c r="A29" s="1154"/>
      <c r="B29" s="1079" t="s">
        <v>1816</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14"/>
      <c r="Q29" s="707" t="str">
        <f t="shared" si="11"/>
        <v>有无电梯</v>
      </c>
      <c r="R29" s="1109" t="s">
        <v>1707</v>
      </c>
      <c r="S29" s="1110">
        <f t="shared" si="12"/>
        <v>100</v>
      </c>
      <c r="T29" s="1109" t="s">
        <v>1707</v>
      </c>
      <c r="U29" s="1110">
        <f t="shared" si="13"/>
        <v>100</v>
      </c>
      <c r="V29" s="1109" t="s">
        <v>1707</v>
      </c>
      <c r="W29" s="1110">
        <f t="shared" si="14"/>
        <v>100</v>
      </c>
      <c r="X29" s="1048"/>
      <c r="Y29" s="3414"/>
      <c r="Z29" s="1047" t="str">
        <f t="shared" si="15"/>
        <v>有无电梯</v>
      </c>
      <c r="AA29" s="1047">
        <f t="shared" si="3"/>
        <v>1</v>
      </c>
      <c r="AB29" s="1047">
        <f t="shared" si="4"/>
        <v>1</v>
      </c>
      <c r="AC29" s="1047">
        <f t="shared" si="5"/>
        <v>1</v>
      </c>
    </row>
    <row r="30" spans="1:29" ht="15">
      <c r="A30" s="1154"/>
      <c r="B30" s="1079" t="s">
        <v>659</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14"/>
      <c r="Q30" s="707" t="str">
        <f t="shared" si="11"/>
        <v>建筑面积</v>
      </c>
      <c r="R30" s="1109" t="s">
        <v>1707</v>
      </c>
      <c r="S30" s="1110" t="e">
        <f t="shared" si="12"/>
        <v>#N/A</v>
      </c>
      <c r="T30" s="1109" t="s">
        <v>1707</v>
      </c>
      <c r="U30" s="1110" t="e">
        <f t="shared" si="13"/>
        <v>#N/A</v>
      </c>
      <c r="V30" s="1109" t="s">
        <v>1707</v>
      </c>
      <c r="W30" s="1110" t="e">
        <f t="shared" si="14"/>
        <v>#N/A</v>
      </c>
      <c r="X30" s="1048"/>
      <c r="Y30" s="3414"/>
      <c r="Z30" s="1047" t="str">
        <f t="shared" si="15"/>
        <v>建筑面积</v>
      </c>
      <c r="AA30" s="1047" t="e">
        <f t="shared" si="3"/>
        <v>#N/A</v>
      </c>
      <c r="AB30" s="1047" t="e">
        <f t="shared" si="4"/>
        <v>#N/A</v>
      </c>
      <c r="AC30" s="1047" t="e">
        <f t="shared" si="5"/>
        <v>#N/A</v>
      </c>
    </row>
    <row r="31" spans="1:29" s="1011" customFormat="1" ht="15">
      <c r="A31" s="1156"/>
      <c r="B31" s="1079" t="s">
        <v>1817</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14"/>
      <c r="Q31" s="811" t="str">
        <f t="shared" si="11"/>
        <v>是否封闭</v>
      </c>
      <c r="R31" s="1067" t="s">
        <v>1707</v>
      </c>
      <c r="S31" s="1068">
        <f t="shared" si="12"/>
        <v>100</v>
      </c>
      <c r="T31" s="1067" t="s">
        <v>1707</v>
      </c>
      <c r="U31" s="1068">
        <f t="shared" si="13"/>
        <v>100</v>
      </c>
      <c r="V31" s="1067" t="s">
        <v>1707</v>
      </c>
      <c r="W31" s="1068">
        <f t="shared" si="14"/>
        <v>100</v>
      </c>
      <c r="X31" s="1069"/>
      <c r="Y31" s="3414"/>
      <c r="Z31" s="1071" t="str">
        <f t="shared" si="15"/>
        <v>是否封闭</v>
      </c>
      <c r="AA31" s="1071">
        <f t="shared" si="3"/>
        <v>1</v>
      </c>
      <c r="AB31" s="1071">
        <f t="shared" si="4"/>
        <v>1</v>
      </c>
      <c r="AC31" s="1071">
        <f t="shared" si="5"/>
        <v>1</v>
      </c>
    </row>
    <row r="32" spans="1:29" ht="1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14" t="s">
        <v>1727</v>
      </c>
      <c r="Q32" s="707">
        <f t="shared" si="11"/>
        <v>111</v>
      </c>
      <c r="R32" s="1109" t="s">
        <v>1707</v>
      </c>
      <c r="S32" s="1110">
        <f t="shared" si="12"/>
        <v>100</v>
      </c>
      <c r="T32" s="1109" t="s">
        <v>1707</v>
      </c>
      <c r="U32" s="1110">
        <f t="shared" si="13"/>
        <v>100</v>
      </c>
      <c r="V32" s="1109" t="s">
        <v>1707</v>
      </c>
      <c r="W32" s="1110">
        <f t="shared" si="14"/>
        <v>100</v>
      </c>
      <c r="X32" s="1048"/>
      <c r="Y32" s="3414" t="s">
        <v>1727</v>
      </c>
      <c r="Z32" s="1047">
        <f t="shared" si="15"/>
        <v>111</v>
      </c>
      <c r="AA32" s="1047">
        <f t="shared" si="3"/>
        <v>1</v>
      </c>
      <c r="AB32" s="1047">
        <f t="shared" si="4"/>
        <v>1</v>
      </c>
      <c r="AC32" s="1047">
        <f t="shared" si="5"/>
        <v>1</v>
      </c>
    </row>
    <row r="33" spans="1:30" ht="1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14"/>
      <c r="Q33" s="707">
        <f t="shared" si="11"/>
        <v>111</v>
      </c>
      <c r="R33" s="1109" t="s">
        <v>1707</v>
      </c>
      <c r="S33" s="1110">
        <f t="shared" si="12"/>
        <v>100</v>
      </c>
      <c r="T33" s="1109" t="s">
        <v>1707</v>
      </c>
      <c r="U33" s="1110">
        <f t="shared" si="13"/>
        <v>100</v>
      </c>
      <c r="V33" s="1109" t="s">
        <v>1707</v>
      </c>
      <c r="W33" s="1110">
        <f t="shared" si="14"/>
        <v>100</v>
      </c>
      <c r="X33" s="1048"/>
      <c r="Y33" s="3414"/>
      <c r="Z33" s="1047">
        <f t="shared" si="15"/>
        <v>111</v>
      </c>
      <c r="AA33" s="1047">
        <f t="shared" si="3"/>
        <v>1</v>
      </c>
      <c r="AB33" s="1047">
        <f t="shared" si="4"/>
        <v>1</v>
      </c>
      <c r="AC33" s="1047">
        <f t="shared" si="5"/>
        <v>1</v>
      </c>
    </row>
    <row r="34" spans="1:30" ht="1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14"/>
      <c r="Q34" s="707">
        <f t="shared" si="11"/>
        <v>111</v>
      </c>
      <c r="R34" s="1109" t="s">
        <v>1707</v>
      </c>
      <c r="S34" s="1110">
        <f t="shared" si="12"/>
        <v>100</v>
      </c>
      <c r="T34" s="1109" t="s">
        <v>1707</v>
      </c>
      <c r="U34" s="1110">
        <f t="shared" si="13"/>
        <v>100</v>
      </c>
      <c r="V34" s="1109" t="s">
        <v>1707</v>
      </c>
      <c r="W34" s="1110">
        <f t="shared" si="14"/>
        <v>100</v>
      </c>
      <c r="X34" s="1048"/>
      <c r="Y34" s="3414"/>
      <c r="Z34" s="1047">
        <f t="shared" si="15"/>
        <v>111</v>
      </c>
      <c r="AA34" s="1047">
        <f t="shared" si="3"/>
        <v>1</v>
      </c>
      <c r="AB34" s="1047">
        <f t="shared" si="4"/>
        <v>1</v>
      </c>
      <c r="AC34" s="1047">
        <f t="shared" si="5"/>
        <v>1</v>
      </c>
    </row>
    <row r="35" spans="1:30" ht="15">
      <c r="A35" s="1162" t="s">
        <v>1738</v>
      </c>
      <c r="B35" s="1411"/>
      <c r="C35" s="1412" t="s">
        <v>124</v>
      </c>
      <c r="D35" s="1165"/>
      <c r="E35" s="1166"/>
      <c r="F35" s="1167"/>
      <c r="G35" s="1168"/>
      <c r="H35" s="1169"/>
      <c r="I35" s="1166"/>
      <c r="J35" s="1169"/>
      <c r="K35" s="1170"/>
      <c r="L35" s="1171"/>
      <c r="M35" s="1044"/>
      <c r="N35" s="1044"/>
      <c r="O35" s="1044"/>
      <c r="P35" s="3404" t="str">
        <f>A35</f>
        <v>成交单价（元/平方米）</v>
      </c>
      <c r="Q35" s="3404"/>
      <c r="R35" s="3405">
        <f>E35</f>
        <v>0</v>
      </c>
      <c r="S35" s="3405"/>
      <c r="T35" s="3405">
        <f>G35</f>
        <v>0</v>
      </c>
      <c r="U35" s="3405"/>
      <c r="V35" s="3405">
        <f>I35</f>
        <v>0</v>
      </c>
      <c r="W35" s="3405"/>
      <c r="X35" s="1172"/>
      <c r="Y35" s="1173"/>
      <c r="Z35" s="1172"/>
      <c r="AA35" s="1172"/>
      <c r="AB35" s="1172"/>
      <c r="AC35" s="1172"/>
    </row>
    <row r="36" spans="1:30" ht="15">
      <c r="A36" s="1174" t="s">
        <v>1739</v>
      </c>
      <c r="B36" s="1413"/>
      <c r="C36" s="1414" t="e">
        <f>R37</f>
        <v>#DIV/0!</v>
      </c>
      <c r="D36" s="1177" t="s">
        <v>1740</v>
      </c>
      <c r="E36" s="1415" t="e">
        <f>R36</f>
        <v>#DIV/0!</v>
      </c>
      <c r="F36" s="1178"/>
      <c r="G36" s="1414" t="e">
        <f>T36</f>
        <v>#DIV/0!</v>
      </c>
      <c r="H36" s="1178"/>
      <c r="I36" s="1415" t="e">
        <f>V36</f>
        <v>#DIV/0!</v>
      </c>
      <c r="J36" s="1178"/>
      <c r="K36" s="1180">
        <f>F36+H36+J36</f>
        <v>0</v>
      </c>
      <c r="L36" s="1171"/>
      <c r="M36" s="1044"/>
      <c r="N36" s="1044"/>
      <c r="O36" s="1044"/>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172"/>
      <c r="Y36" s="1172"/>
      <c r="Z36" s="1172"/>
      <c r="AA36" s="1172"/>
      <c r="AB36" s="1172"/>
      <c r="AC36" s="1172"/>
    </row>
    <row r="37" spans="1:30" ht="15">
      <c r="A37" s="1181" t="s">
        <v>1741</v>
      </c>
      <c r="B37" s="1182"/>
      <c r="C37" s="1053" t="e">
        <f>R37</f>
        <v>#DIV/0!</v>
      </c>
      <c r="D37" s="1053"/>
      <c r="E37" s="1053"/>
      <c r="F37" s="1053"/>
      <c r="G37" s="1053"/>
      <c r="H37" s="1053"/>
      <c r="I37" s="1053"/>
      <c r="J37" s="1053"/>
      <c r="K37" s="1184"/>
      <c r="L37" s="1171"/>
      <c r="M37" s="1044"/>
      <c r="N37" s="1044"/>
      <c r="O37" s="1044"/>
      <c r="P37" s="3416" t="str">
        <f>A37</f>
        <v>估价对象XX用房的比较价值（楼面单价，元/平方米）</v>
      </c>
      <c r="Q37" s="3417"/>
      <c r="R37" s="3450" t="e">
        <f>IF(F1="售价",ROUND(IF(D36="简单平均",AVERAGE(R36:W36),R36*F36+T36*H36+V36*J36),0),ROUND(IF(D36="简单平均",AVERAGE(R36:V36),R36*F36+T36*H36+V36*J36),1))</f>
        <v>#DIV/0!</v>
      </c>
      <c r="S37" s="3450"/>
      <c r="T37" s="3450"/>
      <c r="U37" s="3450"/>
      <c r="V37" s="3450"/>
      <c r="W37" s="3450"/>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1742</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1743</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1744</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1745</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417" t="s">
        <v>1705</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1746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1708</v>
      </c>
      <c r="B49" s="1256"/>
      <c r="C49" s="1257" t="s">
        <v>1747</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1748</v>
      </c>
      <c r="B51" s="1265" t="s">
        <v>1711</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1714</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1716</v>
      </c>
      <c r="B61" s="1265" t="s">
        <v>1719</v>
      </c>
      <c r="C61" s="1308" t="s">
        <v>1749</v>
      </c>
      <c r="D61" s="1308" t="s">
        <v>1750</v>
      </c>
      <c r="E61" s="1308" t="s">
        <v>1751</v>
      </c>
      <c r="F61" s="1308" t="s">
        <v>1752</v>
      </c>
      <c r="G61" s="1308" t="s">
        <v>1753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1818</v>
      </c>
      <c r="C63" s="1313" t="s">
        <v>1749</v>
      </c>
      <c r="D63" s="1313" t="s">
        <v>1750</v>
      </c>
      <c r="E63" s="1313" t="s">
        <v>1751</v>
      </c>
      <c r="F63" s="1313" t="s">
        <v>1752</v>
      </c>
      <c r="G63" s="1313" t="s">
        <v>1753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1721</v>
      </c>
      <c r="C65" s="1116" t="s">
        <v>1754</v>
      </c>
      <c r="D65" s="1116" t="s">
        <v>1755</v>
      </c>
      <c r="E65" s="1116" t="s">
        <v>1756</v>
      </c>
      <c r="F65" s="1116" t="s">
        <v>1757</v>
      </c>
      <c r="G65" s="1116" t="s">
        <v>1758</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1722</v>
      </c>
      <c r="C67" s="1313" t="s">
        <v>1749</v>
      </c>
      <c r="D67" s="1313" t="s">
        <v>1750</v>
      </c>
      <c r="E67" s="1313" t="s">
        <v>1751</v>
      </c>
      <c r="F67" s="1313" t="s">
        <v>1752</v>
      </c>
      <c r="G67" s="1313" t="s">
        <v>1753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1784</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1725</v>
      </c>
      <c r="B77" s="1265" t="s">
        <v>1731</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1806</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1807</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1816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659</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1817</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1820</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397" t="s">
        <v>1703</v>
      </c>
      <c r="D6" s="3398"/>
      <c r="E6" s="3399" t="s">
        <v>1703</v>
      </c>
      <c r="F6" s="3400"/>
      <c r="G6" s="3397" t="s">
        <v>1703</v>
      </c>
      <c r="H6" s="3398"/>
      <c r="I6" s="3397" t="s">
        <v>1703</v>
      </c>
      <c r="J6" s="3398"/>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t="s">
        <v>1747</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401" t="s">
        <v>1709</v>
      </c>
      <c r="Q8" s="3403"/>
      <c r="R8" s="1067" t="s">
        <v>1707</v>
      </c>
      <c r="S8" s="1068">
        <f t="shared" si="0"/>
        <v>0</v>
      </c>
      <c r="T8" s="1067" t="s">
        <v>1707</v>
      </c>
      <c r="U8" s="1068">
        <f t="shared" si="1"/>
        <v>0</v>
      </c>
      <c r="V8" s="1067" t="s">
        <v>1707</v>
      </c>
      <c r="W8" s="1068">
        <f t="shared" si="2"/>
        <v>0</v>
      </c>
      <c r="X8" s="1069"/>
      <c r="Y8" s="3401" t="s">
        <v>1709</v>
      </c>
      <c r="Z8" s="3403"/>
      <c r="AA8" s="1071" t="e">
        <f t="shared" ref="AA8:AA45" si="3">D8/F8</f>
        <v>#DIV/0!</v>
      </c>
      <c r="AB8" s="1071" t="e">
        <f t="shared" ref="AB8:AB45" si="4">D8/H8</f>
        <v>#DIV/0!</v>
      </c>
      <c r="AC8" s="1071" t="e">
        <f t="shared" ref="AC8:AC45" si="5">D8/J8</f>
        <v>#DIV/0!</v>
      </c>
    </row>
    <row r="9" spans="1:29" s="1011" customFormat="1">
      <c r="A9" s="1073" t="s">
        <v>1710</v>
      </c>
      <c r="B9" s="1074" t="s">
        <v>1711</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342"/>
      <c r="F10" s="1081">
        <f>ROUND(100/'数据-取费表'!G16,0)</f>
        <v>189</v>
      </c>
      <c r="G10" s="1343"/>
      <c r="H10" s="1081">
        <f>ROUND(100/'数据-取费表'!G16,0)</f>
        <v>189</v>
      </c>
      <c r="I10" s="1343"/>
      <c r="J10" s="1081">
        <f>ROUND(100/'数据-取费表'!G16,0)</f>
        <v>189</v>
      </c>
      <c r="K10" s="1082"/>
      <c r="L10" s="1083"/>
      <c r="M10" s="1084"/>
      <c r="N10" s="1084"/>
      <c r="O10" s="1085"/>
      <c r="P10" s="3404"/>
      <c r="Q10" s="811" t="str">
        <f t="shared" si="6"/>
        <v>土地使用年限（年）</v>
      </c>
      <c r="R10" s="1067" t="s">
        <v>1707</v>
      </c>
      <c r="S10" s="1068">
        <f t="shared" si="0"/>
        <v>189</v>
      </c>
      <c r="T10" s="1067" t="s">
        <v>1707</v>
      </c>
      <c r="U10" s="1068">
        <f t="shared" si="1"/>
        <v>189</v>
      </c>
      <c r="V10" s="1067" t="s">
        <v>1707</v>
      </c>
      <c r="W10" s="1068">
        <f t="shared" si="2"/>
        <v>189</v>
      </c>
      <c r="X10" s="1069"/>
      <c r="Y10" s="3354"/>
      <c r="Z10" s="1071" t="str">
        <f t="shared" si="7"/>
        <v>土地使用年限（年）</v>
      </c>
      <c r="AA10" s="1071">
        <f t="shared" si="3"/>
        <v>0.52910052910052907</v>
      </c>
      <c r="AB10" s="1071">
        <f t="shared" si="4"/>
        <v>0.52910052910052907</v>
      </c>
      <c r="AC10" s="1071">
        <f t="shared" si="5"/>
        <v>0.52910052910052907</v>
      </c>
    </row>
    <row r="11" spans="1:29" ht="15">
      <c r="A11" s="1086"/>
      <c r="B11" s="1079" t="s">
        <v>1715</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404"/>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t="s">
        <v>1821</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404"/>
      <c r="Q12" s="811" t="str">
        <f t="shared" si="6"/>
        <v>配建</v>
      </c>
      <c r="R12" s="1067" t="s">
        <v>1707</v>
      </c>
      <c r="S12" s="1068">
        <f t="shared" si="0"/>
        <v>100</v>
      </c>
      <c r="T12" s="1067" t="s">
        <v>1707</v>
      </c>
      <c r="U12" s="1068">
        <f t="shared" si="1"/>
        <v>100</v>
      </c>
      <c r="V12" s="1067" t="s">
        <v>1707</v>
      </c>
      <c r="W12" s="1068">
        <f t="shared" si="2"/>
        <v>100</v>
      </c>
      <c r="X12" s="1069"/>
      <c r="Y12" s="3354"/>
      <c r="Z12" s="1071" t="str">
        <f t="shared" si="7"/>
        <v>配建</v>
      </c>
      <c r="AA12" s="1071">
        <f t="shared" si="3"/>
        <v>1</v>
      </c>
      <c r="AB12" s="1071">
        <f t="shared" si="4"/>
        <v>1</v>
      </c>
      <c r="AC12" s="1071">
        <f t="shared" si="5"/>
        <v>1</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344" t="s">
        <v>1717</v>
      </c>
      <c r="C15" s="1345">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12" t="s">
        <v>1718</v>
      </c>
      <c r="Q15" s="707" t="str">
        <f t="shared" si="6"/>
        <v>居住社区成熟度</v>
      </c>
      <c r="R15" s="1109" t="s">
        <v>1707</v>
      </c>
      <c r="S15" s="1110">
        <f t="shared" si="0"/>
        <v>100</v>
      </c>
      <c r="T15" s="1109" t="s">
        <v>1707</v>
      </c>
      <c r="U15" s="1110">
        <f t="shared" si="1"/>
        <v>100</v>
      </c>
      <c r="V15" s="1109" t="s">
        <v>1707</v>
      </c>
      <c r="W15" s="1110">
        <f t="shared" si="2"/>
        <v>100</v>
      </c>
      <c r="X15" s="1048"/>
      <c r="Y15" s="3412" t="s">
        <v>1718</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13"/>
      <c r="Q16" s="707"/>
      <c r="R16" s="1109"/>
      <c r="S16" s="1110"/>
      <c r="T16" s="1109"/>
      <c r="U16" s="1110"/>
      <c r="V16" s="1109"/>
      <c r="W16" s="1110"/>
      <c r="X16" s="1048"/>
      <c r="Y16" s="3413"/>
      <c r="Z16" s="1047"/>
      <c r="AA16" s="1047">
        <v>1</v>
      </c>
      <c r="AB16" s="1047">
        <v>1</v>
      </c>
      <c r="AC16" s="1047">
        <v>1</v>
      </c>
    </row>
    <row r="17" spans="1:29" ht="15">
      <c r="A17" s="1086"/>
      <c r="B17" s="1346" t="s">
        <v>1780</v>
      </c>
      <c r="C17" s="705">
        <f>估价对象房地状况!C16</f>
        <v>0</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13"/>
      <c r="Q17" s="707" t="str">
        <f>B17</f>
        <v>商业繁华度</v>
      </c>
      <c r="R17" s="1109" t="s">
        <v>1707</v>
      </c>
      <c r="S17" s="1110">
        <f>F17</f>
        <v>100</v>
      </c>
      <c r="T17" s="1109" t="s">
        <v>1707</v>
      </c>
      <c r="U17" s="1110">
        <f>H17</f>
        <v>100</v>
      </c>
      <c r="V17" s="1109" t="s">
        <v>1707</v>
      </c>
      <c r="W17" s="1110">
        <f>J17</f>
        <v>100</v>
      </c>
      <c r="X17" s="1048"/>
      <c r="Y17" s="3413"/>
      <c r="Z17" s="1047" t="str">
        <f>Q17</f>
        <v>商业繁华度</v>
      </c>
      <c r="AA17" s="1047">
        <f t="shared" si="3"/>
        <v>1</v>
      </c>
      <c r="AB17" s="1047">
        <f t="shared" si="4"/>
        <v>1</v>
      </c>
      <c r="AC17" s="1047">
        <f t="shared" si="5"/>
        <v>1</v>
      </c>
    </row>
    <row r="18" spans="1:29" ht="15">
      <c r="A18" s="1086"/>
      <c r="B18" s="1151"/>
      <c r="C18" s="1347"/>
      <c r="D18" s="1115"/>
      <c r="E18" s="1348"/>
      <c r="F18" s="1115"/>
      <c r="G18" s="1348"/>
      <c r="H18" s="1113"/>
      <c r="I18" s="1349"/>
      <c r="J18" s="1113"/>
      <c r="K18" s="1082"/>
      <c r="L18" s="1098"/>
      <c r="M18" s="1044"/>
      <c r="N18" s="1044"/>
      <c r="O18" s="1091"/>
      <c r="P18" s="3413"/>
      <c r="Q18" s="707"/>
      <c r="R18" s="1109"/>
      <c r="S18" s="1110"/>
      <c r="T18" s="1109"/>
      <c r="U18" s="1110"/>
      <c r="V18" s="1109"/>
      <c r="W18" s="1110"/>
      <c r="X18" s="1048"/>
      <c r="Y18" s="3413"/>
      <c r="Z18" s="1047"/>
      <c r="AA18" s="1047">
        <v>1</v>
      </c>
      <c r="AB18" s="1047">
        <v>1</v>
      </c>
      <c r="AC18" s="1047">
        <v>1</v>
      </c>
    </row>
    <row r="19" spans="1:29" ht="15">
      <c r="A19" s="1086"/>
      <c r="B19" s="1346" t="s">
        <v>1792</v>
      </c>
      <c r="C19" s="705">
        <f>估价对象房地状况!C17</f>
        <v>0</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13"/>
      <c r="Q19" s="707" t="str">
        <f>B19</f>
        <v>办公集聚程度</v>
      </c>
      <c r="R19" s="1109" t="s">
        <v>1707</v>
      </c>
      <c r="S19" s="1110">
        <f>F19</f>
        <v>100</v>
      </c>
      <c r="T19" s="1109" t="s">
        <v>1707</v>
      </c>
      <c r="U19" s="1110">
        <f>H19</f>
        <v>100</v>
      </c>
      <c r="V19" s="1109" t="s">
        <v>1707</v>
      </c>
      <c r="W19" s="1110">
        <f>J19</f>
        <v>100</v>
      </c>
      <c r="X19" s="1048"/>
      <c r="Y19" s="3413"/>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13"/>
      <c r="Q20" s="707"/>
      <c r="R20" s="1109"/>
      <c r="S20" s="1110"/>
      <c r="T20" s="1109"/>
      <c r="U20" s="1110"/>
      <c r="V20" s="1109"/>
      <c r="W20" s="1110"/>
      <c r="X20" s="1048"/>
      <c r="Y20" s="3413"/>
      <c r="Z20" s="1047"/>
      <c r="AA20" s="1047">
        <v>1</v>
      </c>
      <c r="AB20" s="1047">
        <v>1</v>
      </c>
      <c r="AC20" s="1047">
        <v>1</v>
      </c>
    </row>
    <row r="21" spans="1:29" ht="15">
      <c r="A21" s="1086"/>
      <c r="B21" s="1346" t="s">
        <v>1719</v>
      </c>
      <c r="C21" s="1118">
        <f>估价对象房地状况!C18</f>
        <v>0</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13"/>
      <c r="Q21" s="707" t="str">
        <f>B21</f>
        <v>交通便捷度</v>
      </c>
      <c r="R21" s="1109" t="s">
        <v>1707</v>
      </c>
      <c r="S21" s="1110">
        <f>F21</f>
        <v>100</v>
      </c>
      <c r="T21" s="1109" t="s">
        <v>1707</v>
      </c>
      <c r="U21" s="1110">
        <f>H21</f>
        <v>100</v>
      </c>
      <c r="V21" s="1109" t="s">
        <v>1707</v>
      </c>
      <c r="W21" s="1110">
        <f>J21</f>
        <v>100</v>
      </c>
      <c r="X21" s="1048"/>
      <c r="Y21" s="3413"/>
      <c r="Z21" s="1047" t="str">
        <f>Q21</f>
        <v>交通便捷度</v>
      </c>
      <c r="AA21" s="1047">
        <f t="shared" si="3"/>
        <v>1</v>
      </c>
      <c r="AB21" s="1047">
        <f t="shared" si="4"/>
        <v>1</v>
      </c>
      <c r="AC21" s="1047">
        <f t="shared" si="5"/>
        <v>1</v>
      </c>
    </row>
    <row r="22" spans="1:29" ht="15">
      <c r="A22" s="1086"/>
      <c r="B22" s="1352"/>
      <c r="C22" s="1112"/>
      <c r="D22" s="1115"/>
      <c r="E22" s="1123"/>
      <c r="F22" s="1113"/>
      <c r="G22" s="1123"/>
      <c r="H22" s="1113"/>
      <c r="I22" s="1124"/>
      <c r="J22" s="1113"/>
      <c r="K22" s="1082"/>
      <c r="L22" s="1098"/>
      <c r="M22" s="1044"/>
      <c r="N22" s="1044"/>
      <c r="O22" s="1091"/>
      <c r="P22" s="3413"/>
      <c r="Q22" s="707"/>
      <c r="R22" s="1109"/>
      <c r="S22" s="1110"/>
      <c r="T22" s="1109"/>
      <c r="U22" s="1110"/>
      <c r="V22" s="1109"/>
      <c r="W22" s="1110"/>
      <c r="X22" s="1048"/>
      <c r="Y22" s="3413"/>
      <c r="Z22" s="1047"/>
      <c r="AA22" s="1047">
        <v>1</v>
      </c>
      <c r="AB22" s="1047">
        <v>1</v>
      </c>
      <c r="AC22" s="1047">
        <v>1</v>
      </c>
    </row>
    <row r="23" spans="1:29" ht="15">
      <c r="A23" s="1049"/>
      <c r="B23" s="1346" t="s">
        <v>1822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13"/>
      <c r="Q23" s="707" t="str">
        <f t="shared" ref="Q23:Q38" si="8">B23</f>
        <v>区域土地利用方向</v>
      </c>
      <c r="R23" s="1109" t="s">
        <v>1707</v>
      </c>
      <c r="S23" s="1110">
        <f>F23</f>
        <v>100</v>
      </c>
      <c r="T23" s="1109" t="s">
        <v>1707</v>
      </c>
      <c r="U23" s="1110">
        <f>H23</f>
        <v>100</v>
      </c>
      <c r="V23" s="1109" t="s">
        <v>1707</v>
      </c>
      <c r="W23" s="1110">
        <f>J23</f>
        <v>100</v>
      </c>
      <c r="X23" s="1048"/>
      <c r="Y23" s="3413"/>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13"/>
      <c r="Q24" s="707"/>
      <c r="R24" s="1109"/>
      <c r="S24" s="1110"/>
      <c r="T24" s="1109"/>
      <c r="U24" s="1110"/>
      <c r="V24" s="1109"/>
      <c r="W24" s="1110"/>
      <c r="X24" s="1048"/>
      <c r="Y24" s="3413"/>
      <c r="Z24" s="1047"/>
      <c r="AA24" s="1047"/>
      <c r="AB24" s="1047"/>
      <c r="AC24" s="1047"/>
    </row>
    <row r="25" spans="1:29" ht="27">
      <c r="A25" s="1049"/>
      <c r="B25" s="1352" t="s">
        <v>1823</v>
      </c>
      <c r="C25" s="705">
        <f>估价对象房地状况!C20</f>
        <v>0</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13"/>
      <c r="Q25" s="707" t="str">
        <f t="shared" si="8"/>
        <v>自然及人文环境状况</v>
      </c>
      <c r="R25" s="1109" t="s">
        <v>1707</v>
      </c>
      <c r="S25" s="1110">
        <f>F25</f>
        <v>100</v>
      </c>
      <c r="T25" s="1109" t="s">
        <v>1707</v>
      </c>
      <c r="U25" s="1110">
        <f>H25</f>
        <v>100</v>
      </c>
      <c r="V25" s="1109" t="s">
        <v>1707</v>
      </c>
      <c r="W25" s="1110">
        <f>J25</f>
        <v>100</v>
      </c>
      <c r="X25" s="1048"/>
      <c r="Y25" s="3413"/>
      <c r="Z25" s="1047" t="str">
        <f>Q25</f>
        <v>自然及人文环境状况</v>
      </c>
      <c r="AA25" s="1047">
        <f t="shared" si="3"/>
        <v>1</v>
      </c>
      <c r="AB25" s="1047">
        <f t="shared" si="4"/>
        <v>1</v>
      </c>
      <c r="AC25" s="1047">
        <f t="shared" si="5"/>
        <v>1</v>
      </c>
    </row>
    <row r="26" spans="1:29" ht="15">
      <c r="A26" s="1049"/>
      <c r="B26" s="1151"/>
      <c r="C26" s="1112"/>
      <c r="D26" s="1113"/>
      <c r="E26" s="1114"/>
      <c r="F26" s="1113"/>
      <c r="G26" s="1114"/>
      <c r="H26" s="1113"/>
      <c r="I26" s="1112"/>
      <c r="J26" s="1113"/>
      <c r="K26" s="1082"/>
      <c r="L26" s="1098"/>
      <c r="M26" s="1044"/>
      <c r="N26" s="1044"/>
      <c r="O26" s="1091"/>
      <c r="P26" s="3413"/>
      <c r="Q26" s="707"/>
      <c r="R26" s="1109"/>
      <c r="S26" s="1110"/>
      <c r="T26" s="1109"/>
      <c r="U26" s="1110"/>
      <c r="V26" s="1109"/>
      <c r="W26" s="1110"/>
      <c r="X26" s="1048"/>
      <c r="Y26" s="3413"/>
      <c r="Z26" s="1047"/>
      <c r="AA26" s="1047">
        <v>1</v>
      </c>
      <c r="AB26" s="1047">
        <v>1</v>
      </c>
      <c r="AC26" s="1047">
        <v>1</v>
      </c>
    </row>
    <row r="27" spans="1:29" s="1011" customFormat="1" ht="15">
      <c r="A27" s="1126"/>
      <c r="B27" s="1352" t="s">
        <v>1720</v>
      </c>
      <c r="C27" s="1118">
        <f>估价对象房地状况!C21</f>
        <v>0</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13"/>
      <c r="Q27" s="811" t="str">
        <f t="shared" si="8"/>
        <v>公共配套设施</v>
      </c>
      <c r="R27" s="1067" t="s">
        <v>1707</v>
      </c>
      <c r="S27" s="1068">
        <f>F27</f>
        <v>100</v>
      </c>
      <c r="T27" s="1067" t="s">
        <v>1707</v>
      </c>
      <c r="U27" s="1068">
        <f>H27</f>
        <v>100</v>
      </c>
      <c r="V27" s="1067" t="s">
        <v>1707</v>
      </c>
      <c r="W27" s="1068">
        <f>J27</f>
        <v>100</v>
      </c>
      <c r="X27" s="1069"/>
      <c r="Y27" s="3413"/>
      <c r="Z27" s="1071" t="str">
        <f>Q27</f>
        <v>公共配套设施</v>
      </c>
      <c r="AA27" s="1047">
        <f>D27/F27</f>
        <v>1</v>
      </c>
      <c r="AB27" s="1047">
        <f>D27/H27</f>
        <v>1</v>
      </c>
      <c r="AC27" s="1047">
        <f>D27/J27</f>
        <v>1</v>
      </c>
    </row>
    <row r="28" spans="1:29" s="1011" customFormat="1" ht="15">
      <c r="A28" s="1126"/>
      <c r="B28" s="1151"/>
      <c r="C28" s="1128"/>
      <c r="D28" s="1113"/>
      <c r="E28" s="1114"/>
      <c r="F28" s="1113"/>
      <c r="G28" s="1114"/>
      <c r="H28" s="1113"/>
      <c r="I28" s="1112"/>
      <c r="J28" s="1113"/>
      <c r="K28" s="1082"/>
      <c r="L28" s="1064"/>
      <c r="M28" s="1065"/>
      <c r="N28" s="1065"/>
      <c r="O28" s="1077"/>
      <c r="P28" s="3413"/>
      <c r="Q28" s="811"/>
      <c r="R28" s="1067"/>
      <c r="S28" s="1068"/>
      <c r="T28" s="1067"/>
      <c r="U28" s="1068"/>
      <c r="V28" s="1067"/>
      <c r="W28" s="1068"/>
      <c r="X28" s="1069"/>
      <c r="Y28" s="3413"/>
      <c r="Z28" s="1071"/>
      <c r="AA28" s="1047">
        <v>1</v>
      </c>
      <c r="AB28" s="1047">
        <v>1</v>
      </c>
      <c r="AC28" s="1047">
        <v>1</v>
      </c>
    </row>
    <row r="29" spans="1:29" s="1011" customFormat="1" ht="15">
      <c r="A29" s="1126"/>
      <c r="B29" s="1352" t="s">
        <v>1721</v>
      </c>
      <c r="C29" s="1118">
        <f>估价对象房地状况!C22</f>
        <v>0</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13"/>
      <c r="Q29" s="811" t="str">
        <f t="shared" ref="Q29" si="9">B29</f>
        <v>基础设施水平</v>
      </c>
      <c r="R29" s="1067" t="s">
        <v>1707</v>
      </c>
      <c r="S29" s="1068">
        <f>F29</f>
        <v>100</v>
      </c>
      <c r="T29" s="1067" t="s">
        <v>1707</v>
      </c>
      <c r="U29" s="1068">
        <f>H29</f>
        <v>100</v>
      </c>
      <c r="V29" s="1067" t="s">
        <v>1707</v>
      </c>
      <c r="W29" s="1068">
        <f>J29</f>
        <v>100</v>
      </c>
      <c r="X29" s="1069"/>
      <c r="Y29" s="3413"/>
      <c r="Z29" s="1071" t="str">
        <f>Q29</f>
        <v>基础设施水平</v>
      </c>
      <c r="AA29" s="1047">
        <f>D29/F29</f>
        <v>1</v>
      </c>
      <c r="AB29" s="1047">
        <f>D29/H29</f>
        <v>1</v>
      </c>
      <c r="AC29" s="1047">
        <f>D29/J29</f>
        <v>1</v>
      </c>
    </row>
    <row r="30" spans="1:29" s="1011" customFormat="1" ht="15">
      <c r="A30" s="1126"/>
      <c r="B30" s="1151"/>
      <c r="C30" s="1128"/>
      <c r="D30" s="1113"/>
      <c r="E30" s="1129"/>
      <c r="F30" s="1113"/>
      <c r="G30" s="1129"/>
      <c r="H30" s="1113"/>
      <c r="I30" s="1129"/>
      <c r="J30" s="1113"/>
      <c r="K30" s="1082"/>
      <c r="L30" s="1064"/>
      <c r="M30" s="1065"/>
      <c r="N30" s="1065"/>
      <c r="O30" s="1077"/>
      <c r="P30" s="3413"/>
      <c r="Q30" s="811"/>
      <c r="R30" s="1067"/>
      <c r="S30" s="1068"/>
      <c r="T30" s="1067"/>
      <c r="U30" s="1068"/>
      <c r="V30" s="1067"/>
      <c r="W30" s="1068"/>
      <c r="X30" s="1069"/>
      <c r="Y30" s="3413"/>
      <c r="Z30" s="1071"/>
      <c r="AA30" s="1047">
        <v>1</v>
      </c>
      <c r="AB30" s="1047">
        <v>1</v>
      </c>
      <c r="AC30" s="1047">
        <v>1</v>
      </c>
    </row>
    <row r="31" spans="1:29" ht="15">
      <c r="A31" s="1086"/>
      <c r="B31" s="1151" t="s">
        <v>1781</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13"/>
      <c r="Q31" s="707" t="str">
        <f t="shared" si="8"/>
        <v>临街状况</v>
      </c>
      <c r="R31" s="1109" t="s">
        <v>1707</v>
      </c>
      <c r="S31" s="1110">
        <f t="shared" ref="S31:S45" si="10">F31</f>
        <v>100</v>
      </c>
      <c r="T31" s="1109" t="s">
        <v>1707</v>
      </c>
      <c r="U31" s="1110">
        <f t="shared" ref="U31:U45" si="11">H31</f>
        <v>100</v>
      </c>
      <c r="V31" s="1109" t="s">
        <v>1707</v>
      </c>
      <c r="W31" s="1110">
        <f t="shared" ref="W31:W45" si="12">J31</f>
        <v>100</v>
      </c>
      <c r="X31" s="1048"/>
      <c r="Y31" s="3413"/>
      <c r="Z31" s="1047" t="str">
        <f t="shared" ref="Z31:Z45" si="13">Q31</f>
        <v>临街状况</v>
      </c>
      <c r="AA31" s="1047">
        <f t="shared" si="3"/>
        <v>1</v>
      </c>
      <c r="AB31" s="1047">
        <f t="shared" si="4"/>
        <v>1</v>
      </c>
      <c r="AC31" s="1047">
        <f t="shared" si="5"/>
        <v>1</v>
      </c>
    </row>
    <row r="32" spans="1:29" ht="27">
      <c r="A32" s="1086"/>
      <c r="B32" s="1352" t="s">
        <v>1794</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13"/>
      <c r="Q32" s="707" t="str">
        <f t="shared" si="8"/>
        <v>毗邻道路的类型与等级</v>
      </c>
      <c r="R32" s="1109" t="s">
        <v>1707</v>
      </c>
      <c r="S32" s="1110">
        <f t="shared" si="10"/>
        <v>100</v>
      </c>
      <c r="T32" s="1109" t="s">
        <v>1707</v>
      </c>
      <c r="U32" s="1110">
        <f t="shared" si="11"/>
        <v>100</v>
      </c>
      <c r="V32" s="1109" t="s">
        <v>1707</v>
      </c>
      <c r="W32" s="1110">
        <f t="shared" si="12"/>
        <v>100</v>
      </c>
      <c r="X32" s="1048"/>
      <c r="Y32" s="3413"/>
      <c r="Z32" s="1047" t="str">
        <f t="shared" si="13"/>
        <v>毗邻道路的类型与等级</v>
      </c>
      <c r="AA32" s="1047">
        <f t="shared" si="3"/>
        <v>1</v>
      </c>
      <c r="AB32" s="1047">
        <f t="shared" si="4"/>
        <v>1</v>
      </c>
      <c r="AC32" s="1047">
        <f t="shared" si="5"/>
        <v>1</v>
      </c>
    </row>
    <row r="33" spans="1:29" ht="15">
      <c r="A33" s="1086"/>
      <c r="B33" s="1151"/>
      <c r="C33" s="1112"/>
      <c r="D33" s="1113"/>
      <c r="E33" s="1114"/>
      <c r="F33" s="1113"/>
      <c r="G33" s="1114"/>
      <c r="H33" s="1113"/>
      <c r="I33" s="1112"/>
      <c r="J33" s="1113"/>
      <c r="K33" s="1133"/>
      <c r="L33" s="1098"/>
      <c r="M33" s="1044"/>
      <c r="N33" s="1044"/>
      <c r="O33" s="1091"/>
      <c r="P33" s="3413"/>
      <c r="Q33" s="707"/>
      <c r="R33" s="1109"/>
      <c r="S33" s="1110"/>
      <c r="T33" s="1109"/>
      <c r="U33" s="1110"/>
      <c r="V33" s="1109"/>
      <c r="W33" s="1110"/>
      <c r="X33" s="1048"/>
      <c r="Y33" s="3413"/>
      <c r="Z33" s="1047"/>
      <c r="AA33" s="1047">
        <v>1</v>
      </c>
      <c r="AB33" s="1047">
        <v>1</v>
      </c>
      <c r="AC33" s="1047">
        <v>1</v>
      </c>
    </row>
    <row r="34" spans="1:29" ht="15">
      <c r="A34" s="1086"/>
      <c r="B34" s="1079" t="s">
        <v>1824</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13"/>
      <c r="Q34" s="707" t="str">
        <f t="shared" si="8"/>
        <v>土地级别</v>
      </c>
      <c r="R34" s="1109" t="s">
        <v>1707</v>
      </c>
      <c r="S34" s="1110">
        <f t="shared" si="10"/>
        <v>100</v>
      </c>
      <c r="T34" s="1109" t="s">
        <v>1707</v>
      </c>
      <c r="U34" s="1110">
        <f t="shared" si="11"/>
        <v>100</v>
      </c>
      <c r="V34" s="1109" t="s">
        <v>1707</v>
      </c>
      <c r="W34" s="1110">
        <f t="shared" si="12"/>
        <v>100</v>
      </c>
      <c r="X34" s="1048"/>
      <c r="Y34" s="3413"/>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13"/>
      <c r="Q35" s="707">
        <f t="shared" si="8"/>
        <v>111</v>
      </c>
      <c r="R35" s="1109" t="s">
        <v>1707</v>
      </c>
      <c r="S35" s="1110">
        <f t="shared" si="10"/>
        <v>100</v>
      </c>
      <c r="T35" s="1109" t="s">
        <v>1707</v>
      </c>
      <c r="U35" s="1110">
        <f t="shared" si="11"/>
        <v>100</v>
      </c>
      <c r="V35" s="1109" t="s">
        <v>1707</v>
      </c>
      <c r="W35" s="1110">
        <f t="shared" si="12"/>
        <v>100</v>
      </c>
      <c r="X35" s="1048"/>
      <c r="Y35" s="3413"/>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9" t="s">
        <v>1727</v>
      </c>
      <c r="Q36" s="707">
        <f t="shared" si="8"/>
        <v>111</v>
      </c>
      <c r="R36" s="1109" t="s">
        <v>1707</v>
      </c>
      <c r="S36" s="1110">
        <f t="shared" si="10"/>
        <v>100</v>
      </c>
      <c r="T36" s="1109" t="s">
        <v>1707</v>
      </c>
      <c r="U36" s="1110">
        <f t="shared" si="11"/>
        <v>100</v>
      </c>
      <c r="V36" s="1109" t="s">
        <v>1707</v>
      </c>
      <c r="W36" s="1110">
        <f t="shared" si="12"/>
        <v>100</v>
      </c>
      <c r="X36" s="1048"/>
      <c r="Y36" s="3414" t="s">
        <v>1727</v>
      </c>
      <c r="Z36" s="1047">
        <f t="shared" si="13"/>
        <v>111</v>
      </c>
      <c r="AA36" s="1047">
        <f t="shared" si="3"/>
        <v>1</v>
      </c>
      <c r="AB36" s="1047">
        <f t="shared" si="4"/>
        <v>1</v>
      </c>
      <c r="AC36" s="1047">
        <f t="shared" si="5"/>
        <v>1</v>
      </c>
    </row>
    <row r="37" spans="1:29" s="1013" customFormat="1" ht="1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14"/>
      <c r="Q37" s="707">
        <f t="shared" si="8"/>
        <v>111</v>
      </c>
      <c r="R37" s="1147" t="s">
        <v>1707</v>
      </c>
      <c r="S37" s="1148">
        <f t="shared" si="10"/>
        <v>100</v>
      </c>
      <c r="T37" s="1147" t="s">
        <v>1707</v>
      </c>
      <c r="U37" s="1148">
        <f t="shared" si="11"/>
        <v>100</v>
      </c>
      <c r="V37" s="1147" t="s">
        <v>1707</v>
      </c>
      <c r="W37" s="1148">
        <f t="shared" si="12"/>
        <v>100</v>
      </c>
      <c r="X37" s="1149"/>
      <c r="Y37" s="3414"/>
      <c r="Z37" s="1150">
        <f t="shared" si="13"/>
        <v>111</v>
      </c>
      <c r="AA37" s="1047">
        <f t="shared" si="3"/>
        <v>1</v>
      </c>
      <c r="AB37" s="1047">
        <f t="shared" si="4"/>
        <v>1</v>
      </c>
      <c r="AC37" s="1047">
        <f t="shared" si="5"/>
        <v>1</v>
      </c>
    </row>
    <row r="38" spans="1:29" ht="15">
      <c r="A38" s="1154" t="s">
        <v>1725</v>
      </c>
      <c r="B38" s="1151" t="s">
        <v>1825</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14"/>
      <c r="Q38" s="707" t="str">
        <f t="shared" si="8"/>
        <v>宗地面积</v>
      </c>
      <c r="R38" s="1109" t="s">
        <v>1707</v>
      </c>
      <c r="S38" s="1110" t="e">
        <f t="shared" si="10"/>
        <v>#N/A</v>
      </c>
      <c r="T38" s="1109" t="s">
        <v>1707</v>
      </c>
      <c r="U38" s="1110" t="e">
        <f t="shared" si="11"/>
        <v>#N/A</v>
      </c>
      <c r="V38" s="1109" t="s">
        <v>1707</v>
      </c>
      <c r="W38" s="1110" t="e">
        <f t="shared" si="12"/>
        <v>#N/A</v>
      </c>
      <c r="X38" s="1048"/>
      <c r="Y38" s="3414"/>
      <c r="Z38" s="1047" t="str">
        <f t="shared" si="13"/>
        <v>宗地面积</v>
      </c>
      <c r="AA38" s="1047" t="e">
        <f t="shared" si="3"/>
        <v>#N/A</v>
      </c>
      <c r="AB38" s="1047" t="e">
        <f t="shared" si="4"/>
        <v>#N/A</v>
      </c>
      <c r="AC38" s="1047" t="e">
        <f t="shared" si="5"/>
        <v>#N/A</v>
      </c>
    </row>
    <row r="39" spans="1:29" ht="15">
      <c r="A39" s="1154"/>
      <c r="B39" s="1079" t="s">
        <v>1826</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14"/>
      <c r="Q39" s="707" t="str">
        <f t="shared" ref="Q39:Q45" si="14">B39</f>
        <v>宗地形状</v>
      </c>
      <c r="R39" s="1109" t="s">
        <v>1707</v>
      </c>
      <c r="S39" s="1110">
        <f t="shared" si="10"/>
        <v>100</v>
      </c>
      <c r="T39" s="1109" t="s">
        <v>1707</v>
      </c>
      <c r="U39" s="1110">
        <f t="shared" si="11"/>
        <v>100</v>
      </c>
      <c r="V39" s="1109" t="s">
        <v>1707</v>
      </c>
      <c r="W39" s="1110">
        <f t="shared" si="12"/>
        <v>100</v>
      </c>
      <c r="X39" s="1048"/>
      <c r="Y39" s="3414"/>
      <c r="Z39" s="1047" t="str">
        <f t="shared" si="13"/>
        <v>宗地形状</v>
      </c>
      <c r="AA39" s="1047">
        <f t="shared" si="3"/>
        <v>1</v>
      </c>
      <c r="AB39" s="1047">
        <f t="shared" si="4"/>
        <v>1</v>
      </c>
      <c r="AC39" s="1047">
        <f t="shared" si="5"/>
        <v>1</v>
      </c>
    </row>
    <row r="40" spans="1:29" ht="15">
      <c r="A40" s="1154"/>
      <c r="B40" s="1079" t="s">
        <v>1827</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14"/>
      <c r="Q40" s="707" t="str">
        <f t="shared" si="14"/>
        <v>临街宽度及深度</v>
      </c>
      <c r="R40" s="1109" t="s">
        <v>1707</v>
      </c>
      <c r="S40" s="1110">
        <f t="shared" si="10"/>
        <v>100</v>
      </c>
      <c r="T40" s="1109" t="s">
        <v>1707</v>
      </c>
      <c r="U40" s="1110">
        <f t="shared" si="11"/>
        <v>100</v>
      </c>
      <c r="V40" s="1109" t="s">
        <v>1707</v>
      </c>
      <c r="W40" s="1110">
        <f t="shared" si="12"/>
        <v>100</v>
      </c>
      <c r="X40" s="1048"/>
      <c r="Y40" s="3414"/>
      <c r="Z40" s="1047" t="str">
        <f t="shared" si="13"/>
        <v>临街宽度及深度</v>
      </c>
      <c r="AA40" s="1047">
        <f t="shared" si="3"/>
        <v>1</v>
      </c>
      <c r="AB40" s="1047">
        <f t="shared" si="4"/>
        <v>1</v>
      </c>
      <c r="AC40" s="1047">
        <f t="shared" si="5"/>
        <v>1</v>
      </c>
    </row>
    <row r="41" spans="1:29" s="1011" customFormat="1" ht="15">
      <c r="A41" s="1156"/>
      <c r="B41" s="1079" t="s">
        <v>1828</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14"/>
      <c r="Q41" s="707" t="str">
        <f t="shared" si="14"/>
        <v>宗地开发程度</v>
      </c>
      <c r="R41" s="1067" t="s">
        <v>1707</v>
      </c>
      <c r="S41" s="1068">
        <f t="shared" si="10"/>
        <v>100</v>
      </c>
      <c r="T41" s="1067" t="s">
        <v>1707</v>
      </c>
      <c r="U41" s="1068">
        <f t="shared" si="11"/>
        <v>100</v>
      </c>
      <c r="V41" s="1067" t="s">
        <v>1707</v>
      </c>
      <c r="W41" s="1068">
        <f t="shared" si="12"/>
        <v>100</v>
      </c>
      <c r="X41" s="1069"/>
      <c r="Y41" s="3414"/>
      <c r="Z41" s="1071" t="str">
        <f t="shared" si="13"/>
        <v>宗地开发程度</v>
      </c>
      <c r="AA41" s="1071">
        <f t="shared" si="3"/>
        <v>1</v>
      </c>
      <c r="AB41" s="1071">
        <f t="shared" si="4"/>
        <v>1</v>
      </c>
      <c r="AC41" s="1071">
        <f t="shared" si="5"/>
        <v>1</v>
      </c>
    </row>
    <row r="42" spans="1:29" ht="15">
      <c r="A42" s="1154"/>
      <c r="B42" s="1079" t="s">
        <v>1829</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14" t="s">
        <v>1727</v>
      </c>
      <c r="Q42" s="707" t="str">
        <f t="shared" si="14"/>
        <v>工程地质条件</v>
      </c>
      <c r="R42" s="1109" t="s">
        <v>1707</v>
      </c>
      <c r="S42" s="1110">
        <f t="shared" si="10"/>
        <v>100</v>
      </c>
      <c r="T42" s="1109" t="s">
        <v>1707</v>
      </c>
      <c r="U42" s="1110">
        <f t="shared" si="11"/>
        <v>100</v>
      </c>
      <c r="V42" s="1109" t="s">
        <v>1707</v>
      </c>
      <c r="W42" s="1110">
        <f t="shared" si="12"/>
        <v>100</v>
      </c>
      <c r="X42" s="1048"/>
      <c r="Y42" s="3414" t="s">
        <v>1727</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14"/>
      <c r="Q43" s="707">
        <f t="shared" si="14"/>
        <v>111</v>
      </c>
      <c r="R43" s="1109" t="s">
        <v>1707</v>
      </c>
      <c r="S43" s="1110">
        <f t="shared" si="10"/>
        <v>100</v>
      </c>
      <c r="T43" s="1109" t="s">
        <v>1707</v>
      </c>
      <c r="U43" s="1110">
        <f t="shared" si="11"/>
        <v>100</v>
      </c>
      <c r="V43" s="1109" t="s">
        <v>1707</v>
      </c>
      <c r="W43" s="1110">
        <f t="shared" si="12"/>
        <v>100</v>
      </c>
      <c r="X43" s="1048"/>
      <c r="Y43" s="3414"/>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14"/>
      <c r="Q44" s="707">
        <f t="shared" si="14"/>
        <v>111</v>
      </c>
      <c r="R44" s="1109" t="s">
        <v>1707</v>
      </c>
      <c r="S44" s="1110">
        <f t="shared" si="10"/>
        <v>100</v>
      </c>
      <c r="T44" s="1109" t="s">
        <v>1707</v>
      </c>
      <c r="U44" s="1110">
        <f t="shared" si="11"/>
        <v>100</v>
      </c>
      <c r="V44" s="1109" t="s">
        <v>1707</v>
      </c>
      <c r="W44" s="1110">
        <f t="shared" si="12"/>
        <v>100</v>
      </c>
      <c r="X44" s="1048"/>
      <c r="Y44" s="3414"/>
      <c r="Z44" s="1047">
        <f t="shared" si="13"/>
        <v>111</v>
      </c>
      <c r="AA44" s="1047">
        <f t="shared" si="3"/>
        <v>1</v>
      </c>
      <c r="AB44" s="1047">
        <f t="shared" si="4"/>
        <v>1</v>
      </c>
      <c r="AC44" s="1047">
        <f t="shared" si="5"/>
        <v>1</v>
      </c>
    </row>
    <row r="45" spans="1:29" s="1013" customFormat="1" ht="1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14"/>
      <c r="Q45" s="707">
        <f t="shared" si="14"/>
        <v>111</v>
      </c>
      <c r="R45" s="1147" t="s">
        <v>1707</v>
      </c>
      <c r="S45" s="1148">
        <f t="shared" si="10"/>
        <v>100</v>
      </c>
      <c r="T45" s="1147" t="s">
        <v>1707</v>
      </c>
      <c r="U45" s="1148">
        <f t="shared" si="11"/>
        <v>100</v>
      </c>
      <c r="V45" s="1147" t="s">
        <v>1707</v>
      </c>
      <c r="W45" s="1148">
        <f t="shared" si="12"/>
        <v>100</v>
      </c>
      <c r="X45" s="1149"/>
      <c r="Y45" s="3414"/>
      <c r="Z45" s="1150">
        <f t="shared" si="13"/>
        <v>111</v>
      </c>
      <c r="AA45" s="1047">
        <f t="shared" si="3"/>
        <v>1</v>
      </c>
      <c r="AB45" s="1047">
        <f t="shared" si="4"/>
        <v>1</v>
      </c>
      <c r="AC45" s="1047">
        <f t="shared" si="5"/>
        <v>1</v>
      </c>
    </row>
    <row r="46" spans="1:29" ht="15">
      <c r="A46" s="1162" t="s">
        <v>1811</v>
      </c>
      <c r="B46" s="1163" t="s">
        <v>1830</v>
      </c>
      <c r="C46" s="1164" t="s">
        <v>124</v>
      </c>
      <c r="D46" s="1165"/>
      <c r="E46" s="1166"/>
      <c r="F46" s="1167"/>
      <c r="G46" s="1168"/>
      <c r="H46" s="1169"/>
      <c r="I46" s="1166"/>
      <c r="J46" s="1169"/>
      <c r="K46" s="1170"/>
      <c r="L46" s="1171"/>
      <c r="M46" s="1044"/>
      <c r="N46" s="1044"/>
      <c r="O46" s="1044"/>
      <c r="P46" s="3404" t="str">
        <f>A46</f>
        <v>成交单价</v>
      </c>
      <c r="Q46" s="3404"/>
      <c r="R46" s="3405">
        <f>E46</f>
        <v>0</v>
      </c>
      <c r="S46" s="3405"/>
      <c r="T46" s="3405">
        <f>G46</f>
        <v>0</v>
      </c>
      <c r="U46" s="3405"/>
      <c r="V46" s="3405">
        <f>I46</f>
        <v>0</v>
      </c>
      <c r="W46" s="3405"/>
      <c r="X46" s="1172"/>
      <c r="Y46" s="1173"/>
      <c r="Z46" s="1172"/>
      <c r="AA46" s="1172"/>
      <c r="AB46" s="1172"/>
      <c r="AC46" s="1172"/>
    </row>
    <row r="47" spans="1:29" ht="15">
      <c r="A47" s="1174" t="s">
        <v>1739</v>
      </c>
      <c r="B47" s="1175"/>
      <c r="C47" s="1176" t="e">
        <f>R48</f>
        <v>#DIV/0!</v>
      </c>
      <c r="D47" s="1177" t="s">
        <v>1740</v>
      </c>
      <c r="E47" s="1176" t="e">
        <f>R47</f>
        <v>#DIV/0!</v>
      </c>
      <c r="F47" s="1178"/>
      <c r="G47" s="1179" t="e">
        <f>T47</f>
        <v>#DIV/0!</v>
      </c>
      <c r="H47" s="1178"/>
      <c r="I47" s="1176" t="e">
        <f>V47</f>
        <v>#DIV/0!</v>
      </c>
      <c r="J47" s="1178"/>
      <c r="K47" s="1180">
        <f>F47+H47+J47</f>
        <v>0</v>
      </c>
      <c r="L47" s="1171"/>
      <c r="M47" s="1044"/>
      <c r="N47" s="1044"/>
      <c r="O47" s="1044"/>
      <c r="P47" s="3404" t="str">
        <f>A47</f>
        <v>比较价值（元/平方米）</v>
      </c>
      <c r="Q47" s="3404"/>
      <c r="R47" s="3452" t="e">
        <f>ROUND(PRODUCT(R46,AA7:AA45),0)</f>
        <v>#DIV/0!</v>
      </c>
      <c r="S47" s="3452"/>
      <c r="T47" s="3452" t="e">
        <f>ROUND(PRODUCT(T46,AB7:AB45),0)</f>
        <v>#DIV/0!</v>
      </c>
      <c r="U47" s="3452"/>
      <c r="V47" s="3452" t="e">
        <f>ROUND(PRODUCT(V46,AC7:AC45),0)</f>
        <v>#DIV/0!</v>
      </c>
      <c r="W47" s="3452"/>
      <c r="X47" s="1172"/>
      <c r="Y47" s="1172"/>
      <c r="Z47" s="1172"/>
      <c r="AA47" s="1172"/>
      <c r="AB47" s="1172"/>
      <c r="AC47" s="1172"/>
    </row>
    <row r="48" spans="1:29" ht="15">
      <c r="A48" s="1181" t="s">
        <v>1831</v>
      </c>
      <c r="B48" s="1182"/>
      <c r="C48" s="1183" t="e">
        <f>R48</f>
        <v>#DIV/0!</v>
      </c>
      <c r="D48" s="1183"/>
      <c r="E48" s="1183"/>
      <c r="F48" s="1183"/>
      <c r="G48" s="1183"/>
      <c r="H48" s="1183"/>
      <c r="I48" s="1183"/>
      <c r="J48" s="1183"/>
      <c r="K48" s="1184"/>
      <c r="L48" s="1171"/>
      <c r="M48" s="1044"/>
      <c r="N48" s="1044"/>
      <c r="O48" s="1044"/>
      <c r="P48" s="3416" t="str">
        <f>A48</f>
        <v>估价对象XX用房的比较价值（楼面单价，元/平方米）</v>
      </c>
      <c r="Q48" s="3417"/>
      <c r="R48" s="3453" t="e">
        <f>ROUND(IF(D47="简单平均",AVERAGE(R47:W47),R47*F47+T47*H47+V47*J47),0)</f>
        <v>#DIV/0!</v>
      </c>
      <c r="S48" s="3453"/>
      <c r="T48" s="3453"/>
      <c r="U48" s="3453"/>
      <c r="V48" s="3453"/>
      <c r="W48" s="3453"/>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1742</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1743</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1744</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1832</v>
      </c>
      <c r="B55" s="1199" t="s">
        <v>1833</v>
      </c>
      <c r="C55" s="1200" t="s">
        <v>1834</v>
      </c>
      <c r="D55" s="1201" t="s">
        <v>1835</v>
      </c>
      <c r="E55" s="1202" t="s">
        <v>1836</v>
      </c>
      <c r="F55" s="1355" t="s">
        <v>1837</v>
      </c>
      <c r="G55" s="3389" t="s">
        <v>1838</v>
      </c>
      <c r="H55" s="3451"/>
      <c r="I55" s="1356" t="s">
        <v>1839</v>
      </c>
      <c r="J55" s="1357">
        <f>项目基本情况!F35</f>
        <v>0</v>
      </c>
      <c r="K55" s="1204" t="s">
        <v>1840</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1841</v>
      </c>
      <c r="B56" s="1206" t="e">
        <f>C48</f>
        <v>#DIV/0!</v>
      </c>
      <c r="C56" s="1207">
        <v>1</v>
      </c>
      <c r="D56" s="1208">
        <v>1</v>
      </c>
      <c r="E56" s="1207">
        <f>'数据-汇总表'!E8+'数据-汇总表'!E9</f>
        <v>39349.9</v>
      </c>
      <c r="F56" s="1358" t="e">
        <f t="shared" ref="F56:F64" si="15">ROUND(B56*E56/10000,0)</f>
        <v>#DIV/0!</v>
      </c>
      <c r="G56" s="3406"/>
      <c r="H56" s="3404"/>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1842</v>
      </c>
      <c r="B57" s="362" t="e">
        <f>ROUND($C$48*C57*D57,0)</f>
        <v>#DIV/0!</v>
      </c>
      <c r="C57" s="526">
        <f t="shared" ref="C57:C64" si="16">IF($C$55="北京市系数",I57,J57)</f>
        <v>0</v>
      </c>
      <c r="D57" s="1212">
        <v>0.25</v>
      </c>
      <c r="E57" s="1213"/>
      <c r="F57" s="1358" t="e">
        <f t="shared" si="15"/>
        <v>#DIV/0!</v>
      </c>
      <c r="G57" s="1214" t="s">
        <v>1843</v>
      </c>
      <c r="H57" s="1215">
        <f>项目基本情况!B37</f>
        <v>0</v>
      </c>
      <c r="I57" s="1359">
        <f>SUMIF(修正!A59:A70,H57,修正!B59:B70)</f>
        <v>0</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1844</v>
      </c>
      <c r="B58" s="362" t="e">
        <f t="shared" ref="B58:B64" si="17">ROUND($C$48*C58*D58,0)</f>
        <v>#DIV/0!</v>
      </c>
      <c r="C58" s="526">
        <f t="shared" si="16"/>
        <v>0</v>
      </c>
      <c r="D58" s="1212">
        <v>0.25</v>
      </c>
      <c r="E58" s="1213"/>
      <c r="F58" s="1358" t="e">
        <f t="shared" si="15"/>
        <v>#DIV/0!</v>
      </c>
      <c r="G58" s="1217"/>
      <c r="H58" s="1215">
        <f>项目基本情况!B37</f>
        <v>0</v>
      </c>
      <c r="I58" s="1359">
        <f>SUMIF(修正!A59:A70,H58,修正!C59:C70)</f>
        <v>0</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1845</v>
      </c>
      <c r="B59" s="362" t="e">
        <f t="shared" si="17"/>
        <v>#DIV/0!</v>
      </c>
      <c r="C59" s="526">
        <f t="shared" si="16"/>
        <v>0</v>
      </c>
      <c r="D59" s="1212">
        <v>0.25</v>
      </c>
      <c r="E59" s="1213"/>
      <c r="F59" s="1358" t="e">
        <f t="shared" si="15"/>
        <v>#DIV/0!</v>
      </c>
      <c r="G59" s="1217"/>
      <c r="H59" s="1215">
        <f>项目基本情况!B37</f>
        <v>0</v>
      </c>
      <c r="I59" s="1359">
        <f>SUMIF(修正!A59:A70,H59,修正!D59:D70)</f>
        <v>0</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1846</v>
      </c>
      <c r="B60" s="362" t="e">
        <f t="shared" si="17"/>
        <v>#DIV/0!</v>
      </c>
      <c r="C60" s="526">
        <f t="shared" si="16"/>
        <v>0</v>
      </c>
      <c r="D60" s="1212">
        <v>0.25</v>
      </c>
      <c r="E60" s="361">
        <f>'数据-汇总表'!E11</f>
        <v>0</v>
      </c>
      <c r="F60" s="1358" t="e">
        <f t="shared" si="15"/>
        <v>#DIV/0!</v>
      </c>
      <c r="G60" s="1219" t="s">
        <v>1847</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1848</v>
      </c>
      <c r="B61" s="362" t="e">
        <f t="shared" si="17"/>
        <v>#DIV/0!</v>
      </c>
      <c r="C61" s="526">
        <f t="shared" si="16"/>
        <v>0</v>
      </c>
      <c r="D61" s="1212">
        <v>0.25</v>
      </c>
      <c r="E61" s="361">
        <f>'数据-汇总表'!E12</f>
        <v>0</v>
      </c>
      <c r="F61" s="1358" t="e">
        <f t="shared" si="15"/>
        <v>#DIV/0!</v>
      </c>
      <c r="G61" s="1220" t="s">
        <v>1849</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1850</v>
      </c>
      <c r="B62" s="362" t="e">
        <f t="shared" si="17"/>
        <v>#DIV/0!</v>
      </c>
      <c r="C62" s="526">
        <f t="shared" si="16"/>
        <v>0</v>
      </c>
      <c r="D62" s="1212">
        <v>0.25</v>
      </c>
      <c r="E62" s="361">
        <f>'数据-汇总表'!E13</f>
        <v>0</v>
      </c>
      <c r="F62" s="1358" t="e">
        <f t="shared" si="15"/>
        <v>#DIV/0!</v>
      </c>
      <c r="G62" s="1220" t="s">
        <v>1851</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1852</v>
      </c>
      <c r="B63" s="362" t="e">
        <f t="shared" si="17"/>
        <v>#DIV/0!</v>
      </c>
      <c r="C63" s="526">
        <f t="shared" si="16"/>
        <v>0</v>
      </c>
      <c r="D63" s="1212">
        <v>0.25</v>
      </c>
      <c r="E63" s="361">
        <f>'数据-汇总表'!E14</f>
        <v>7609.71</v>
      </c>
      <c r="F63" s="1358" t="e">
        <f t="shared" si="15"/>
        <v>#DIV/0!</v>
      </c>
      <c r="G63" s="1219" t="s">
        <v>1843</v>
      </c>
      <c r="H63" s="1215">
        <f>项目基本情况!B37</f>
        <v>0</v>
      </c>
      <c r="I63" s="1359">
        <f>SUMIF(修正!A59:A70,H63,修正!G59:G70)</f>
        <v>0</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1853</v>
      </c>
      <c r="B64" s="362" t="e">
        <f t="shared" si="17"/>
        <v>#DIV/0!</v>
      </c>
      <c r="C64" s="526">
        <f t="shared" si="16"/>
        <v>0</v>
      </c>
      <c r="D64" s="1212">
        <v>0.25</v>
      </c>
      <c r="E64" s="361">
        <f>'数据-汇总表'!E15</f>
        <v>0</v>
      </c>
      <c r="F64" s="1358" t="e">
        <f t="shared" si="15"/>
        <v>#DIV/0!</v>
      </c>
      <c r="G64" s="1221" t="s">
        <v>1847</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1854</v>
      </c>
      <c r="B65" s="1224" t="s">
        <v>1855</v>
      </c>
      <c r="C65" s="1224" t="s">
        <v>1855</v>
      </c>
      <c r="D65" s="1224" t="s">
        <v>1855</v>
      </c>
      <c r="E65" s="1224">
        <f>IF(B46="楼面地价",SUM(E56:E64),'数据-汇总表'!D3)</f>
        <v>46959.61</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1745</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1856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1857</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ht="15">
      <c r="A71" s="1249" t="s">
        <v>1746</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ht="15">
      <c r="A72" s="1255" t="s">
        <v>1708</v>
      </c>
      <c r="B72" s="1256"/>
      <c r="C72" s="1257" t="s">
        <v>1747</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1748</v>
      </c>
      <c r="B74" s="1265" t="s">
        <v>1711</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1714</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1715</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1716</v>
      </c>
      <c r="B87" s="1265" t="s">
        <v>1717</v>
      </c>
      <c r="C87" s="1308" t="s">
        <v>1749</v>
      </c>
      <c r="D87" s="1308" t="s">
        <v>1750</v>
      </c>
      <c r="E87" s="1308" t="s">
        <v>1751</v>
      </c>
      <c r="F87" s="1308" t="s">
        <v>1752</v>
      </c>
      <c r="G87" s="1308" t="s">
        <v>1753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1780</v>
      </c>
      <c r="C89" s="1313" t="s">
        <v>1749</v>
      </c>
      <c r="D89" s="1313" t="s">
        <v>1750</v>
      </c>
      <c r="E89" s="1313" t="s">
        <v>1751</v>
      </c>
      <c r="F89" s="1313" t="s">
        <v>1752</v>
      </c>
      <c r="G89" s="1313" t="s">
        <v>1753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1792</v>
      </c>
      <c r="C91" s="1313" t="s">
        <v>1749</v>
      </c>
      <c r="D91" s="1313" t="s">
        <v>1750</v>
      </c>
      <c r="E91" s="1313" t="s">
        <v>1751</v>
      </c>
      <c r="F91" s="1313" t="s">
        <v>1752</v>
      </c>
      <c r="G91" s="1313" t="s">
        <v>1753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1719</v>
      </c>
      <c r="C93" s="1313" t="s">
        <v>1749</v>
      </c>
      <c r="D93" s="1313" t="s">
        <v>1750</v>
      </c>
      <c r="E93" s="1313" t="s">
        <v>1751</v>
      </c>
      <c r="F93" s="1313" t="s">
        <v>1752</v>
      </c>
      <c r="G93" s="1313" t="s">
        <v>1753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1822</v>
      </c>
      <c r="C95" s="1313" t="s">
        <v>1749</v>
      </c>
      <c r="D95" s="1313" t="s">
        <v>1750</v>
      </c>
      <c r="E95" s="1313" t="s">
        <v>1751</v>
      </c>
      <c r="F95" s="1313" t="s">
        <v>1752</v>
      </c>
      <c r="G95" s="1313" t="s">
        <v>1753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1823</v>
      </c>
      <c r="C97" s="1308" t="s">
        <v>1749</v>
      </c>
      <c r="D97" s="1308" t="s">
        <v>1750</v>
      </c>
      <c r="E97" s="1308" t="s">
        <v>1751</v>
      </c>
      <c r="F97" s="1308" t="s">
        <v>1752</v>
      </c>
      <c r="G97" s="1308" t="s">
        <v>1753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1720</v>
      </c>
      <c r="C99" s="1308" t="s">
        <v>1749</v>
      </c>
      <c r="D99" s="1308" t="s">
        <v>1750</v>
      </c>
      <c r="E99" s="1308" t="s">
        <v>1751</v>
      </c>
      <c r="F99" s="1308" t="s">
        <v>1752</v>
      </c>
      <c r="G99" s="1308" t="s">
        <v>1753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1721</v>
      </c>
      <c r="C101" s="1116" t="s">
        <v>1754</v>
      </c>
      <c r="D101" s="1116" t="s">
        <v>1755</v>
      </c>
      <c r="E101" s="1116" t="s">
        <v>1756</v>
      </c>
      <c r="F101" s="1116" t="s">
        <v>1757</v>
      </c>
      <c r="G101" s="1116" t="s">
        <v>1758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1858</v>
      </c>
      <c r="D103" s="1275" t="s">
        <v>1859</v>
      </c>
      <c r="E103" s="1275" t="s">
        <v>1860</v>
      </c>
      <c r="F103" s="1275" t="s">
        <v>1861</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1794</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1824</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1725</v>
      </c>
      <c r="B115" s="1265" t="s">
        <v>1825</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1826</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1827</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1828</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1829</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1819</v>
      </c>
      <c r="B1" s="1021"/>
      <c r="C1" s="1022" t="s">
        <v>1798</v>
      </c>
      <c r="D1" s="1023"/>
      <c r="E1" s="1023"/>
      <c r="F1" s="1024" t="s">
        <v>1690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1691</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1692</v>
      </c>
      <c r="B4" s="1039"/>
      <c r="C4" s="3389" t="s">
        <v>1693</v>
      </c>
      <c r="D4" s="3390"/>
      <c r="E4" s="3391" t="s">
        <v>1694</v>
      </c>
      <c r="F4" s="3392"/>
      <c r="G4" s="3389" t="s">
        <v>1695</v>
      </c>
      <c r="H4" s="3390"/>
      <c r="I4" s="3389" t="s">
        <v>1696</v>
      </c>
      <c r="J4" s="3390"/>
      <c r="K4" s="1042" t="s">
        <v>1697</v>
      </c>
      <c r="L4" s="1043"/>
      <c r="M4" s="1044"/>
      <c r="N4" s="1044"/>
      <c r="O4" s="1044"/>
      <c r="P4" s="3422" t="s">
        <v>1698</v>
      </c>
      <c r="Q4" s="3423"/>
      <c r="R4" s="3428" t="s">
        <v>1694</v>
      </c>
      <c r="S4" s="3429"/>
      <c r="T4" s="3428" t="s">
        <v>1695</v>
      </c>
      <c r="U4" s="3429"/>
      <c r="V4" s="3405" t="s">
        <v>1696</v>
      </c>
      <c r="W4" s="3405"/>
      <c r="X4" s="1048"/>
      <c r="Y4" s="3428" t="s">
        <v>1698</v>
      </c>
      <c r="Z4" s="3429"/>
      <c r="AA4" s="3419" t="s">
        <v>1694</v>
      </c>
      <c r="AB4" s="3420" t="s">
        <v>1695</v>
      </c>
      <c r="AC4" s="3419" t="s">
        <v>1696</v>
      </c>
    </row>
    <row r="5" spans="1:29" ht="15">
      <c r="A5" s="1049"/>
      <c r="B5" s="1050"/>
      <c r="C5" s="3393" t="s">
        <v>1699</v>
      </c>
      <c r="D5" s="3394"/>
      <c r="E5" s="3395" t="s">
        <v>1700</v>
      </c>
      <c r="F5" s="3396"/>
      <c r="G5" s="3393" t="s">
        <v>1701</v>
      </c>
      <c r="H5" s="3394"/>
      <c r="I5" s="3393" t="s">
        <v>1702</v>
      </c>
      <c r="J5" s="3394"/>
      <c r="K5" s="1042"/>
      <c r="L5" s="1043"/>
      <c r="M5" s="1044"/>
      <c r="N5" s="1044"/>
      <c r="O5" s="1044"/>
      <c r="P5" s="3424"/>
      <c r="Q5" s="3425"/>
      <c r="R5" s="3430"/>
      <c r="S5" s="3431"/>
      <c r="T5" s="3430"/>
      <c r="U5" s="3431"/>
      <c r="V5" s="3405"/>
      <c r="W5" s="3405"/>
      <c r="X5" s="1048"/>
      <c r="Y5" s="3430"/>
      <c r="Z5" s="3431"/>
      <c r="AA5" s="3420"/>
      <c r="AB5" s="3420"/>
      <c r="AC5" s="3420"/>
    </row>
    <row r="6" spans="1:29" ht="15">
      <c r="A6" s="1052"/>
      <c r="B6" s="1053"/>
      <c r="C6" s="3454" t="s">
        <v>1862</v>
      </c>
      <c r="D6" s="3455"/>
      <c r="E6" s="3456" t="s">
        <v>1862</v>
      </c>
      <c r="F6" s="3457"/>
      <c r="G6" s="3454" t="s">
        <v>1862</v>
      </c>
      <c r="H6" s="3455"/>
      <c r="I6" s="3454" t="s">
        <v>1862</v>
      </c>
      <c r="J6" s="3455"/>
      <c r="K6" s="1042" t="s">
        <v>1704</v>
      </c>
      <c r="L6" s="1043"/>
      <c r="M6" s="1044"/>
      <c r="N6" s="1044"/>
      <c r="O6" s="1044"/>
      <c r="P6" s="3426"/>
      <c r="Q6" s="3427"/>
      <c r="R6" s="3430"/>
      <c r="S6" s="3431"/>
      <c r="T6" s="3432"/>
      <c r="U6" s="3433"/>
      <c r="V6" s="3405"/>
      <c r="W6" s="3405"/>
      <c r="X6" s="1048"/>
      <c r="Y6" s="3432"/>
      <c r="Z6" s="3433"/>
      <c r="AA6" s="3421"/>
      <c r="AB6" s="3421"/>
      <c r="AC6" s="3421"/>
    </row>
    <row r="7" spans="1:29" s="1011" customFormat="1" ht="15">
      <c r="A7" s="1056" t="s">
        <v>1705</v>
      </c>
      <c r="B7" s="1057"/>
      <c r="C7" s="1058">
        <f>'数据-取费表'!B2</f>
        <v>45980</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01" t="s">
        <v>1706</v>
      </c>
      <c r="Q7" s="3402"/>
      <c r="R7" s="1067" t="s">
        <v>1707</v>
      </c>
      <c r="S7" s="1068">
        <f t="shared" ref="S7:S15" si="0">F7</f>
        <v>0</v>
      </c>
      <c r="T7" s="1067" t="s">
        <v>1707</v>
      </c>
      <c r="U7" s="1068">
        <f t="shared" ref="U7:U15" si="1">H7</f>
        <v>0</v>
      </c>
      <c r="V7" s="1067" t="s">
        <v>1707</v>
      </c>
      <c r="W7" s="1068">
        <f t="shared" ref="W7:W15" si="2">J7</f>
        <v>0</v>
      </c>
      <c r="X7" s="1069"/>
      <c r="Y7" s="3401" t="s">
        <v>1706</v>
      </c>
      <c r="Z7" s="3403"/>
      <c r="AA7" s="1071" t="e">
        <f>D7/F7</f>
        <v>#DIV/0!</v>
      </c>
      <c r="AB7" s="1071" t="e">
        <f>D7/H7</f>
        <v>#DIV/0!</v>
      </c>
      <c r="AC7" s="1071" t="e">
        <f>D7/J7</f>
        <v>#DIV/0!</v>
      </c>
    </row>
    <row r="8" spans="1:29" s="1011" customFormat="1" ht="15">
      <c r="A8" s="1056" t="s">
        <v>1708</v>
      </c>
      <c r="B8" s="1057"/>
      <c r="C8" s="1072" t="s">
        <v>1747</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01" t="s">
        <v>1709</v>
      </c>
      <c r="Q8" s="3403"/>
      <c r="R8" s="1067" t="s">
        <v>1707</v>
      </c>
      <c r="S8" s="1068">
        <f t="shared" si="0"/>
        <v>0</v>
      </c>
      <c r="T8" s="1067" t="s">
        <v>1707</v>
      </c>
      <c r="U8" s="1068">
        <f t="shared" si="1"/>
        <v>0</v>
      </c>
      <c r="V8" s="1067" t="s">
        <v>1707</v>
      </c>
      <c r="W8" s="1068">
        <f t="shared" si="2"/>
        <v>0</v>
      </c>
      <c r="X8" s="1069"/>
      <c r="Y8" s="3401" t="s">
        <v>1709</v>
      </c>
      <c r="Z8" s="3403"/>
      <c r="AA8" s="1071" t="e">
        <f t="shared" ref="AA8:AA40" si="3">D8/F8</f>
        <v>#DIV/0!</v>
      </c>
      <c r="AB8" s="1071" t="e">
        <f t="shared" ref="AB8:AB40" si="4">D8/H8</f>
        <v>#DIV/0!</v>
      </c>
      <c r="AC8" s="1071" t="e">
        <f t="shared" ref="AC8:AC40" si="5">D8/J8</f>
        <v>#DIV/0!</v>
      </c>
    </row>
    <row r="9" spans="1:29" s="1011" customFormat="1">
      <c r="A9" s="1073" t="s">
        <v>1710</v>
      </c>
      <c r="B9" s="1074" t="s">
        <v>1711</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04" t="s">
        <v>1712</v>
      </c>
      <c r="Q9" s="811" t="str">
        <f t="shared" ref="Q9:Q15" si="6">B9</f>
        <v>用途</v>
      </c>
      <c r="R9" s="1067" t="s">
        <v>1707</v>
      </c>
      <c r="S9" s="1068">
        <f t="shared" si="0"/>
        <v>100</v>
      </c>
      <c r="T9" s="1067" t="s">
        <v>1707</v>
      </c>
      <c r="U9" s="1068">
        <f t="shared" si="1"/>
        <v>100</v>
      </c>
      <c r="V9" s="1067" t="s">
        <v>1707</v>
      </c>
      <c r="W9" s="1068">
        <f t="shared" si="2"/>
        <v>100</v>
      </c>
      <c r="X9" s="1069"/>
      <c r="Y9" s="3354" t="s">
        <v>1713</v>
      </c>
      <c r="Z9" s="1071" t="str">
        <f t="shared" ref="Z9:Z15" si="7">Q9</f>
        <v>用途</v>
      </c>
      <c r="AA9" s="1071">
        <f t="shared" si="3"/>
        <v>1</v>
      </c>
      <c r="AB9" s="1071">
        <f t="shared" si="4"/>
        <v>1</v>
      </c>
      <c r="AC9" s="1071">
        <f t="shared" si="5"/>
        <v>1</v>
      </c>
    </row>
    <row r="10" spans="1:29" s="1012" customFormat="1" ht="27">
      <c r="A10" s="1078"/>
      <c r="B10" s="1079" t="s">
        <v>1714</v>
      </c>
      <c r="C10" s="1080"/>
      <c r="D10" s="1081">
        <v>100</v>
      </c>
      <c r="E10" s="1080"/>
      <c r="F10" s="1081">
        <f>ROUND(100/'数据-取费表'!G16,0)</f>
        <v>189</v>
      </c>
      <c r="G10" s="1080"/>
      <c r="H10" s="1081">
        <f>ROUND(100/'数据-取费表'!G16,0)</f>
        <v>189</v>
      </c>
      <c r="I10" s="1080"/>
      <c r="J10" s="1081">
        <f>ROUND(100/'数据-取费表'!G16,0)</f>
        <v>189</v>
      </c>
      <c r="K10" s="1082"/>
      <c r="L10" s="1083"/>
      <c r="M10" s="1084"/>
      <c r="N10" s="1084"/>
      <c r="O10" s="1085"/>
      <c r="P10" s="3404"/>
      <c r="Q10" s="811" t="str">
        <f t="shared" si="6"/>
        <v>土地使用年限（年）</v>
      </c>
      <c r="R10" s="1067" t="s">
        <v>1707</v>
      </c>
      <c r="S10" s="1068">
        <f t="shared" si="0"/>
        <v>189</v>
      </c>
      <c r="T10" s="1067" t="s">
        <v>1707</v>
      </c>
      <c r="U10" s="1068">
        <f t="shared" si="1"/>
        <v>189</v>
      </c>
      <c r="V10" s="1067" t="s">
        <v>1707</v>
      </c>
      <c r="W10" s="1068">
        <f t="shared" si="2"/>
        <v>189</v>
      </c>
      <c r="X10" s="1069"/>
      <c r="Y10" s="3354"/>
      <c r="Z10" s="1071" t="str">
        <f t="shared" si="7"/>
        <v>土地使用年限（年）</v>
      </c>
      <c r="AA10" s="1071">
        <f t="shared" si="3"/>
        <v>0.52910052910052907</v>
      </c>
      <c r="AB10" s="1071">
        <f t="shared" si="4"/>
        <v>0.52910052910052907</v>
      </c>
      <c r="AC10" s="1071">
        <f t="shared" si="5"/>
        <v>0.52910052910052907</v>
      </c>
    </row>
    <row r="11" spans="1:29" ht="15">
      <c r="A11" s="1086"/>
      <c r="B11" s="1079" t="s">
        <v>1715</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04"/>
      <c r="Q11" s="811" t="str">
        <f t="shared" si="6"/>
        <v>容积率</v>
      </c>
      <c r="R11" s="1067" t="s">
        <v>1707</v>
      </c>
      <c r="S11" s="1068" t="e">
        <f t="shared" si="0"/>
        <v>#N/A</v>
      </c>
      <c r="T11" s="1067" t="s">
        <v>1707</v>
      </c>
      <c r="U11" s="1068" t="e">
        <f t="shared" si="1"/>
        <v>#N/A</v>
      </c>
      <c r="V11" s="1067" t="s">
        <v>1707</v>
      </c>
      <c r="W11" s="1068" t="e">
        <f t="shared" si="2"/>
        <v>#N/A</v>
      </c>
      <c r="X11" s="1069"/>
      <c r="Y11" s="3354"/>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04"/>
      <c r="Q12" s="811">
        <f t="shared" si="6"/>
        <v>111</v>
      </c>
      <c r="R12" s="1067" t="s">
        <v>1707</v>
      </c>
      <c r="S12" s="1068">
        <f t="shared" si="0"/>
        <v>100</v>
      </c>
      <c r="T12" s="1067" t="s">
        <v>1707</v>
      </c>
      <c r="U12" s="1068">
        <f t="shared" si="1"/>
        <v>100</v>
      </c>
      <c r="V12" s="1067" t="s">
        <v>1707</v>
      </c>
      <c r="W12" s="1068">
        <f t="shared" si="2"/>
        <v>100</v>
      </c>
      <c r="X12" s="1069"/>
      <c r="Y12" s="3354"/>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04"/>
      <c r="Q13" s="811">
        <f t="shared" si="6"/>
        <v>111</v>
      </c>
      <c r="R13" s="1067" t="s">
        <v>1707</v>
      </c>
      <c r="S13" s="1068">
        <f t="shared" si="0"/>
        <v>100</v>
      </c>
      <c r="T13" s="1067" t="s">
        <v>1707</v>
      </c>
      <c r="U13" s="1068">
        <f t="shared" si="1"/>
        <v>100</v>
      </c>
      <c r="V13" s="1067" t="s">
        <v>1707</v>
      </c>
      <c r="W13" s="1068">
        <f t="shared" si="2"/>
        <v>100</v>
      </c>
      <c r="X13" s="1069"/>
      <c r="Y13" s="3354"/>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04"/>
      <c r="Q14" s="811">
        <f t="shared" si="6"/>
        <v>111</v>
      </c>
      <c r="R14" s="1067" t="s">
        <v>1707</v>
      </c>
      <c r="S14" s="1068">
        <f t="shared" si="0"/>
        <v>100</v>
      </c>
      <c r="T14" s="1067" t="s">
        <v>1707</v>
      </c>
      <c r="U14" s="1068">
        <f t="shared" si="1"/>
        <v>100</v>
      </c>
      <c r="V14" s="1067" t="s">
        <v>1707</v>
      </c>
      <c r="W14" s="1068">
        <f t="shared" si="2"/>
        <v>100</v>
      </c>
      <c r="X14" s="1069"/>
      <c r="Y14" s="3354"/>
      <c r="Z14" s="1071">
        <f t="shared" si="7"/>
        <v>111</v>
      </c>
      <c r="AA14" s="1071">
        <f t="shared" si="3"/>
        <v>1</v>
      </c>
      <c r="AB14" s="1071">
        <f t="shared" si="4"/>
        <v>1</v>
      </c>
      <c r="AC14" s="1071">
        <f t="shared" si="5"/>
        <v>1</v>
      </c>
    </row>
    <row r="15" spans="1:29" ht="15">
      <c r="A15" s="1103" t="s">
        <v>1716</v>
      </c>
      <c r="B15" s="1104" t="s">
        <v>1799</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12" t="s">
        <v>1718</v>
      </c>
      <c r="Q15" s="707" t="str">
        <f t="shared" si="6"/>
        <v>产业集聚程度</v>
      </c>
      <c r="R15" s="1109" t="s">
        <v>1707</v>
      </c>
      <c r="S15" s="1110">
        <f t="shared" si="0"/>
        <v>100</v>
      </c>
      <c r="T15" s="1109" t="s">
        <v>1707</v>
      </c>
      <c r="U15" s="1110">
        <f t="shared" si="1"/>
        <v>100</v>
      </c>
      <c r="V15" s="1109" t="s">
        <v>1707</v>
      </c>
      <c r="W15" s="1110">
        <f t="shared" si="2"/>
        <v>100</v>
      </c>
      <c r="X15" s="1048"/>
      <c r="Y15" s="3412" t="s">
        <v>1718</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13"/>
      <c r="Q16" s="707"/>
      <c r="R16" s="1109"/>
      <c r="S16" s="1110"/>
      <c r="T16" s="1109"/>
      <c r="U16" s="1110"/>
      <c r="V16" s="1109"/>
      <c r="W16" s="1110"/>
      <c r="X16" s="1048"/>
      <c r="Y16" s="3413"/>
      <c r="Z16" s="1047"/>
      <c r="AA16" s="1047">
        <v>1</v>
      </c>
      <c r="AB16" s="1047">
        <v>1</v>
      </c>
      <c r="AC16" s="1047">
        <v>1</v>
      </c>
    </row>
    <row r="17" spans="1:29" ht="15">
      <c r="A17" s="1086"/>
      <c r="B17" s="1117" t="s">
        <v>1719</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13"/>
      <c r="Q17" s="707" t="str">
        <f>B17</f>
        <v>交通便捷度</v>
      </c>
      <c r="R17" s="1109" t="s">
        <v>1707</v>
      </c>
      <c r="S17" s="1110">
        <f>F17</f>
        <v>100</v>
      </c>
      <c r="T17" s="1109" t="s">
        <v>1707</v>
      </c>
      <c r="U17" s="1110">
        <f>H17</f>
        <v>100</v>
      </c>
      <c r="V17" s="1109" t="s">
        <v>1707</v>
      </c>
      <c r="W17" s="1110">
        <f>J17</f>
        <v>100</v>
      </c>
      <c r="X17" s="1048"/>
      <c r="Y17" s="3413"/>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13"/>
      <c r="Q18" s="707"/>
      <c r="R18" s="1109"/>
      <c r="S18" s="1110"/>
      <c r="T18" s="1109"/>
      <c r="U18" s="1110"/>
      <c r="V18" s="1109"/>
      <c r="W18" s="1110"/>
      <c r="X18" s="1048"/>
      <c r="Y18" s="3413"/>
      <c r="Z18" s="1047"/>
      <c r="AA18" s="1047">
        <v>1</v>
      </c>
      <c r="AB18" s="1047">
        <v>1</v>
      </c>
      <c r="AC18" s="1047">
        <v>1</v>
      </c>
    </row>
    <row r="19" spans="1:29" ht="15">
      <c r="A19" s="1086"/>
      <c r="B19" s="1117" t="s">
        <v>1822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13"/>
      <c r="Q19" s="707" t="str">
        <f t="shared" ref="Q19:Q34" si="8">B19</f>
        <v>区域土地利用方向</v>
      </c>
      <c r="R19" s="1109" t="s">
        <v>1707</v>
      </c>
      <c r="S19" s="1110">
        <f>F19</f>
        <v>100</v>
      </c>
      <c r="T19" s="1109" t="s">
        <v>1707</v>
      </c>
      <c r="U19" s="1110">
        <f>H19</f>
        <v>100</v>
      </c>
      <c r="V19" s="1109" t="s">
        <v>1707</v>
      </c>
      <c r="W19" s="1110">
        <f>J19</f>
        <v>100</v>
      </c>
      <c r="X19" s="1048"/>
      <c r="Y19" s="3413"/>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13"/>
      <c r="Q20" s="707"/>
      <c r="R20" s="1109"/>
      <c r="S20" s="1110"/>
      <c r="T20" s="1109"/>
      <c r="U20" s="1110"/>
      <c r="V20" s="1109"/>
      <c r="W20" s="1110"/>
      <c r="X20" s="1048"/>
      <c r="Y20" s="3413"/>
      <c r="Z20" s="1047"/>
      <c r="AA20" s="1047"/>
      <c r="AB20" s="1047"/>
      <c r="AC20" s="1047"/>
    </row>
    <row r="21" spans="1:29" ht="15">
      <c r="A21" s="1049"/>
      <c r="B21" s="1117" t="s">
        <v>1863</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13"/>
      <c r="Q21" s="707" t="str">
        <f t="shared" si="8"/>
        <v>环境状况</v>
      </c>
      <c r="R21" s="1109" t="s">
        <v>1707</v>
      </c>
      <c r="S21" s="1110">
        <f>F21</f>
        <v>100</v>
      </c>
      <c r="T21" s="1109" t="s">
        <v>1707</v>
      </c>
      <c r="U21" s="1110">
        <f>H21</f>
        <v>100</v>
      </c>
      <c r="V21" s="1109" t="s">
        <v>1707</v>
      </c>
      <c r="W21" s="1110">
        <f>J21</f>
        <v>100</v>
      </c>
      <c r="X21" s="1048"/>
      <c r="Y21" s="3413"/>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13"/>
      <c r="Q22" s="707"/>
      <c r="R22" s="1109"/>
      <c r="S22" s="1110"/>
      <c r="T22" s="1109"/>
      <c r="U22" s="1110"/>
      <c r="V22" s="1109"/>
      <c r="W22" s="1110"/>
      <c r="X22" s="1048"/>
      <c r="Y22" s="3413"/>
      <c r="Z22" s="1047"/>
      <c r="AA22" s="1047">
        <v>1</v>
      </c>
      <c r="AB22" s="1047">
        <v>1</v>
      </c>
      <c r="AC22" s="1047">
        <v>1</v>
      </c>
    </row>
    <row r="23" spans="1:29" s="1011" customFormat="1" ht="15">
      <c r="A23" s="1126"/>
      <c r="B23" s="1127" t="s">
        <v>1720</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13"/>
      <c r="Q23" s="811" t="str">
        <f t="shared" si="8"/>
        <v>公共配套设施</v>
      </c>
      <c r="R23" s="1067" t="s">
        <v>1707</v>
      </c>
      <c r="S23" s="1068">
        <f>F23</f>
        <v>100</v>
      </c>
      <c r="T23" s="1067" t="s">
        <v>1707</v>
      </c>
      <c r="U23" s="1068">
        <f>H23</f>
        <v>100</v>
      </c>
      <c r="V23" s="1067" t="s">
        <v>1707</v>
      </c>
      <c r="W23" s="1068">
        <f>J23</f>
        <v>100</v>
      </c>
      <c r="X23" s="1069"/>
      <c r="Y23" s="3413"/>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13"/>
      <c r="Q24" s="811"/>
      <c r="R24" s="1067"/>
      <c r="S24" s="1068"/>
      <c r="T24" s="1067"/>
      <c r="U24" s="1068"/>
      <c r="V24" s="1067"/>
      <c r="W24" s="1068"/>
      <c r="X24" s="1069"/>
      <c r="Y24" s="3413"/>
      <c r="Z24" s="1071"/>
      <c r="AA24" s="1071">
        <v>1</v>
      </c>
      <c r="AB24" s="1071">
        <v>1</v>
      </c>
      <c r="AC24" s="1071">
        <v>1</v>
      </c>
    </row>
    <row r="25" spans="1:29" s="1011" customFormat="1" ht="15">
      <c r="A25" s="1126"/>
      <c r="B25" s="1127" t="s">
        <v>1721</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13"/>
      <c r="Q25" s="811" t="str">
        <f t="shared" ref="Q25" si="9">B25</f>
        <v>基础设施水平</v>
      </c>
      <c r="R25" s="1067" t="s">
        <v>1707</v>
      </c>
      <c r="S25" s="1068">
        <f>F25</f>
        <v>100</v>
      </c>
      <c r="T25" s="1067" t="s">
        <v>1707</v>
      </c>
      <c r="U25" s="1068">
        <f>H25</f>
        <v>100</v>
      </c>
      <c r="V25" s="1067" t="s">
        <v>1707</v>
      </c>
      <c r="W25" s="1068">
        <f>J25</f>
        <v>100</v>
      </c>
      <c r="X25" s="1069"/>
      <c r="Y25" s="3413"/>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13"/>
      <c r="Q26" s="811"/>
      <c r="R26" s="1067"/>
      <c r="S26" s="1068"/>
      <c r="T26" s="1067"/>
      <c r="U26" s="1068"/>
      <c r="V26" s="1067"/>
      <c r="W26" s="1068"/>
      <c r="X26" s="1069"/>
      <c r="Y26" s="3413"/>
      <c r="Z26" s="1071"/>
      <c r="AA26" s="1071">
        <v>1</v>
      </c>
      <c r="AB26" s="1071">
        <v>1</v>
      </c>
      <c r="AC26" s="1071">
        <v>1</v>
      </c>
    </row>
    <row r="27" spans="1:29" ht="15">
      <c r="A27" s="1086"/>
      <c r="B27" s="1122" t="s">
        <v>1781</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13"/>
      <c r="Q27" s="707" t="str">
        <f t="shared" si="8"/>
        <v>临街状况</v>
      </c>
      <c r="R27" s="1109" t="s">
        <v>1707</v>
      </c>
      <c r="S27" s="1110">
        <f t="shared" ref="S27:S40" si="10">F27</f>
        <v>100</v>
      </c>
      <c r="T27" s="1109" t="s">
        <v>1707</v>
      </c>
      <c r="U27" s="1110">
        <f t="shared" ref="U27:U40" si="11">H27</f>
        <v>100</v>
      </c>
      <c r="V27" s="1109" t="s">
        <v>1707</v>
      </c>
      <c r="W27" s="1110">
        <f t="shared" ref="W27:W40" si="12">J27</f>
        <v>100</v>
      </c>
      <c r="X27" s="1048"/>
      <c r="Y27" s="3413"/>
      <c r="Z27" s="1047" t="str">
        <f t="shared" ref="Z27:Z40" si="13">Q27</f>
        <v>临街状况</v>
      </c>
      <c r="AA27" s="1047">
        <f t="shared" si="3"/>
        <v>1</v>
      </c>
      <c r="AB27" s="1047">
        <f t="shared" si="4"/>
        <v>1</v>
      </c>
      <c r="AC27" s="1047">
        <f t="shared" si="5"/>
        <v>1</v>
      </c>
    </row>
    <row r="28" spans="1:29" ht="27">
      <c r="A28" s="1086"/>
      <c r="B28" s="1127" t="s">
        <v>1794</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13"/>
      <c r="Q28" s="707" t="str">
        <f t="shared" si="8"/>
        <v>毗邻道路的类型与等级</v>
      </c>
      <c r="R28" s="1109" t="s">
        <v>1707</v>
      </c>
      <c r="S28" s="1110">
        <f t="shared" si="10"/>
        <v>100</v>
      </c>
      <c r="T28" s="1109" t="s">
        <v>1707</v>
      </c>
      <c r="U28" s="1110">
        <f t="shared" si="11"/>
        <v>100</v>
      </c>
      <c r="V28" s="1109" t="s">
        <v>1707</v>
      </c>
      <c r="W28" s="1110">
        <f t="shared" si="12"/>
        <v>100</v>
      </c>
      <c r="X28" s="1048"/>
      <c r="Y28" s="3413"/>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13"/>
      <c r="Q29" s="707"/>
      <c r="R29" s="1109"/>
      <c r="S29" s="1110"/>
      <c r="T29" s="1109"/>
      <c r="U29" s="1110"/>
      <c r="V29" s="1109"/>
      <c r="W29" s="1110"/>
      <c r="X29" s="1048"/>
      <c r="Y29" s="3413"/>
      <c r="Z29" s="1047"/>
      <c r="AA29" s="1047">
        <v>1</v>
      </c>
      <c r="AB29" s="1047">
        <v>1</v>
      </c>
      <c r="AC29" s="1047">
        <v>1</v>
      </c>
    </row>
    <row r="30" spans="1:29" ht="15">
      <c r="A30" s="1086"/>
      <c r="B30" s="1081" t="s">
        <v>1824</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13"/>
      <c r="Q30" s="707" t="str">
        <f t="shared" si="8"/>
        <v>土地级别</v>
      </c>
      <c r="R30" s="1109" t="s">
        <v>1707</v>
      </c>
      <c r="S30" s="1110">
        <f t="shared" si="10"/>
        <v>100</v>
      </c>
      <c r="T30" s="1109" t="s">
        <v>1707</v>
      </c>
      <c r="U30" s="1110">
        <f t="shared" si="11"/>
        <v>100</v>
      </c>
      <c r="V30" s="1109" t="s">
        <v>1707</v>
      </c>
      <c r="W30" s="1110">
        <f t="shared" si="12"/>
        <v>100</v>
      </c>
      <c r="X30" s="1048"/>
      <c r="Y30" s="3413"/>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13"/>
      <c r="Q31" s="707">
        <f t="shared" si="8"/>
        <v>111</v>
      </c>
      <c r="R31" s="1109" t="s">
        <v>1707</v>
      </c>
      <c r="S31" s="1110">
        <f t="shared" si="10"/>
        <v>100</v>
      </c>
      <c r="T31" s="1109" t="s">
        <v>1707</v>
      </c>
      <c r="U31" s="1110">
        <f t="shared" si="11"/>
        <v>100</v>
      </c>
      <c r="V31" s="1109" t="s">
        <v>1707</v>
      </c>
      <c r="W31" s="1110">
        <f t="shared" si="12"/>
        <v>100</v>
      </c>
      <c r="X31" s="1048"/>
      <c r="Y31" s="3413"/>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9" t="s">
        <v>1727</v>
      </c>
      <c r="Q32" s="707">
        <f t="shared" si="8"/>
        <v>111</v>
      </c>
      <c r="R32" s="1109" t="s">
        <v>1707</v>
      </c>
      <c r="S32" s="1110">
        <f t="shared" si="10"/>
        <v>100</v>
      </c>
      <c r="T32" s="1109" t="s">
        <v>1707</v>
      </c>
      <c r="U32" s="1110">
        <f t="shared" si="11"/>
        <v>100</v>
      </c>
      <c r="V32" s="1109" t="s">
        <v>1707</v>
      </c>
      <c r="W32" s="1110">
        <f t="shared" si="12"/>
        <v>100</v>
      </c>
      <c r="X32" s="1048"/>
      <c r="Y32" s="3414" t="s">
        <v>1727</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14"/>
      <c r="Q33" s="707">
        <f t="shared" si="8"/>
        <v>111</v>
      </c>
      <c r="R33" s="1147" t="s">
        <v>1707</v>
      </c>
      <c r="S33" s="1148">
        <f t="shared" si="10"/>
        <v>100</v>
      </c>
      <c r="T33" s="1147" t="s">
        <v>1707</v>
      </c>
      <c r="U33" s="1148">
        <f t="shared" si="11"/>
        <v>100</v>
      </c>
      <c r="V33" s="1147" t="s">
        <v>1707</v>
      </c>
      <c r="W33" s="1148">
        <f t="shared" si="12"/>
        <v>100</v>
      </c>
      <c r="X33" s="1149"/>
      <c r="Y33" s="3414"/>
      <c r="Z33" s="1150">
        <f t="shared" si="13"/>
        <v>111</v>
      </c>
      <c r="AA33" s="1047">
        <f t="shared" si="3"/>
        <v>1</v>
      </c>
      <c r="AB33" s="1047">
        <f t="shared" si="4"/>
        <v>1</v>
      </c>
      <c r="AC33" s="1047">
        <f t="shared" si="5"/>
        <v>1</v>
      </c>
    </row>
    <row r="34" spans="1:31" ht="15">
      <c r="A34" s="1103" t="s">
        <v>1725</v>
      </c>
      <c r="B34" s="1151" t="s">
        <v>1825</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14"/>
      <c r="Q34" s="707" t="str">
        <f t="shared" si="8"/>
        <v>宗地面积</v>
      </c>
      <c r="R34" s="1109" t="s">
        <v>1707</v>
      </c>
      <c r="S34" s="1110" t="e">
        <f t="shared" si="10"/>
        <v>#N/A</v>
      </c>
      <c r="T34" s="1109" t="s">
        <v>1707</v>
      </c>
      <c r="U34" s="1110" t="e">
        <f t="shared" si="11"/>
        <v>#N/A</v>
      </c>
      <c r="V34" s="1109" t="s">
        <v>1707</v>
      </c>
      <c r="W34" s="1110" t="e">
        <f t="shared" si="12"/>
        <v>#N/A</v>
      </c>
      <c r="X34" s="1048"/>
      <c r="Y34" s="3414"/>
      <c r="Z34" s="1047" t="str">
        <f t="shared" si="13"/>
        <v>宗地面积</v>
      </c>
      <c r="AA34" s="1047" t="e">
        <f t="shared" si="3"/>
        <v>#N/A</v>
      </c>
      <c r="AB34" s="1047" t="e">
        <f t="shared" si="4"/>
        <v>#N/A</v>
      </c>
      <c r="AC34" s="1047" t="e">
        <f t="shared" si="5"/>
        <v>#N/A</v>
      </c>
    </row>
    <row r="35" spans="1:31" ht="15">
      <c r="A35" s="1154"/>
      <c r="B35" s="1079" t="s">
        <v>1826</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14"/>
      <c r="Q35" s="707" t="str">
        <f t="shared" ref="Q35:Q40" si="14">B35</f>
        <v>宗地形状</v>
      </c>
      <c r="R35" s="1109" t="s">
        <v>1707</v>
      </c>
      <c r="S35" s="1110">
        <f t="shared" si="10"/>
        <v>100</v>
      </c>
      <c r="T35" s="1109" t="s">
        <v>1707</v>
      </c>
      <c r="U35" s="1110">
        <f t="shared" si="11"/>
        <v>100</v>
      </c>
      <c r="V35" s="1109" t="s">
        <v>1707</v>
      </c>
      <c r="W35" s="1110">
        <f t="shared" si="12"/>
        <v>100</v>
      </c>
      <c r="X35" s="1048"/>
      <c r="Y35" s="3414"/>
      <c r="Z35" s="1047" t="str">
        <f t="shared" si="13"/>
        <v>宗地形状</v>
      </c>
      <c r="AA35" s="1047">
        <f t="shared" si="3"/>
        <v>1</v>
      </c>
      <c r="AB35" s="1047">
        <f t="shared" si="4"/>
        <v>1</v>
      </c>
      <c r="AC35" s="1047">
        <f t="shared" si="5"/>
        <v>1</v>
      </c>
    </row>
    <row r="36" spans="1:31" s="1011" customFormat="1" ht="15">
      <c r="A36" s="1156"/>
      <c r="B36" s="1079" t="s">
        <v>1828</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14"/>
      <c r="Q36" s="707" t="str">
        <f t="shared" si="14"/>
        <v>宗地开发程度</v>
      </c>
      <c r="R36" s="1067" t="s">
        <v>1707</v>
      </c>
      <c r="S36" s="1068">
        <f t="shared" si="10"/>
        <v>100</v>
      </c>
      <c r="T36" s="1067" t="s">
        <v>1707</v>
      </c>
      <c r="U36" s="1068">
        <f t="shared" si="11"/>
        <v>100</v>
      </c>
      <c r="V36" s="1067" t="s">
        <v>1707</v>
      </c>
      <c r="W36" s="1068">
        <f t="shared" si="12"/>
        <v>100</v>
      </c>
      <c r="X36" s="1069"/>
      <c r="Y36" s="3414"/>
      <c r="Z36" s="1071" t="str">
        <f t="shared" si="13"/>
        <v>宗地开发程度</v>
      </c>
      <c r="AA36" s="1071">
        <f t="shared" si="3"/>
        <v>1</v>
      </c>
      <c r="AB36" s="1071">
        <f t="shared" si="4"/>
        <v>1</v>
      </c>
      <c r="AC36" s="1071">
        <f t="shared" si="5"/>
        <v>1</v>
      </c>
    </row>
    <row r="37" spans="1:31" ht="15">
      <c r="A37" s="1154"/>
      <c r="B37" s="1079" t="s">
        <v>1829</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14" t="s">
        <v>1727</v>
      </c>
      <c r="Q37" s="707" t="str">
        <f t="shared" si="14"/>
        <v>工程地质条件</v>
      </c>
      <c r="R37" s="1109" t="s">
        <v>1707</v>
      </c>
      <c r="S37" s="1110">
        <f t="shared" si="10"/>
        <v>100</v>
      </c>
      <c r="T37" s="1109" t="s">
        <v>1707</v>
      </c>
      <c r="U37" s="1110">
        <f t="shared" si="11"/>
        <v>100</v>
      </c>
      <c r="V37" s="1109" t="s">
        <v>1707</v>
      </c>
      <c r="W37" s="1110">
        <f t="shared" si="12"/>
        <v>100</v>
      </c>
      <c r="X37" s="1048"/>
      <c r="Y37" s="3414" t="s">
        <v>1727</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14"/>
      <c r="Q38" s="707">
        <f t="shared" si="14"/>
        <v>111</v>
      </c>
      <c r="R38" s="1109" t="s">
        <v>1707</v>
      </c>
      <c r="S38" s="1110">
        <f t="shared" si="10"/>
        <v>100</v>
      </c>
      <c r="T38" s="1109" t="s">
        <v>1707</v>
      </c>
      <c r="U38" s="1110">
        <f t="shared" si="11"/>
        <v>100</v>
      </c>
      <c r="V38" s="1109" t="s">
        <v>1707</v>
      </c>
      <c r="W38" s="1110">
        <f t="shared" si="12"/>
        <v>100</v>
      </c>
      <c r="X38" s="1048"/>
      <c r="Y38" s="3414"/>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14"/>
      <c r="Q39" s="707">
        <f t="shared" si="14"/>
        <v>111</v>
      </c>
      <c r="R39" s="1109" t="s">
        <v>1707</v>
      </c>
      <c r="S39" s="1110">
        <f t="shared" si="10"/>
        <v>100</v>
      </c>
      <c r="T39" s="1109" t="s">
        <v>1707</v>
      </c>
      <c r="U39" s="1110">
        <f t="shared" si="11"/>
        <v>100</v>
      </c>
      <c r="V39" s="1109" t="s">
        <v>1707</v>
      </c>
      <c r="W39" s="1110">
        <f t="shared" si="12"/>
        <v>100</v>
      </c>
      <c r="X39" s="1048"/>
      <c r="Y39" s="3414"/>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14"/>
      <c r="Q40" s="707">
        <f t="shared" si="14"/>
        <v>111</v>
      </c>
      <c r="R40" s="1147" t="s">
        <v>1707</v>
      </c>
      <c r="S40" s="1148">
        <f t="shared" si="10"/>
        <v>100</v>
      </c>
      <c r="T40" s="1147" t="s">
        <v>1707</v>
      </c>
      <c r="U40" s="1148">
        <f t="shared" si="11"/>
        <v>100</v>
      </c>
      <c r="V40" s="1147" t="s">
        <v>1707</v>
      </c>
      <c r="W40" s="1148">
        <f t="shared" si="12"/>
        <v>100</v>
      </c>
      <c r="X40" s="1149"/>
      <c r="Y40" s="3414"/>
      <c r="Z40" s="1150">
        <f t="shared" si="13"/>
        <v>111</v>
      </c>
      <c r="AA40" s="1047">
        <f t="shared" si="3"/>
        <v>1</v>
      </c>
      <c r="AB40" s="1047">
        <f t="shared" si="4"/>
        <v>1</v>
      </c>
      <c r="AC40" s="1047">
        <f t="shared" si="5"/>
        <v>1</v>
      </c>
    </row>
    <row r="41" spans="1:31" ht="15">
      <c r="A41" s="1162" t="s">
        <v>1811</v>
      </c>
      <c r="B41" s="1163" t="s">
        <v>1864</v>
      </c>
      <c r="C41" s="1164" t="s">
        <v>124</v>
      </c>
      <c r="D41" s="1165"/>
      <c r="E41" s="1166"/>
      <c r="F41" s="1167"/>
      <c r="G41" s="1168"/>
      <c r="H41" s="1169"/>
      <c r="I41" s="1166"/>
      <c r="J41" s="1169"/>
      <c r="K41" s="1170"/>
      <c r="L41" s="1171"/>
      <c r="M41" s="1044"/>
      <c r="N41" s="1044"/>
      <c r="O41" s="1044"/>
      <c r="P41" s="3404" t="str">
        <f>A41</f>
        <v>成交单价</v>
      </c>
      <c r="Q41" s="3404"/>
      <c r="R41" s="3405">
        <f>E41</f>
        <v>0</v>
      </c>
      <c r="S41" s="3405"/>
      <c r="T41" s="3405">
        <f>G41</f>
        <v>0</v>
      </c>
      <c r="U41" s="3405"/>
      <c r="V41" s="3405">
        <f>I41</f>
        <v>0</v>
      </c>
      <c r="W41" s="3405"/>
      <c r="X41" s="1172"/>
      <c r="Y41" s="1173"/>
      <c r="Z41" s="1172"/>
      <c r="AA41" s="1172"/>
      <c r="AB41" s="1172"/>
      <c r="AC41" s="1172"/>
    </row>
    <row r="42" spans="1:31" ht="15">
      <c r="A42" s="1174" t="s">
        <v>1739</v>
      </c>
      <c r="B42" s="1175"/>
      <c r="C42" s="1176" t="e">
        <f>R43</f>
        <v>#DIV/0!</v>
      </c>
      <c r="D42" s="1177" t="s">
        <v>1740</v>
      </c>
      <c r="E42" s="1176" t="e">
        <f>R42</f>
        <v>#DIV/0!</v>
      </c>
      <c r="F42" s="1178"/>
      <c r="G42" s="1179" t="e">
        <f>T42</f>
        <v>#DIV/0!</v>
      </c>
      <c r="H42" s="1178"/>
      <c r="I42" s="1176" t="e">
        <f>V42</f>
        <v>#DIV/0!</v>
      </c>
      <c r="J42" s="1178"/>
      <c r="K42" s="1180">
        <f>F42+H42+J42</f>
        <v>0</v>
      </c>
      <c r="L42" s="1171"/>
      <c r="M42" s="1044"/>
      <c r="N42" s="1044"/>
      <c r="O42" s="1044"/>
      <c r="P42" s="3404" t="str">
        <f>A42</f>
        <v>比较价值（元/平方米）</v>
      </c>
      <c r="Q42" s="3404"/>
      <c r="R42" s="3452" t="e">
        <f>ROUND(PRODUCT(R41,AA7:AA40),0)</f>
        <v>#DIV/0!</v>
      </c>
      <c r="S42" s="3452"/>
      <c r="T42" s="3452" t="e">
        <f>ROUND(PRODUCT(T41,AB7:AB40),0)</f>
        <v>#DIV/0!</v>
      </c>
      <c r="U42" s="3452"/>
      <c r="V42" s="3452" t="e">
        <f>ROUND(PRODUCT(V41,AC7:AC40),0)</f>
        <v>#DIV/0!</v>
      </c>
      <c r="W42" s="3452"/>
      <c r="X42" s="1172"/>
      <c r="Y42" s="1172"/>
      <c r="Z42" s="1172"/>
      <c r="AA42" s="1172"/>
      <c r="AB42" s="1172"/>
      <c r="AC42" s="1172"/>
    </row>
    <row r="43" spans="1:31" ht="15">
      <c r="A43" s="1181" t="s">
        <v>1741</v>
      </c>
      <c r="B43" s="1182"/>
      <c r="C43" s="1183" t="e">
        <f>R43</f>
        <v>#DIV/0!</v>
      </c>
      <c r="D43" s="1183"/>
      <c r="E43" s="1183"/>
      <c r="F43" s="1183"/>
      <c r="G43" s="1183"/>
      <c r="H43" s="1183"/>
      <c r="I43" s="1183"/>
      <c r="J43" s="1183"/>
      <c r="K43" s="1184"/>
      <c r="L43" s="1171"/>
      <c r="M43" s="1044"/>
      <c r="N43" s="1044"/>
      <c r="O43" s="1044"/>
      <c r="P43" s="3416" t="str">
        <f>A43</f>
        <v>估价对象XX用房的比较价值（楼面单价，元/平方米）</v>
      </c>
      <c r="Q43" s="3417"/>
      <c r="R43" s="3453" t="e">
        <f>ROUND(IF(D42="简单平均",AVERAGE(R42:W42),R42*F42+T42*H42+V42*J42),0)</f>
        <v>#DIV/0!</v>
      </c>
      <c r="S43" s="3453"/>
      <c r="T43" s="3453"/>
      <c r="U43" s="3453"/>
      <c r="V43" s="3453"/>
      <c r="W43" s="3453"/>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1742</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1743</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1744</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1832</v>
      </c>
      <c r="B50" s="1199" t="s">
        <v>1833</v>
      </c>
      <c r="C50" s="1200" t="s">
        <v>1834</v>
      </c>
      <c r="D50" s="1201" t="s">
        <v>1835</v>
      </c>
      <c r="E50" s="1202" t="s">
        <v>1836</v>
      </c>
      <c r="F50" s="1203" t="s">
        <v>1837</v>
      </c>
      <c r="G50" s="3389" t="s">
        <v>1838</v>
      </c>
      <c r="H50" s="3451"/>
      <c r="I50" s="1047" t="s">
        <v>1865</v>
      </c>
      <c r="J50" s="1047">
        <f>项目基本情况!F35</f>
        <v>0</v>
      </c>
      <c r="K50" s="1204" t="s">
        <v>1840</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1841</v>
      </c>
      <c r="B51" s="1206" t="e">
        <f>C43</f>
        <v>#DIV/0!</v>
      </c>
      <c r="C51" s="1207">
        <v>1</v>
      </c>
      <c r="D51" s="1208">
        <v>1</v>
      </c>
      <c r="E51" s="1207">
        <f>'数据-汇总表'!E8+'数据-汇总表'!E9</f>
        <v>39349.9</v>
      </c>
      <c r="F51" s="1209" t="e">
        <f t="shared" ref="F51:F60" si="15">ROUND(B51*E51/10000,0)</f>
        <v>#DIV/0!</v>
      </c>
      <c r="G51" s="3406"/>
      <c r="H51" s="3404"/>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1842</v>
      </c>
      <c r="B52" s="362" t="e">
        <f>ROUND($C$43*C52*D52,0)</f>
        <v>#DIV/0!</v>
      </c>
      <c r="C52" s="526">
        <f t="shared" ref="C52:C60" si="16">IF($C$50="北京市系数",I52,J52)</f>
        <v>0</v>
      </c>
      <c r="D52" s="1212">
        <v>0.25</v>
      </c>
      <c r="E52" s="1213"/>
      <c r="F52" s="1209" t="e">
        <f t="shared" si="15"/>
        <v>#DIV/0!</v>
      </c>
      <c r="G52" s="1214" t="s">
        <v>1843</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1844</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1845</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1846</v>
      </c>
      <c r="B56" s="362" t="e">
        <f t="shared" si="17"/>
        <v>#DIV/0!</v>
      </c>
      <c r="C56" s="526">
        <f t="shared" si="16"/>
        <v>0</v>
      </c>
      <c r="D56" s="1212">
        <v>0.25</v>
      </c>
      <c r="E56" s="361">
        <f>'数据-汇总表'!E11</f>
        <v>0</v>
      </c>
      <c r="F56" s="1209" t="e">
        <f t="shared" si="15"/>
        <v>#DIV/0!</v>
      </c>
      <c r="G56" s="1219" t="s">
        <v>1847</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1848</v>
      </c>
      <c r="B57" s="362" t="e">
        <f t="shared" si="17"/>
        <v>#DIV/0!</v>
      </c>
      <c r="C57" s="526">
        <f t="shared" si="16"/>
        <v>0</v>
      </c>
      <c r="D57" s="1212">
        <v>0.25</v>
      </c>
      <c r="E57" s="361">
        <f>'数据-汇总表'!E12</f>
        <v>0</v>
      </c>
      <c r="F57" s="1209" t="e">
        <f t="shared" si="15"/>
        <v>#DIV/0!</v>
      </c>
      <c r="G57" s="1220" t="s">
        <v>1849</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1850</v>
      </c>
      <c r="B58" s="362" t="e">
        <f t="shared" si="17"/>
        <v>#DIV/0!</v>
      </c>
      <c r="C58" s="526">
        <f t="shared" si="16"/>
        <v>0</v>
      </c>
      <c r="D58" s="1212">
        <v>0.25</v>
      </c>
      <c r="E58" s="361">
        <f>'数据-汇总表'!E13</f>
        <v>0</v>
      </c>
      <c r="F58" s="1209" t="e">
        <f t="shared" si="15"/>
        <v>#DIV/0!</v>
      </c>
      <c r="G58" s="1220" t="s">
        <v>1851</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1852</v>
      </c>
      <c r="B59" s="362" t="e">
        <f t="shared" si="17"/>
        <v>#DIV/0!</v>
      </c>
      <c r="C59" s="526">
        <f t="shared" si="16"/>
        <v>0</v>
      </c>
      <c r="D59" s="1212">
        <v>0.25</v>
      </c>
      <c r="E59" s="361">
        <f>'数据-汇总表'!E14</f>
        <v>7609.71</v>
      </c>
      <c r="F59" s="1209" t="e">
        <f t="shared" si="15"/>
        <v>#DIV/0!</v>
      </c>
      <c r="G59" s="1219" t="s">
        <v>1843</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1853</v>
      </c>
      <c r="B60" s="362" t="e">
        <f t="shared" si="17"/>
        <v>#DIV/0!</v>
      </c>
      <c r="C60" s="526">
        <f t="shared" si="16"/>
        <v>0</v>
      </c>
      <c r="D60" s="1212">
        <v>0.25</v>
      </c>
      <c r="E60" s="361">
        <f>'数据-汇总表'!E15</f>
        <v>0</v>
      </c>
      <c r="F60" s="1209" t="e">
        <f t="shared" si="15"/>
        <v>#DIV/0!</v>
      </c>
      <c r="G60" s="1221" t="s">
        <v>1847</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1854</v>
      </c>
      <c r="B61" s="1224" t="s">
        <v>1855</v>
      </c>
      <c r="C61" s="1224" t="s">
        <v>1855</v>
      </c>
      <c r="D61" s="1224" t="s">
        <v>1855</v>
      </c>
      <c r="E61" s="1224">
        <f>IF(B41="楼面地价",SUM(E51:E60),'数据-汇总表'!D3)</f>
        <v>11435.33</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1745</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1856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1866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1746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1708</v>
      </c>
      <c r="B68" s="1256"/>
      <c r="C68" s="1257" t="s">
        <v>1747</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1748</v>
      </c>
      <c r="B70" s="1265" t="s">
        <v>1711</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1714</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1715</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1716</v>
      </c>
      <c r="B83" s="1265" t="s">
        <v>1799</v>
      </c>
      <c r="C83" s="1308" t="s">
        <v>1749</v>
      </c>
      <c r="D83" s="1308" t="s">
        <v>1750</v>
      </c>
      <c r="E83" s="1308" t="s">
        <v>1751</v>
      </c>
      <c r="F83" s="1308" t="s">
        <v>1752</v>
      </c>
      <c r="G83" s="1308" t="s">
        <v>1753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1719</v>
      </c>
      <c r="C85" s="1313" t="s">
        <v>1749</v>
      </c>
      <c r="D85" s="1313" t="s">
        <v>1750</v>
      </c>
      <c r="E85" s="1313" t="s">
        <v>1751</v>
      </c>
      <c r="F85" s="1313" t="s">
        <v>1752</v>
      </c>
      <c r="G85" s="1313" t="s">
        <v>1753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1822</v>
      </c>
      <c r="C87" s="1308" t="s">
        <v>1749</v>
      </c>
      <c r="D87" s="1308" t="s">
        <v>1750</v>
      </c>
      <c r="E87" s="1308" t="s">
        <v>1751</v>
      </c>
      <c r="F87" s="1308" t="s">
        <v>1752</v>
      </c>
      <c r="G87" s="1308" t="s">
        <v>1753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1823</v>
      </c>
      <c r="C89" s="1308" t="s">
        <v>1749</v>
      </c>
      <c r="D89" s="1308" t="s">
        <v>1750</v>
      </c>
      <c r="E89" s="1308" t="s">
        <v>1751</v>
      </c>
      <c r="F89" s="1308" t="s">
        <v>1752</v>
      </c>
      <c r="G89" s="1308" t="s">
        <v>1753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1720</v>
      </c>
      <c r="C91" s="1308" t="s">
        <v>1749</v>
      </c>
      <c r="D91" s="1308" t="s">
        <v>1750</v>
      </c>
      <c r="E91" s="1308" t="s">
        <v>1751</v>
      </c>
      <c r="F91" s="1308" t="s">
        <v>1752</v>
      </c>
      <c r="G91" s="1308" t="s">
        <v>1753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1721</v>
      </c>
      <c r="C93" s="1116" t="s">
        <v>1754</v>
      </c>
      <c r="D93" s="1116" t="s">
        <v>1755</v>
      </c>
      <c r="E93" s="1116" t="s">
        <v>1756</v>
      </c>
      <c r="F93" s="1116" t="s">
        <v>1757</v>
      </c>
      <c r="G93" s="1116" t="s">
        <v>1758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1858</v>
      </c>
      <c r="D95" s="1275" t="s">
        <v>1859</v>
      </c>
      <c r="E95" s="1275" t="s">
        <v>1860</v>
      </c>
      <c r="F95" s="1275" t="s">
        <v>1861</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1794</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1824</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1725</v>
      </c>
      <c r="B107" s="1265" t="s">
        <v>1825</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1826</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1828</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1829</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1867</v>
      </c>
      <c r="C1" s="3458" t="s">
        <v>1868</v>
      </c>
      <c r="D1" s="3459"/>
      <c r="E1" s="3459"/>
      <c r="F1" s="3459"/>
      <c r="G1" s="3459"/>
      <c r="H1" s="3459"/>
      <c r="I1" s="3459"/>
      <c r="J1" s="3459"/>
      <c r="K1" s="3459"/>
      <c r="L1" s="3459"/>
      <c r="M1" s="3459"/>
      <c r="N1" s="3459"/>
      <c r="O1" s="3459"/>
      <c r="P1" s="3459"/>
      <c r="Q1" s="3459"/>
      <c r="R1" s="3459"/>
      <c r="S1" s="3460"/>
      <c r="T1" s="903" t="s">
        <v>1869</v>
      </c>
    </row>
    <row r="2" spans="1:45" s="895" customFormat="1">
      <c r="A2" s="904"/>
      <c r="B2" s="905" t="s">
        <v>508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1870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1871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1872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1873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1874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1875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1876</v>
      </c>
      <c r="B17" s="969" t="s">
        <v>1877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1878</v>
      </c>
      <c r="E19" s="988"/>
      <c r="F19" s="988"/>
      <c r="G19" s="988"/>
      <c r="H19" s="989"/>
      <c r="I19" s="986"/>
      <c r="J19" s="986"/>
      <c r="K19" s="986"/>
      <c r="L19" s="986"/>
      <c r="M19" s="986"/>
      <c r="N19" s="986"/>
      <c r="O19" s="986"/>
      <c r="P19" s="986"/>
      <c r="Q19" s="986"/>
      <c r="R19" s="986"/>
      <c r="S19" s="985"/>
    </row>
    <row r="20" spans="1:45" ht="15.75">
      <c r="A20" s="990" t="s">
        <v>1879</v>
      </c>
      <c r="B20" s="991" t="e">
        <f ca="1">IF(D20="——",S22,S22-F20)</f>
        <v>#REF!</v>
      </c>
      <c r="C20" s="986"/>
      <c r="D20" s="992"/>
      <c r="E20" s="993"/>
      <c r="F20" s="903" t="e">
        <f ca="1">SUMIF(INDIRECT("'"&amp;H20&amp;"'"&amp;"!A:A"),"承租人权益价值",INDIRECT("'"&amp;H20&amp;"'"&amp;"!c:c"))</f>
        <v>#REF!</v>
      </c>
      <c r="G20" s="903" t="s">
        <v>861</v>
      </c>
      <c r="H20" s="994"/>
      <c r="I20" s="986"/>
      <c r="J20" s="986"/>
      <c r="K20" s="986"/>
      <c r="L20" s="986"/>
      <c r="M20" s="986"/>
      <c r="N20" s="986"/>
      <c r="O20" s="986"/>
      <c r="P20" s="986"/>
      <c r="Q20" s="986"/>
      <c r="R20" s="986"/>
      <c r="S20" s="985"/>
    </row>
    <row r="21" spans="1:45" ht="15.75">
      <c r="A21" s="990" t="s">
        <v>1880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1881</v>
      </c>
      <c r="B22" s="996">
        <f>SUM(B24:B10000)</f>
        <v>0</v>
      </c>
      <c r="C22" s="3461" t="s">
        <v>124</v>
      </c>
      <c r="D22" s="3462"/>
      <c r="E22" s="3462"/>
      <c r="F22" s="3462"/>
      <c r="G22" s="3462"/>
      <c r="H22" s="3462"/>
      <c r="I22" s="3462"/>
      <c r="J22" s="3462"/>
      <c r="K22" s="3462"/>
      <c r="L22" s="3462"/>
      <c r="M22" s="3462"/>
      <c r="N22" s="3462"/>
      <c r="O22" s="3462"/>
      <c r="P22" s="3462"/>
      <c r="Q22" s="3463"/>
      <c r="R22" s="996" t="e">
        <f>ROUND(S22*10000/B22,0)</f>
        <v>#DIV/0!</v>
      </c>
      <c r="S22" s="996">
        <f>SUM(S24:S10000)</f>
        <v>0</v>
      </c>
    </row>
    <row r="23" spans="1:45" s="898" customFormat="1" ht="24">
      <c r="A23" s="1000" t="s">
        <v>1882</v>
      </c>
      <c r="B23" s="1000" t="s">
        <v>508</v>
      </c>
      <c r="C23" s="1000" t="s">
        <v>1869</v>
      </c>
      <c r="D23" s="1000" t="str">
        <f>B5</f>
        <v>修正项2</v>
      </c>
      <c r="E23" s="1000" t="s">
        <v>1869</v>
      </c>
      <c r="F23" s="1000" t="str">
        <f>B7</f>
        <v>修正项3</v>
      </c>
      <c r="G23" s="1000" t="s">
        <v>1869</v>
      </c>
      <c r="H23" s="1000" t="str">
        <f>B9</f>
        <v>修正项4</v>
      </c>
      <c r="I23" s="1000" t="s">
        <v>1869</v>
      </c>
      <c r="J23" s="1000" t="str">
        <f>B11</f>
        <v>修正项5</v>
      </c>
      <c r="K23" s="1000" t="s">
        <v>1869</v>
      </c>
      <c r="L23" s="1000" t="str">
        <f>B13</f>
        <v>修正项6</v>
      </c>
      <c r="M23" s="1000" t="s">
        <v>1869</v>
      </c>
      <c r="N23" s="1000" t="str">
        <f>B15</f>
        <v>修正项7</v>
      </c>
      <c r="O23" s="1000" t="s">
        <v>1869</v>
      </c>
      <c r="P23" s="1000" t="str">
        <f>B17</f>
        <v>楼层</v>
      </c>
      <c r="Q23" s="1000" t="s">
        <v>1869</v>
      </c>
      <c r="R23" s="1000" t="s">
        <v>1883</v>
      </c>
      <c r="S23" s="1000" t="s">
        <v>1884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1885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1886</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1887</v>
      </c>
      <c r="D2" s="886" t="s">
        <v>1888</v>
      </c>
      <c r="E2" s="888">
        <f ca="1">SUMIF(E6:E13,"&lt;&gt;#ref!",E6:E13)</f>
        <v>0</v>
      </c>
      <c r="F2" s="885"/>
      <c r="G2" s="885"/>
      <c r="H2" s="885"/>
      <c r="I2" s="885"/>
      <c r="J2" s="885"/>
      <c r="K2" s="885"/>
      <c r="L2" s="885"/>
      <c r="M2" s="885"/>
      <c r="N2" s="885"/>
      <c r="O2" s="885"/>
      <c r="P2" s="885"/>
    </row>
    <row r="3" spans="1:16" ht="15.75">
      <c r="A3" s="886" t="s">
        <v>1889</v>
      </c>
      <c r="B3" s="887" t="e">
        <f ca="1">ROUND(B2*10000/E2,0)</f>
        <v>#DIV/0!</v>
      </c>
      <c r="C3" s="886" t="s">
        <v>1890</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1891</v>
      </c>
      <c r="B5" s="891" t="s">
        <v>1892</v>
      </c>
      <c r="C5" s="892"/>
      <c r="D5" s="885"/>
      <c r="E5" s="893" t="s">
        <v>1893</v>
      </c>
      <c r="F5" s="885"/>
      <c r="G5" s="885"/>
      <c r="H5" s="885"/>
      <c r="I5" s="885"/>
      <c r="J5" s="885"/>
      <c r="K5" s="885"/>
      <c r="L5" s="885"/>
      <c r="M5" s="885"/>
      <c r="N5" s="885"/>
      <c r="O5" s="885"/>
      <c r="P5" s="885"/>
    </row>
    <row r="6" spans="1:16" ht="15.75">
      <c r="A6" s="894" t="s">
        <v>1894</v>
      </c>
      <c r="B6" s="887" t="e">
        <f ca="1">SUMIF(INDIRECT("'"&amp;A6&amp;"'"&amp;"!A:A"),"总价",INDIRECT("'"&amp;A6&amp;"'"&amp;"!B:B"))</f>
        <v>#DIV/0!</v>
      </c>
      <c r="C6" s="886" t="s">
        <v>1887</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1887</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1887</v>
      </c>
      <c r="D8" s="885"/>
      <c r="E8" s="888" t="e">
        <f t="shared" ca="1" si="0"/>
        <v>#REF!</v>
      </c>
      <c r="F8" s="885"/>
      <c r="G8" s="885"/>
      <c r="H8" s="885"/>
      <c r="I8" s="885"/>
      <c r="J8" s="885"/>
      <c r="K8" s="885"/>
      <c r="L8" s="885"/>
      <c r="M8" s="885"/>
      <c r="N8" s="885"/>
      <c r="O8" s="885"/>
      <c r="P8" s="885"/>
    </row>
    <row r="9" spans="1:16" ht="15.75">
      <c r="A9" s="894"/>
      <c r="B9" s="887" t="e">
        <f t="shared" ca="1" si="1"/>
        <v>#REF!</v>
      </c>
      <c r="C9" s="886" t="s">
        <v>1887</v>
      </c>
      <c r="D9" s="885"/>
      <c r="E9" s="888" t="e">
        <f t="shared" ca="1" si="0"/>
        <v>#REF!</v>
      </c>
      <c r="F9" s="885"/>
      <c r="G9" s="885"/>
      <c r="H9" s="885"/>
      <c r="I9" s="885"/>
      <c r="J9" s="885"/>
      <c r="K9" s="885"/>
      <c r="L9" s="885"/>
      <c r="M9" s="885"/>
      <c r="N9" s="885"/>
      <c r="O9" s="885"/>
      <c r="P9" s="885"/>
    </row>
    <row r="10" spans="1:16" ht="15.75">
      <c r="A10" s="894"/>
      <c r="B10" s="887" t="e">
        <f t="shared" ca="1" si="1"/>
        <v>#REF!</v>
      </c>
      <c r="C10" s="886" t="s">
        <v>1887</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1887</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1887</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1887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40761</v>
      </c>
    </row>
    <row r="6" spans="1:5" ht="15.75">
      <c r="B6" s="3180"/>
      <c r="C6" s="3132" t="s">
        <v>98</v>
      </c>
      <c r="D6" s="3133" t="str">
        <f ca="1">NUMBERSTRING(INT(D5*10000),2)&amp;"元整"</f>
        <v>肆亿零柒佰陆拾壹万元整</v>
      </c>
    </row>
    <row r="7" spans="1:5" ht="15.75">
      <c r="B7" s="3181"/>
      <c r="C7" s="3134" t="s">
        <v>99</v>
      </c>
      <c r="D7" s="3135">
        <f ca="1">结果表!H102</f>
        <v>8058</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40761</v>
      </c>
    </row>
    <row r="14" spans="1:5" ht="15.75">
      <c r="B14" s="3180"/>
      <c r="C14" s="3132" t="s">
        <v>98</v>
      </c>
      <c r="D14" s="3133" t="str">
        <f ca="1">NUMBERSTRING(INT(D13*10000),2)&amp;"元整"</f>
        <v>肆亿零柒佰陆拾壹万元整</v>
      </c>
    </row>
    <row r="15" spans="1:5" ht="15">
      <c r="B15" s="3181"/>
      <c r="C15" s="3134" t="s">
        <v>99</v>
      </c>
      <c r="D15" s="3142">
        <f ca="1">结果表!H108</f>
        <v>8058</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1895</v>
      </c>
      <c r="B1" s="342"/>
      <c r="C1" s="345" t="s">
        <v>1691</v>
      </c>
      <c r="D1" s="513">
        <f>SUM(D33:D34,D37:D42)</f>
        <v>0</v>
      </c>
      <c r="E1" s="514"/>
      <c r="F1" s="514"/>
      <c r="G1" s="514"/>
      <c r="H1" s="514"/>
      <c r="I1" s="514"/>
      <c r="J1" s="514"/>
      <c r="K1" s="506"/>
      <c r="L1" s="515" t="s">
        <v>1896</v>
      </c>
      <c r="M1" s="516">
        <f>SUMPRODUCT((区片价!B5:B9=I2)*(区片价!C3:G3=E2)*(区片价!C5:G9))</f>
        <v>0</v>
      </c>
      <c r="N1" s="517">
        <f>SUMPRODUCT((因素修正幅度!B5:B9=I2)*(因素修正幅度!C3:G3=E2)*(因素修正幅度!C5:G9))</f>
        <v>0</v>
      </c>
      <c r="O1" s="507"/>
      <c r="P1" s="507"/>
      <c r="Q1" s="506"/>
      <c r="R1" s="518" t="s">
        <v>1897</v>
      </c>
      <c r="S1" s="518" t="s">
        <v>1898</v>
      </c>
      <c r="T1" s="518" t="s">
        <v>1899</v>
      </c>
      <c r="U1" s="518" t="s">
        <v>1900</v>
      </c>
      <c r="V1" s="518" t="s">
        <v>1901</v>
      </c>
      <c r="W1" s="519"/>
      <c r="X1" s="519"/>
      <c r="Y1" s="519"/>
      <c r="Z1" s="519"/>
      <c r="AA1" s="519"/>
      <c r="AB1" s="519"/>
      <c r="AC1" s="520"/>
      <c r="AD1" s="521"/>
      <c r="AE1" s="521"/>
      <c r="AF1" s="521"/>
      <c r="AG1" s="521"/>
      <c r="AH1" s="521"/>
      <c r="AI1" s="521"/>
      <c r="AJ1" s="522"/>
    </row>
    <row r="2" spans="1:36" ht="15.75">
      <c r="A2" s="345" t="s">
        <v>1045</v>
      </c>
      <c r="B2" s="349" t="e">
        <f>C30</f>
        <v>#DIV/0!</v>
      </c>
      <c r="C2" s="523" t="s">
        <v>1046</v>
      </c>
      <c r="D2" s="524" t="s">
        <v>1902</v>
      </c>
      <c r="E2" s="525"/>
      <c r="F2" s="524" t="s">
        <v>1903</v>
      </c>
      <c r="G2" s="526">
        <f>IF(E2="商业",项目基本情况!B37,IF(E2="办公",项目基本情况!C37,IF(E2="住宅",项目基本情况!D37,IF(E2="工业",项目基本情况!E37,项目基本情况!F37))))</f>
        <v>0</v>
      </c>
      <c r="H2" s="524" t="s">
        <v>1904</v>
      </c>
      <c r="I2" s="526">
        <f>IF(E2="商业",项目基本情况!B38,IF(E2="办公",项目基本情况!C38,IF(E2="住宅",项目基本情况!D38,IF(E2="工业",项目基本情况!E38,项目基本情况!F38))))</f>
        <v>0</v>
      </c>
      <c r="J2" s="514"/>
      <c r="K2" s="506"/>
      <c r="L2" s="527" t="s">
        <v>1905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1047</v>
      </c>
      <c r="B3" s="349" t="e">
        <f>ROUND(B2*10000/D1,0)</f>
        <v>#DIV/0!</v>
      </c>
      <c r="C3" s="523" t="s">
        <v>1048</v>
      </c>
      <c r="D3" s="524" t="s">
        <v>1906</v>
      </c>
      <c r="E3" s="531"/>
      <c r="F3" s="532"/>
      <c r="G3" s="533">
        <f>IF(F3="宗地容积率",'数据-汇总表'!I4,IF(F3="估价对象容积率",'数据-汇总表'!I6,'数据-汇总表'!I7))</f>
        <v>0</v>
      </c>
      <c r="H3" s="524" t="s">
        <v>1907</v>
      </c>
      <c r="I3" s="534"/>
      <c r="J3" s="514" t="s">
        <v>1908</v>
      </c>
      <c r="K3" s="506"/>
      <c r="L3" s="527" t="s">
        <v>1909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464"/>
      <c r="B4" s="3465"/>
      <c r="C4" s="3465"/>
      <c r="D4" s="3466"/>
      <c r="E4" s="3466"/>
      <c r="F4" s="3466"/>
      <c r="G4" s="3466"/>
      <c r="H4" s="3466"/>
      <c r="I4" s="3466"/>
      <c r="J4" s="3467"/>
      <c r="K4" s="506"/>
      <c r="L4" s="527" t="s">
        <v>1910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951</v>
      </c>
      <c r="B5" s="536" t="s">
        <v>1911</v>
      </c>
      <c r="C5" s="537" t="e">
        <f>ROUND(IF(E2="商业",C6*C7*C17+C20,(IF(E2="住宅",C6*C13*C17+C20,IF(E2="办公",C6*C12*C17+C20,C6+C20)))),0)</f>
        <v>#DIV/0!</v>
      </c>
      <c r="D5" s="538" t="e">
        <f>ROUND(C6*C17+C20,0)</f>
        <v>#DIV/0!</v>
      </c>
      <c r="E5" s="538"/>
      <c r="F5" s="539"/>
      <c r="G5" s="540"/>
      <c r="H5" s="540"/>
      <c r="I5" s="540"/>
      <c r="J5" s="541"/>
      <c r="K5" s="542"/>
      <c r="L5" s="527" t="s">
        <v>1912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1050</v>
      </c>
      <c r="B6" s="547" t="s">
        <v>1913</v>
      </c>
      <c r="C6" s="548">
        <f>SUMIF(L1:L12,G2,M1:M12)</f>
        <v>0</v>
      </c>
      <c r="D6" s="549"/>
      <c r="E6" s="550"/>
      <c r="F6" s="550"/>
      <c r="G6" s="551"/>
      <c r="H6" s="551"/>
      <c r="I6" s="551"/>
      <c r="J6" s="552"/>
      <c r="K6" s="553"/>
      <c r="L6" s="527" t="s">
        <v>1914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1915</v>
      </c>
      <c r="B7" s="555" t="s">
        <v>1916</v>
      </c>
      <c r="C7" s="556" t="e">
        <f>IF(C8="不临65条商业街",1,ROUND(1+(1.6*E8+1.2*E9+0.8*E10+0.4*E11)*C9,4))</f>
        <v>#DIV/0!</v>
      </c>
      <c r="D7" s="557" t="s">
        <v>1917</v>
      </c>
      <c r="E7" s="558"/>
      <c r="F7" s="559"/>
      <c r="G7" s="560"/>
      <c r="H7" s="560"/>
      <c r="I7" s="560"/>
      <c r="J7" s="561"/>
      <c r="K7" s="553"/>
      <c r="L7" s="527" t="s">
        <v>1918</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1919</v>
      </c>
      <c r="X7" s="564">
        <f>G2</f>
        <v>0</v>
      </c>
      <c r="Y7" s="564" t="s">
        <v>1920</v>
      </c>
      <c r="Z7" s="565">
        <f>G3</f>
        <v>0</v>
      </c>
      <c r="AA7" s="519"/>
      <c r="AB7" s="519"/>
      <c r="AC7" s="520"/>
      <c r="AD7" s="521"/>
      <c r="AE7" s="521"/>
      <c r="AF7" s="521"/>
      <c r="AG7" s="521"/>
      <c r="AH7" s="521"/>
      <c r="AI7" s="521"/>
      <c r="AJ7" s="522"/>
    </row>
    <row r="8" spans="1:36" ht="15">
      <c r="A8" s="566"/>
      <c r="B8" s="524" t="s">
        <v>1921</v>
      </c>
      <c r="C8" s="567"/>
      <c r="D8" s="568" t="s">
        <v>1922</v>
      </c>
      <c r="E8" s="569" t="e">
        <f>ROUND(C11/E7,4)</f>
        <v>#DIV/0!</v>
      </c>
      <c r="F8" s="570" t="s">
        <v>1923</v>
      </c>
      <c r="G8" s="571"/>
      <c r="H8" s="571"/>
      <c r="I8" s="571"/>
      <c r="J8" s="572"/>
      <c r="K8" s="506"/>
      <c r="L8" s="527" t="s">
        <v>1924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68" t="s">
        <v>1925</v>
      </c>
      <c r="X8" s="3469"/>
      <c r="Y8" s="573" t="s">
        <v>1926</v>
      </c>
      <c r="Z8" s="573" t="s">
        <v>1927</v>
      </c>
      <c r="AA8" s="573" t="s">
        <v>1928</v>
      </c>
      <c r="AB8" s="573" t="s">
        <v>1929</v>
      </c>
      <c r="AC8" s="573" t="s">
        <v>1930</v>
      </c>
      <c r="AD8" s="573" t="s">
        <v>1931</v>
      </c>
      <c r="AE8" s="573" t="s">
        <v>1932</v>
      </c>
      <c r="AF8" s="573" t="s">
        <v>1933</v>
      </c>
      <c r="AG8" s="573" t="s">
        <v>1934</v>
      </c>
      <c r="AH8" s="573" t="s">
        <v>1935</v>
      </c>
      <c r="AI8" s="573" t="s">
        <v>1936</v>
      </c>
      <c r="AJ8" s="573" t="s">
        <v>1937</v>
      </c>
    </row>
    <row r="9" spans="1:36" ht="15">
      <c r="A9" s="566"/>
      <c r="B9" s="524" t="s">
        <v>1938</v>
      </c>
      <c r="C9" s="574">
        <f>SUMIF(修正!C73:C140,C8,修正!E73:E140)</f>
        <v>0</v>
      </c>
      <c r="D9" s="526" t="s">
        <v>1939</v>
      </c>
      <c r="E9" s="526" t="e">
        <f>ROUND(C11/E7,4)</f>
        <v>#DIV/0!</v>
      </c>
      <c r="F9" s="570" t="s">
        <v>1940</v>
      </c>
      <c r="G9" s="571"/>
      <c r="H9" s="571"/>
      <c r="I9" s="571"/>
      <c r="J9" s="572"/>
      <c r="K9" s="506"/>
      <c r="L9" s="527" t="s">
        <v>1941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82"/>
      <c r="X9" s="575" t="s">
        <v>1942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1943</v>
      </c>
      <c r="C10" s="526">
        <f>SUMIF(修正!C73:C140,C8,修正!F73:F140)</f>
        <v>0</v>
      </c>
      <c r="D10" s="526" t="s">
        <v>1944</v>
      </c>
      <c r="E10" s="526" t="e">
        <f>ROUND(C11/E7,4)</f>
        <v>#DIV/0!</v>
      </c>
      <c r="F10" s="570" t="s">
        <v>1945</v>
      </c>
      <c r="G10" s="571"/>
      <c r="H10" s="571"/>
      <c r="I10" s="571"/>
      <c r="J10" s="572"/>
      <c r="K10" s="506"/>
      <c r="L10" s="527" t="s">
        <v>1946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82"/>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1947</v>
      </c>
      <c r="C11" s="581">
        <f>C10/4</f>
        <v>0</v>
      </c>
      <c r="D11" s="581" t="s">
        <v>1948</v>
      </c>
      <c r="E11" s="581" t="e">
        <f>ROUND(C11/E7,4)</f>
        <v>#DIV/0!</v>
      </c>
      <c r="F11" s="582" t="s">
        <v>1949</v>
      </c>
      <c r="G11" s="583"/>
      <c r="H11" s="583"/>
      <c r="I11" s="583"/>
      <c r="J11" s="584"/>
      <c r="K11" s="506"/>
      <c r="L11" s="527" t="s">
        <v>1950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1951</v>
      </c>
      <c r="B12" s="587" t="s">
        <v>1952</v>
      </c>
      <c r="C12" s="588"/>
      <c r="D12" s="589" t="s">
        <v>1953</v>
      </c>
      <c r="E12" s="590" t="s">
        <v>1954</v>
      </c>
      <c r="F12" s="591"/>
      <c r="G12" s="592"/>
      <c r="H12" s="592"/>
      <c r="I12" s="592"/>
      <c r="J12" s="593"/>
      <c r="K12" s="506"/>
      <c r="L12" s="594" t="s">
        <v>1955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1956</v>
      </c>
      <c r="B13" s="596" t="s">
        <v>1957</v>
      </c>
      <c r="C13" s="556">
        <f>ROUND(C16*D16*E16*F16*G16*H16*I16*J16,4)</f>
        <v>0</v>
      </c>
      <c r="D13" s="597" t="s">
        <v>1958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1959</v>
      </c>
      <c r="C14" s="606" t="s">
        <v>1960</v>
      </c>
      <c r="D14" s="607" t="s">
        <v>1961</v>
      </c>
      <c r="E14" s="608" t="s">
        <v>1962</v>
      </c>
      <c r="F14" s="609" t="s">
        <v>1963</v>
      </c>
      <c r="G14" s="609" t="s">
        <v>1963</v>
      </c>
      <c r="H14" s="609" t="s">
        <v>1963</v>
      </c>
      <c r="I14" s="609" t="s">
        <v>1963</v>
      </c>
      <c r="J14" s="609" t="s">
        <v>1963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1964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1869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1965</v>
      </c>
      <c r="B17" s="623" t="s">
        <v>1966</v>
      </c>
      <c r="C17" s="624">
        <f>ROUND(IF(OR(E2="工业",E2="公共服务"),1,IF(AND(E18=0,E19=0),1,IF(AND(E18=J24,E19=G19),0.8,IF(E19=0,1+E17*(-0.2),1+E17*G17*(-0.2))))),4)</f>
        <v>1</v>
      </c>
      <c r="D17" s="625" t="s">
        <v>1967</v>
      </c>
      <c r="E17" s="624" t="e">
        <f>ROUND(G18/I18,2)</f>
        <v>#DIV/0!</v>
      </c>
      <c r="F17" s="625" t="s">
        <v>1968</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1969</v>
      </c>
      <c r="E18" s="632"/>
      <c r="F18" s="633" t="s">
        <v>1970</v>
      </c>
      <c r="G18" s="630">
        <f>ROUND(1-(1/(POWER(1+G24,E18))),4)</f>
        <v>0</v>
      </c>
      <c r="H18" s="633" t="s">
        <v>1971</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1972</v>
      </c>
      <c r="E19" s="642"/>
      <c r="F19" s="643" t="s">
        <v>1973</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74" t="s">
        <v>1974</v>
      </c>
      <c r="B20" s="648" t="s">
        <v>1975</v>
      </c>
      <c r="C20" s="649" t="e">
        <f>ROUND(IF(F21="与级别开发程度一致",0,(G21-E21)/C21),0)</f>
        <v>#DIV/0!</v>
      </c>
      <c r="D20" s="650" t="s">
        <v>1976</v>
      </c>
      <c r="E20" s="651"/>
      <c r="F20" s="3470" t="s">
        <v>1977</v>
      </c>
      <c r="G20" s="3471"/>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475"/>
      <c r="B21" s="656" t="s">
        <v>1978</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962</v>
      </c>
      <c r="B22" s="665" t="s">
        <v>1979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967</v>
      </c>
      <c r="B23" s="672" t="s">
        <v>1980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1981</v>
      </c>
      <c r="E23" s="675">
        <v>44197</v>
      </c>
      <c r="F23" s="674" t="s">
        <v>1982</v>
      </c>
      <c r="G23" s="676">
        <f>'数据-取费表'!B2</f>
        <v>45980</v>
      </c>
      <c r="H23" s="677"/>
      <c r="I23" s="678" t="str">
        <f>IF(H23="季度增幅（自定义）",SUMIF(N25:N28,E2,O25:O28),"")</f>
        <v/>
      </c>
      <c r="J23" s="679"/>
      <c r="K23" s="636"/>
      <c r="L23" s="680" t="s">
        <v>1983</v>
      </c>
      <c r="M23" s="681">
        <f>ROUND(SUMIF(地价!B2:G2,E2,地价!B16:G16),0)</f>
        <v>0</v>
      </c>
      <c r="N23" s="682" t="s">
        <v>1984</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970</v>
      </c>
      <c r="B24" s="685" t="s">
        <v>1985</v>
      </c>
      <c r="C24" s="686" t="e">
        <f>ROUND(POWER(1+G24,J24-I24)*(POWER(1+G24,I24)-1)/(POWER(1+G24,J24)-1),4)</f>
        <v>#DIV/0!</v>
      </c>
      <c r="D24" s="687" t="s">
        <v>1986</v>
      </c>
      <c r="E24" s="688">
        <f>存贷款利率!E28/100</f>
        <v>4.3499999999999997E-2</v>
      </c>
      <c r="F24" s="687" t="s">
        <v>1987</v>
      </c>
      <c r="G24" s="689">
        <f>SUMIF(M30:Q30,E2,M33:Q33)</f>
        <v>0</v>
      </c>
      <c r="H24" s="687" t="s">
        <v>1988</v>
      </c>
      <c r="I24" s="690" t="e">
        <f>SUMIF('数据-取费表'!C6:C15,E2,'数据-取费表'!F6:F15)/COUNTIF('数据-取费表'!C6:C15,E2)</f>
        <v>#DIV/0!</v>
      </c>
      <c r="J24" s="691">
        <f>IF(E2="住宅",70,IF(E2="商业",40,50))</f>
        <v>50</v>
      </c>
      <c r="K24" s="636"/>
      <c r="L24" s="692" t="s">
        <v>1989</v>
      </c>
      <c r="M24" s="693">
        <f>ROUND(SUMPRODUCT((地价!A4:A16=YEAR(G23)&amp;"-"&amp;ROUNDUP(MONTH(G23)/3,0))*(地价!B2:G2=E2)*(地价!B4:G16)),0)</f>
        <v>0</v>
      </c>
      <c r="N24" s="694" t="s">
        <v>1990</v>
      </c>
      <c r="O24" s="695" t="s">
        <v>1991</v>
      </c>
      <c r="P24" s="696" t="s">
        <v>1992</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992</v>
      </c>
      <c r="B25" s="698" t="s">
        <v>1993</v>
      </c>
      <c r="C25" s="699">
        <f>IF(B25="容积率修正",IF(G3&lt;10,D26,J26),C27)</f>
        <v>0</v>
      </c>
      <c r="D25" s="700"/>
      <c r="E25" s="700"/>
      <c r="F25" s="700"/>
      <c r="G25" s="700"/>
      <c r="H25" s="700"/>
      <c r="I25" s="700"/>
      <c r="J25" s="701"/>
      <c r="K25" s="636"/>
      <c r="L25" s="638"/>
      <c r="M25" s="638"/>
      <c r="N25" s="702" t="s">
        <v>1994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1995</v>
      </c>
      <c r="B26" s="706" t="s">
        <v>1996</v>
      </c>
      <c r="C26" s="706" t="s">
        <v>1997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1998</v>
      </c>
      <c r="J26" s="708" t="str">
        <f>IF(G3&gt;=10,D115,"——")</f>
        <v>——</v>
      </c>
      <c r="K26" s="636"/>
      <c r="L26" s="638"/>
      <c r="M26" s="638"/>
      <c r="N26" s="702" t="s">
        <v>1999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2000</v>
      </c>
      <c r="B27" s="709" t="s">
        <v>2001</v>
      </c>
      <c r="C27" s="710">
        <f>ROUND(IF(I3&lt;6,SUMPRODUCT((B106:B110=I3)*(C105:N105=G2)*(C106:N110)),SUMIF(C105:N105,G2,C112:N112)),4)</f>
        <v>0</v>
      </c>
      <c r="D27" s="514"/>
      <c r="E27" s="514"/>
      <c r="F27" s="711"/>
      <c r="G27" s="712"/>
      <c r="H27" s="713"/>
      <c r="I27" s="714"/>
      <c r="J27" s="715"/>
      <c r="K27" s="506"/>
      <c r="L27" s="507"/>
      <c r="M27" s="507"/>
      <c r="N27" s="702" t="s">
        <v>2002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2003</v>
      </c>
      <c r="B28" s="672" t="s">
        <v>2004</v>
      </c>
      <c r="C28" s="673">
        <f>SUMIF(A47:A101,E2,B47:B101)</f>
        <v>0</v>
      </c>
      <c r="D28" s="716"/>
      <c r="E28" s="717"/>
      <c r="F28" s="717"/>
      <c r="G28" s="717"/>
      <c r="H28" s="717"/>
      <c r="I28" s="717"/>
      <c r="J28" s="718"/>
      <c r="K28" s="636"/>
      <c r="L28" s="638"/>
      <c r="M28" s="638"/>
      <c r="N28" s="719" t="s">
        <v>2005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2006</v>
      </c>
      <c r="B29" s="722" t="s">
        <v>2007</v>
      </c>
      <c r="C29" s="723"/>
      <c r="D29" s="560"/>
      <c r="E29" s="560"/>
      <c r="F29" s="724"/>
      <c r="G29" s="560"/>
      <c r="H29" s="560"/>
      <c r="I29" s="560"/>
      <c r="J29" s="561"/>
      <c r="K29" s="506"/>
      <c r="L29" s="507"/>
      <c r="M29" s="507"/>
      <c r="N29" s="725" t="s">
        <v>2008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2009</v>
      </c>
      <c r="C30" s="729" t="e">
        <f>IF(B25="容积率修正",E33+SUM(E37:E42),SUM(V2:V16)+SUM(E37:E42))</f>
        <v>#DIV/0!</v>
      </c>
      <c r="D30" s="730"/>
      <c r="E30" s="514"/>
      <c r="F30" s="731"/>
      <c r="G30" s="514"/>
      <c r="H30" s="514"/>
      <c r="I30" s="514"/>
      <c r="J30" s="732"/>
      <c r="K30" s="506"/>
      <c r="L30" s="733" t="s">
        <v>1902</v>
      </c>
      <c r="M30" s="734" t="s">
        <v>2010</v>
      </c>
      <c r="N30" s="734" t="s">
        <v>2011</v>
      </c>
      <c r="O30" s="734" t="s">
        <v>2012</v>
      </c>
      <c r="P30" s="734" t="s">
        <v>2013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2014</v>
      </c>
      <c r="C31" s="736" t="e">
        <f>E34+SUM(I37:I42)</f>
        <v>#DIV/0!</v>
      </c>
      <c r="D31" s="737"/>
      <c r="E31" s="738"/>
      <c r="F31" s="739"/>
      <c r="G31" s="738"/>
      <c r="H31" s="738"/>
      <c r="I31" s="738"/>
      <c r="J31" s="740"/>
      <c r="K31" s="506"/>
      <c r="L31" s="741" t="s">
        <v>2015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2016</v>
      </c>
      <c r="C32" s="745" t="s">
        <v>2017</v>
      </c>
      <c r="D32" s="745" t="s">
        <v>624</v>
      </c>
      <c r="E32" s="746" t="s">
        <v>2018</v>
      </c>
      <c r="F32" s="747"/>
      <c r="G32" s="599"/>
      <c r="H32" s="599"/>
      <c r="I32" s="599"/>
      <c r="J32" s="600"/>
      <c r="K32" s="506"/>
      <c r="L32" s="748" t="s">
        <v>1987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2019</v>
      </c>
      <c r="C33" s="753" t="e">
        <f>ROUND(C5*C22*C23*C24*C25*C28,0)</f>
        <v>#DIV/0!</v>
      </c>
      <c r="D33" s="754"/>
      <c r="E33" s="755" t="e">
        <f>ROUND(C33*D33/10000,0)</f>
        <v>#DIV/0!</v>
      </c>
      <c r="F33" s="756" t="s">
        <v>2020</v>
      </c>
      <c r="G33" s="757"/>
      <c r="H33" s="757"/>
      <c r="I33" s="757"/>
      <c r="J33" s="758"/>
      <c r="K33" s="506"/>
      <c r="L33" s="759" t="s">
        <v>2021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2022</v>
      </c>
      <c r="C34" s="658" t="e">
        <f>ROUND(IF(E2="工业",C33*M42,IF(B25="楼层修正",SUM(V2:V16)*M41*10000/D34,C33*M41)),0)</f>
        <v>#DIV/0!</v>
      </c>
      <c r="D34" s="763"/>
      <c r="E34" s="755" t="e">
        <f>ROUND(IF(B25="楼层修正",SUM(V2:V16)*M40,C34*D34/10000),0)</f>
        <v>#DIV/0!</v>
      </c>
      <c r="F34" s="764" t="s">
        <v>2023</v>
      </c>
      <c r="G34" s="765"/>
      <c r="H34" s="765"/>
      <c r="I34" s="765"/>
      <c r="J34" s="766"/>
      <c r="K34" s="506"/>
      <c r="L34" s="759" t="s">
        <v>2024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2025</v>
      </c>
      <c r="C35" s="769" t="s">
        <v>2026</v>
      </c>
      <c r="D35" s="599"/>
      <c r="E35" s="770"/>
      <c r="F35" s="770"/>
      <c r="G35" s="597" t="s">
        <v>2023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2017</v>
      </c>
      <c r="D36" s="774" t="s">
        <v>624</v>
      </c>
      <c r="E36" s="774" t="s">
        <v>2018</v>
      </c>
      <c r="F36" s="513" t="s">
        <v>2027</v>
      </c>
      <c r="G36" s="775" t="s">
        <v>2017</v>
      </c>
      <c r="H36" s="775" t="s">
        <v>624</v>
      </c>
      <c r="I36" s="775" t="s">
        <v>2018</v>
      </c>
      <c r="J36" s="393"/>
      <c r="K36" s="776" t="s">
        <v>2028</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76"/>
      <c r="B37" s="779" t="s">
        <v>2029</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2030</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77"/>
      <c r="B38" s="606" t="s">
        <v>2031</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77"/>
      <c r="B39" s="606" t="s">
        <v>2032</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2033</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2034</v>
      </c>
      <c r="M40" s="786"/>
      <c r="Z40" s="627"/>
      <c r="AA40" s="627"/>
      <c r="AB40" s="627"/>
      <c r="AC40" s="627"/>
      <c r="AD40" s="627"/>
      <c r="AE40" s="627"/>
      <c r="AF40" s="627"/>
      <c r="AG40" s="627"/>
      <c r="AH40" s="627"/>
      <c r="AI40" s="627"/>
      <c r="AJ40" s="627"/>
    </row>
    <row r="41" spans="1:37" s="506" customFormat="1">
      <c r="A41" s="783"/>
      <c r="B41" s="606" t="s">
        <v>2035</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2036</v>
      </c>
      <c r="M41" s="788">
        <v>0.25</v>
      </c>
      <c r="Z41" s="627"/>
      <c r="AA41" s="627"/>
      <c r="AB41" s="627"/>
      <c r="AC41" s="627"/>
      <c r="AD41" s="627"/>
      <c r="AE41" s="627"/>
      <c r="AF41" s="627"/>
      <c r="AG41" s="627"/>
      <c r="AH41" s="627"/>
      <c r="AI41" s="627"/>
      <c r="AJ41" s="627"/>
    </row>
    <row r="42" spans="1:37" s="506" customFormat="1">
      <c r="A42" s="761"/>
      <c r="B42" s="789" t="s">
        <v>2037</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2013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2038</v>
      </c>
      <c r="C44" s="513" t="e">
        <f>ROUND(POWER(1+E44,H44-G44)*(POWER(1+E44,G44)-1)/(POWER(1+E44,H44)-1),4)</f>
        <v>#DIV/0!</v>
      </c>
      <c r="D44" s="526" t="s">
        <v>1987</v>
      </c>
      <c r="E44" s="795">
        <f>G24</f>
        <v>0</v>
      </c>
      <c r="F44" s="526" t="s">
        <v>1988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2039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2040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2041</v>
      </c>
      <c r="B49" s="807" t="s">
        <v>2042</v>
      </c>
      <c r="C49" s="807" t="s">
        <v>2043</v>
      </c>
      <c r="D49" s="807" t="s">
        <v>2044</v>
      </c>
      <c r="E49" s="808" t="s">
        <v>2045</v>
      </c>
      <c r="F49" s="809" t="s">
        <v>2046</v>
      </c>
      <c r="G49" s="807" t="s">
        <v>1869</v>
      </c>
      <c r="H49" s="810" t="s">
        <v>2047</v>
      </c>
      <c r="I49" s="807" t="s">
        <v>2048</v>
      </c>
      <c r="J49" s="811" t="s">
        <v>1749</v>
      </c>
      <c r="K49" s="811" t="s">
        <v>1750</v>
      </c>
      <c r="L49" s="811" t="s">
        <v>1751</v>
      </c>
      <c r="M49" s="811" t="s">
        <v>1752</v>
      </c>
      <c r="N49" s="811" t="s">
        <v>1753</v>
      </c>
      <c r="AA49" s="627"/>
      <c r="AB49" s="627"/>
      <c r="AC49" s="627"/>
      <c r="AD49" s="627"/>
      <c r="AE49" s="627"/>
      <c r="AF49" s="627"/>
      <c r="AG49" s="627"/>
      <c r="AH49" s="627"/>
      <c r="AI49" s="627"/>
      <c r="AJ49" s="627"/>
      <c r="AK49" s="627"/>
    </row>
    <row r="50" spans="1:37" s="506" customFormat="1" ht="24.75">
      <c r="A50" s="806" t="s">
        <v>2049</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2050</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2051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2052</v>
      </c>
      <c r="B53" s="822" t="s">
        <v>2053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2054</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2055</v>
      </c>
      <c r="B55" s="823" t="s">
        <v>2056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2057</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2058</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2059</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2060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2041</v>
      </c>
      <c r="B60" s="807"/>
      <c r="C60" s="807" t="s">
        <v>2043</v>
      </c>
      <c r="D60" s="807" t="s">
        <v>2044</v>
      </c>
      <c r="E60" s="808" t="s">
        <v>2045</v>
      </c>
      <c r="F60" s="809" t="s">
        <v>2061</v>
      </c>
      <c r="G60" s="807" t="s">
        <v>1869</v>
      </c>
      <c r="H60" s="810" t="s">
        <v>2047</v>
      </c>
      <c r="I60" s="807" t="s">
        <v>2048</v>
      </c>
      <c r="J60" s="811" t="s">
        <v>1749</v>
      </c>
      <c r="K60" s="811" t="s">
        <v>1750</v>
      </c>
      <c r="L60" s="811" t="s">
        <v>1751</v>
      </c>
      <c r="M60" s="811" t="s">
        <v>1752</v>
      </c>
      <c r="N60" s="811" t="s">
        <v>1753</v>
      </c>
      <c r="AA60" s="627"/>
      <c r="AB60" s="627"/>
      <c r="AC60" s="627"/>
      <c r="AD60" s="627"/>
      <c r="AE60" s="627"/>
      <c r="AF60" s="627"/>
      <c r="AG60" s="627"/>
      <c r="AH60" s="627"/>
      <c r="AI60" s="627"/>
      <c r="AJ60" s="627"/>
      <c r="AK60" s="627"/>
    </row>
    <row r="61" spans="1:37" s="506" customFormat="1" ht="24">
      <c r="A61" s="806" t="s">
        <v>2062</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2050</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2051</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2052</v>
      </c>
      <c r="B64" s="822" t="s">
        <v>2053</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2054</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2055</v>
      </c>
      <c r="B66" s="823" t="s">
        <v>2056</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2057</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2058</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2059</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2063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2041</v>
      </c>
      <c r="B71" s="807"/>
      <c r="C71" s="807" t="s">
        <v>2043</v>
      </c>
      <c r="D71" s="807" t="s">
        <v>2044</v>
      </c>
      <c r="E71" s="808" t="s">
        <v>2045</v>
      </c>
      <c r="F71" s="809" t="s">
        <v>2061</v>
      </c>
      <c r="G71" s="807" t="s">
        <v>1869</v>
      </c>
      <c r="H71" s="810" t="s">
        <v>2047</v>
      </c>
      <c r="I71" s="807" t="s">
        <v>2048</v>
      </c>
      <c r="J71" s="811" t="s">
        <v>1749</v>
      </c>
      <c r="K71" s="811" t="s">
        <v>1750</v>
      </c>
      <c r="L71" s="811" t="s">
        <v>1751</v>
      </c>
      <c r="M71" s="811" t="s">
        <v>1752</v>
      </c>
      <c r="N71" s="811" t="s">
        <v>1753</v>
      </c>
      <c r="AA71" s="627"/>
      <c r="AB71" s="627"/>
      <c r="AC71" s="627"/>
      <c r="AD71" s="627"/>
      <c r="AE71" s="627"/>
      <c r="AF71" s="627"/>
      <c r="AG71" s="627"/>
      <c r="AH71" s="627"/>
      <c r="AI71" s="627"/>
      <c r="AJ71" s="627"/>
      <c r="AK71" s="627"/>
    </row>
    <row r="72" spans="1:37" s="506" customFormat="1" ht="24">
      <c r="A72" s="806" t="s">
        <v>2064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2050</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2051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2065</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2057</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2058</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2055</v>
      </c>
      <c r="B78" s="823" t="s">
        <v>2056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2059</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2066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2067</v>
      </c>
      <c r="B81" s="801">
        <f>1+E83</f>
        <v>1</v>
      </c>
      <c r="C81" s="803"/>
      <c r="D81" s="803"/>
      <c r="E81" s="804"/>
      <c r="F81" s="805"/>
      <c r="G81" s="601"/>
      <c r="H81" s="601"/>
      <c r="I81" s="601"/>
      <c r="J81" s="602"/>
      <c r="K81" s="602"/>
      <c r="L81" s="602"/>
      <c r="M81" s="602"/>
      <c r="N81" s="602"/>
      <c r="Z81" s="510"/>
      <c r="AA81" s="508"/>
      <c r="AG81" s="512"/>
      <c r="AK81" s="508"/>
    </row>
    <row r="82" spans="1:37" ht="24.75">
      <c r="A82" s="806" t="s">
        <v>2041</v>
      </c>
      <c r="B82" s="807"/>
      <c r="C82" s="807" t="s">
        <v>2043</v>
      </c>
      <c r="D82" s="807" t="s">
        <v>2044</v>
      </c>
      <c r="E82" s="808" t="s">
        <v>2045</v>
      </c>
      <c r="F82" s="809" t="s">
        <v>2061</v>
      </c>
      <c r="G82" s="807" t="s">
        <v>1869</v>
      </c>
      <c r="H82" s="810" t="s">
        <v>2047</v>
      </c>
      <c r="I82" s="807" t="s">
        <v>2048</v>
      </c>
      <c r="J82" s="811" t="s">
        <v>1749</v>
      </c>
      <c r="K82" s="811" t="s">
        <v>1750</v>
      </c>
      <c r="L82" s="811" t="s">
        <v>1751</v>
      </c>
      <c r="M82" s="811" t="s">
        <v>1752</v>
      </c>
      <c r="N82" s="811" t="s">
        <v>1753</v>
      </c>
      <c r="Z82" s="510"/>
      <c r="AA82" s="508"/>
      <c r="AG82" s="512"/>
      <c r="AK82" s="508"/>
    </row>
    <row r="83" spans="1:37" ht="24">
      <c r="A83" s="806" t="s">
        <v>2068</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2050</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2051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2065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2057</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2058</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2055</v>
      </c>
      <c r="B89" s="823" t="s">
        <v>2069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2070</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2041</v>
      </c>
      <c r="B92" s="629"/>
      <c r="C92" s="629" t="s">
        <v>2043</v>
      </c>
      <c r="D92" s="629" t="s">
        <v>2044</v>
      </c>
      <c r="E92" s="742" t="s">
        <v>2045</v>
      </c>
      <c r="F92" s="844" t="s">
        <v>2061</v>
      </c>
      <c r="G92" s="629" t="s">
        <v>1869</v>
      </c>
      <c r="H92" s="845" t="s">
        <v>2047</v>
      </c>
      <c r="I92" s="629" t="s">
        <v>2048</v>
      </c>
      <c r="J92" s="846" t="s">
        <v>1749</v>
      </c>
      <c r="K92" s="846" t="s">
        <v>1750</v>
      </c>
      <c r="L92" s="846" t="s">
        <v>1751</v>
      </c>
      <c r="M92" s="846" t="s">
        <v>1752</v>
      </c>
      <c r="N92" s="846" t="s">
        <v>1753</v>
      </c>
    </row>
    <row r="93" spans="1:37" ht="24">
      <c r="A93" s="821" t="s">
        <v>2071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2050</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2051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2052</v>
      </c>
      <c r="B96" s="852" t="s">
        <v>2053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2054</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2055</v>
      </c>
      <c r="B98" s="853" t="s">
        <v>2056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2057</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2058</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2059</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72" t="s">
        <v>2072</v>
      </c>
      <c r="B103" s="3472"/>
      <c r="C103" s="3472"/>
      <c r="D103" s="3472"/>
      <c r="E103" s="3472"/>
      <c r="F103" s="3472"/>
      <c r="G103" s="3472"/>
      <c r="H103" s="3472"/>
      <c r="I103" s="3472"/>
      <c r="J103" s="3472"/>
      <c r="K103" s="857"/>
      <c r="L103" s="857"/>
      <c r="M103" s="857"/>
      <c r="N103" s="857"/>
    </row>
    <row r="104" spans="1:14">
      <c r="A104" s="3478" t="s">
        <v>2073</v>
      </c>
      <c r="B104" s="3478" t="s">
        <v>2074</v>
      </c>
      <c r="C104" s="859" t="s">
        <v>2075</v>
      </c>
      <c r="D104" s="860"/>
      <c r="E104" s="860"/>
      <c r="F104" s="860"/>
      <c r="G104" s="860"/>
      <c r="H104" s="860"/>
      <c r="I104" s="860"/>
      <c r="J104" s="861"/>
      <c r="K104" s="862"/>
      <c r="L104" s="862"/>
      <c r="M104" s="862"/>
      <c r="N104" s="862"/>
    </row>
    <row r="105" spans="1:14">
      <c r="A105" s="3478"/>
      <c r="B105" s="3478"/>
      <c r="C105" s="858" t="s">
        <v>1926</v>
      </c>
      <c r="D105" s="858" t="s">
        <v>1927</v>
      </c>
      <c r="E105" s="858" t="s">
        <v>1928</v>
      </c>
      <c r="F105" s="858" t="s">
        <v>1929</v>
      </c>
      <c r="G105" s="858" t="s">
        <v>1930</v>
      </c>
      <c r="H105" s="858" t="s">
        <v>1931</v>
      </c>
      <c r="I105" s="858" t="s">
        <v>1932</v>
      </c>
      <c r="J105" s="858" t="s">
        <v>1933</v>
      </c>
      <c r="K105" s="858" t="s">
        <v>1934</v>
      </c>
      <c r="L105" s="858" t="s">
        <v>1935</v>
      </c>
      <c r="M105" s="858" t="s">
        <v>1936</v>
      </c>
      <c r="N105" s="858" t="s">
        <v>1937</v>
      </c>
    </row>
    <row r="106" spans="1:14">
      <c r="A106" s="3479" t="s">
        <v>2076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80"/>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80"/>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80"/>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80"/>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80"/>
      <c r="B111" s="858" t="s">
        <v>1942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81"/>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73" t="s">
        <v>2077</v>
      </c>
      <c r="B113" s="3473"/>
      <c r="C113" s="3473"/>
      <c r="D113" s="3473"/>
      <c r="E113" s="3473"/>
      <c r="F113" s="3473"/>
      <c r="G113" s="3473"/>
      <c r="H113" s="3473"/>
      <c r="I113" s="3473"/>
      <c r="J113" s="3473"/>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2078</v>
      </c>
      <c r="B116" s="867">
        <f>G3</f>
        <v>0</v>
      </c>
      <c r="C116" s="868" t="s">
        <v>2079</v>
      </c>
      <c r="D116" s="869">
        <f>SUMPRODUCT((A118:A122=F116)*(B117:M117=H116)*B118:M122)</f>
        <v>0</v>
      </c>
      <c r="E116" s="524" t="s">
        <v>1902</v>
      </c>
      <c r="F116" s="870">
        <f>E2</f>
        <v>0</v>
      </c>
      <c r="G116" s="524" t="s">
        <v>1903</v>
      </c>
      <c r="H116" s="870">
        <f>G2</f>
        <v>0</v>
      </c>
      <c r="I116" s="524"/>
      <c r="J116" s="871"/>
      <c r="K116" s="871"/>
      <c r="L116" s="871"/>
      <c r="M116" s="871"/>
      <c r="N116" s="865"/>
    </row>
    <row r="117" spans="1:14">
      <c r="A117" s="872"/>
      <c r="B117" s="873" t="s">
        <v>2080</v>
      </c>
      <c r="C117" s="873" t="s">
        <v>2081</v>
      </c>
      <c r="D117" s="873" t="s">
        <v>2082</v>
      </c>
      <c r="E117" s="874" t="s">
        <v>2083</v>
      </c>
      <c r="F117" s="874" t="s">
        <v>2084</v>
      </c>
      <c r="G117" s="874" t="s">
        <v>2085</v>
      </c>
      <c r="H117" s="875" t="s">
        <v>2086</v>
      </c>
      <c r="I117" s="875" t="s">
        <v>2087</v>
      </c>
      <c r="J117" s="876" t="s">
        <v>2088</v>
      </c>
      <c r="K117" s="876" t="s">
        <v>2089</v>
      </c>
      <c r="L117" s="876" t="s">
        <v>2090</v>
      </c>
      <c r="M117" s="877" t="s">
        <v>2091</v>
      </c>
      <c r="N117" s="865"/>
    </row>
    <row r="118" spans="1:14">
      <c r="A118" s="741" t="s">
        <v>2010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2011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2012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2013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383</v>
      </c>
      <c r="B8" s="462">
        <v>80</v>
      </c>
      <c r="C8" s="462">
        <v>80</v>
      </c>
      <c r="D8" s="462">
        <v>70</v>
      </c>
      <c r="E8" s="462">
        <v>70</v>
      </c>
      <c r="F8" s="462">
        <v>70</v>
      </c>
      <c r="G8" s="462">
        <v>70</v>
      </c>
      <c r="H8" s="462">
        <v>70</v>
      </c>
      <c r="I8" s="462">
        <v>60</v>
      </c>
      <c r="J8" s="462">
        <v>60</v>
      </c>
      <c r="K8" s="462">
        <v>60</v>
      </c>
      <c r="L8" s="462">
        <v>60</v>
      </c>
      <c r="M8" s="463">
        <v>60</v>
      </c>
    </row>
    <row r="9" spans="1:13" ht="19.5" customHeight="1">
      <c r="A9" s="464" t="s">
        <v>384</v>
      </c>
      <c r="B9" s="465">
        <v>70</v>
      </c>
      <c r="C9" s="465">
        <v>70</v>
      </c>
      <c r="D9" s="465">
        <v>60</v>
      </c>
      <c r="E9" s="465">
        <v>60</v>
      </c>
      <c r="F9" s="465">
        <v>60</v>
      </c>
      <c r="G9" s="465">
        <v>60</v>
      </c>
      <c r="H9" s="465">
        <v>60</v>
      </c>
      <c r="I9" s="465">
        <v>50</v>
      </c>
      <c r="J9" s="465">
        <v>50</v>
      </c>
      <c r="K9" s="465">
        <v>50</v>
      </c>
      <c r="L9" s="465">
        <v>50</v>
      </c>
      <c r="M9" s="466">
        <v>50</v>
      </c>
    </row>
    <row r="10" spans="1:13" ht="19.5" customHeight="1">
      <c r="A10" s="464" t="s">
        <v>385</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386</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387</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388</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2092</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390</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2093</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2094</v>
      </c>
      <c r="B18" s="470"/>
      <c r="C18" s="471"/>
      <c r="D18" s="471"/>
      <c r="E18" s="470"/>
      <c r="F18" s="471"/>
      <c r="G18" s="471"/>
    </row>
    <row r="19" spans="1:13" ht="19.5" customHeight="1">
      <c r="A19" s="468" t="s">
        <v>2095</v>
      </c>
      <c r="B19" s="472" t="s">
        <v>2096</v>
      </c>
      <c r="C19" s="472" t="s">
        <v>2097</v>
      </c>
      <c r="D19" s="473"/>
      <c r="E19" s="468" t="s">
        <v>2098</v>
      </c>
      <c r="F19" s="474"/>
      <c r="G19" s="474"/>
    </row>
    <row r="20" spans="1:13" ht="19.5" customHeight="1">
      <c r="A20" s="3483" t="s">
        <v>229</v>
      </c>
      <c r="B20" s="3489" t="s">
        <v>2099</v>
      </c>
      <c r="C20" s="475" t="s">
        <v>244</v>
      </c>
      <c r="D20" s="475"/>
      <c r="E20" s="476">
        <v>1</v>
      </c>
      <c r="F20" s="477" t="s">
        <v>2100</v>
      </c>
      <c r="G20" s="477"/>
    </row>
    <row r="21" spans="1:13" ht="19.5" customHeight="1">
      <c r="A21" s="3484"/>
      <c r="B21" s="3490"/>
      <c r="C21" s="478" t="s">
        <v>259</v>
      </c>
      <c r="D21" s="478"/>
      <c r="E21" s="479">
        <v>1</v>
      </c>
      <c r="F21" s="477" t="s">
        <v>2101</v>
      </c>
      <c r="G21" s="477"/>
    </row>
    <row r="22" spans="1:13" ht="19.5" customHeight="1">
      <c r="A22" s="3484"/>
      <c r="B22" s="3490"/>
      <c r="C22" s="478" t="s">
        <v>270</v>
      </c>
      <c r="D22" s="478"/>
      <c r="E22" s="479">
        <v>0.9</v>
      </c>
      <c r="F22" s="477" t="s">
        <v>2102</v>
      </c>
      <c r="G22" s="477"/>
    </row>
    <row r="23" spans="1:13" ht="19.5" customHeight="1">
      <c r="A23" s="3484"/>
      <c r="B23" s="3490"/>
      <c r="C23" s="478" t="s">
        <v>281</v>
      </c>
      <c r="D23" s="478"/>
      <c r="E23" s="479">
        <v>0.9</v>
      </c>
      <c r="F23" s="477" t="s">
        <v>2103</v>
      </c>
      <c r="G23" s="477"/>
    </row>
    <row r="24" spans="1:13" ht="19.5" customHeight="1">
      <c r="A24" s="3484"/>
      <c r="B24" s="3490"/>
      <c r="C24" s="478" t="s">
        <v>290</v>
      </c>
      <c r="D24" s="478"/>
      <c r="E24" s="479">
        <v>0.8</v>
      </c>
      <c r="F24" s="477" t="s">
        <v>2104</v>
      </c>
      <c r="G24" s="477"/>
    </row>
    <row r="25" spans="1:13" ht="19.5" customHeight="1">
      <c r="A25" s="3484"/>
      <c r="B25" s="3490"/>
      <c r="C25" s="478" t="s">
        <v>298</v>
      </c>
      <c r="D25" s="478"/>
      <c r="E25" s="479">
        <v>0.8</v>
      </c>
      <c r="F25" s="477"/>
      <c r="G25" s="477"/>
    </row>
    <row r="26" spans="1:13" ht="19.5" customHeight="1">
      <c r="A26" s="3484"/>
      <c r="B26" s="3490"/>
      <c r="C26" s="478" t="s">
        <v>306</v>
      </c>
      <c r="D26" s="478"/>
      <c r="E26" s="479">
        <v>0.43</v>
      </c>
      <c r="F26" s="477"/>
      <c r="G26" s="477"/>
    </row>
    <row r="27" spans="1:13" ht="19.5" customHeight="1">
      <c r="A27" s="3485"/>
      <c r="B27" s="3491"/>
      <c r="C27" s="480" t="s">
        <v>313</v>
      </c>
      <c r="D27" s="480"/>
      <c r="E27" s="481">
        <f>E26*0.9</f>
        <v>0.38700000000000001</v>
      </c>
      <c r="F27" s="477" t="s">
        <v>2105</v>
      </c>
      <c r="G27" s="477"/>
    </row>
    <row r="28" spans="1:13" ht="19.5" customHeight="1">
      <c r="A28" s="482" t="s">
        <v>230</v>
      </c>
      <c r="B28" s="483" t="s">
        <v>2099</v>
      </c>
      <c r="C28" s="484" t="s">
        <v>245</v>
      </c>
      <c r="D28" s="485"/>
      <c r="E28" s="486">
        <v>1</v>
      </c>
      <c r="F28" s="477" t="s">
        <v>2106</v>
      </c>
      <c r="G28" s="477"/>
    </row>
    <row r="29" spans="1:13" ht="19.5" customHeight="1">
      <c r="A29" s="3486" t="s">
        <v>231</v>
      </c>
      <c r="B29" s="3492" t="s">
        <v>231</v>
      </c>
      <c r="C29" s="487" t="s">
        <v>246</v>
      </c>
      <c r="D29" s="488"/>
      <c r="E29" s="476">
        <v>1</v>
      </c>
      <c r="F29" s="477" t="s">
        <v>2107</v>
      </c>
      <c r="G29" s="477"/>
    </row>
    <row r="30" spans="1:13" ht="19.5" customHeight="1">
      <c r="A30" s="3487"/>
      <c r="B30" s="3493"/>
      <c r="C30" s="489" t="s">
        <v>260</v>
      </c>
      <c r="D30" s="490"/>
      <c r="E30" s="479">
        <v>1</v>
      </c>
      <c r="F30" s="477" t="s">
        <v>2108</v>
      </c>
      <c r="G30" s="477"/>
    </row>
    <row r="31" spans="1:13" ht="19.5" customHeight="1">
      <c r="A31" s="3487"/>
      <c r="B31" s="3493"/>
      <c r="C31" s="489" t="s">
        <v>271</v>
      </c>
      <c r="D31" s="490"/>
      <c r="E31" s="479">
        <v>0.8</v>
      </c>
      <c r="F31" s="477" t="s">
        <v>2109</v>
      </c>
      <c r="G31" s="477"/>
    </row>
    <row r="32" spans="1:13" ht="19.5" customHeight="1">
      <c r="A32" s="3487"/>
      <c r="B32" s="3493"/>
      <c r="C32" s="489" t="s">
        <v>282</v>
      </c>
      <c r="D32" s="490"/>
      <c r="E32" s="479">
        <v>0.8</v>
      </c>
      <c r="F32" s="477" t="s">
        <v>2110</v>
      </c>
      <c r="G32" s="477"/>
    </row>
    <row r="33" spans="1:7" ht="19.5" customHeight="1">
      <c r="A33" s="3487"/>
      <c r="B33" s="3493"/>
      <c r="C33" s="489" t="s">
        <v>291</v>
      </c>
      <c r="D33" s="490"/>
      <c r="E33" s="479">
        <v>0.8</v>
      </c>
      <c r="F33" s="477" t="s">
        <v>2111</v>
      </c>
      <c r="G33" s="477"/>
    </row>
    <row r="34" spans="1:7" ht="19.5" customHeight="1">
      <c r="A34" s="3487"/>
      <c r="B34" s="3493"/>
      <c r="C34" s="489" t="s">
        <v>299</v>
      </c>
      <c r="D34" s="490"/>
      <c r="E34" s="479">
        <v>0.7</v>
      </c>
      <c r="F34" s="477" t="s">
        <v>2112</v>
      </c>
      <c r="G34" s="477"/>
    </row>
    <row r="35" spans="1:7" ht="19.5" customHeight="1">
      <c r="A35" s="3487"/>
      <c r="B35" s="3493"/>
      <c r="C35" s="489" t="s">
        <v>307</v>
      </c>
      <c r="D35" s="490"/>
      <c r="E35" s="479">
        <v>0.8</v>
      </c>
      <c r="F35" s="477" t="s">
        <v>2113</v>
      </c>
      <c r="G35" s="477"/>
    </row>
    <row r="36" spans="1:7" ht="19.5" customHeight="1">
      <c r="A36" s="3487"/>
      <c r="B36" s="3493"/>
      <c r="C36" s="489" t="s">
        <v>314</v>
      </c>
      <c r="D36" s="490"/>
      <c r="E36" s="479">
        <v>0.6</v>
      </c>
      <c r="F36" s="477" t="s">
        <v>2114</v>
      </c>
      <c r="G36" s="477"/>
    </row>
    <row r="37" spans="1:7" ht="19.5" customHeight="1">
      <c r="A37" s="3487"/>
      <c r="B37" s="3493"/>
      <c r="C37" s="489" t="s">
        <v>320</v>
      </c>
      <c r="D37" s="490"/>
      <c r="E37" s="479">
        <v>0.2</v>
      </c>
      <c r="F37" s="477" t="s">
        <v>2115</v>
      </c>
      <c r="G37" s="477"/>
    </row>
    <row r="38" spans="1:7" ht="19.5" customHeight="1">
      <c r="A38" s="3487"/>
      <c r="B38" s="3493"/>
      <c r="C38" s="489" t="s">
        <v>326</v>
      </c>
      <c r="D38" s="490"/>
      <c r="E38" s="479">
        <v>0.2</v>
      </c>
      <c r="F38" s="477" t="s">
        <v>2116</v>
      </c>
      <c r="G38" s="477"/>
    </row>
    <row r="39" spans="1:7" ht="19.5" customHeight="1">
      <c r="A39" s="3487"/>
      <c r="B39" s="3494" t="s">
        <v>2117</v>
      </c>
      <c r="C39" s="489" t="s">
        <v>332</v>
      </c>
      <c r="D39" s="490"/>
      <c r="E39" s="479">
        <v>0.6</v>
      </c>
      <c r="F39" s="477" t="s">
        <v>2118</v>
      </c>
      <c r="G39" s="477"/>
    </row>
    <row r="40" spans="1:7" ht="19.5" customHeight="1">
      <c r="A40" s="3487"/>
      <c r="B40" s="3493"/>
      <c r="C40" s="489" t="s">
        <v>338</v>
      </c>
      <c r="D40" s="490"/>
      <c r="E40" s="479">
        <v>0.6</v>
      </c>
      <c r="F40" s="477" t="s">
        <v>2119</v>
      </c>
      <c r="G40" s="477"/>
    </row>
    <row r="41" spans="1:7" ht="19.5" customHeight="1">
      <c r="A41" s="3488"/>
      <c r="B41" s="3495"/>
      <c r="C41" s="491" t="s">
        <v>342</v>
      </c>
      <c r="D41" s="492"/>
      <c r="E41" s="481">
        <v>0.6</v>
      </c>
      <c r="F41" s="477" t="s">
        <v>2120</v>
      </c>
      <c r="G41" s="477"/>
    </row>
    <row r="42" spans="1:7" ht="19.5" customHeight="1">
      <c r="A42" s="493" t="s">
        <v>232</v>
      </c>
      <c r="B42" s="494" t="s">
        <v>232</v>
      </c>
      <c r="C42" s="495" t="s">
        <v>247</v>
      </c>
      <c r="D42" s="496"/>
      <c r="E42" s="497">
        <v>1</v>
      </c>
      <c r="F42" s="477" t="s">
        <v>2121</v>
      </c>
      <c r="G42" s="477"/>
    </row>
    <row r="43" spans="1:7" ht="19.5" customHeight="1">
      <c r="A43" s="3483" t="s">
        <v>233</v>
      </c>
      <c r="B43" s="3492" t="s">
        <v>2122</v>
      </c>
      <c r="C43" s="487" t="s">
        <v>248</v>
      </c>
      <c r="D43" s="488"/>
      <c r="E43" s="476">
        <v>1</v>
      </c>
      <c r="F43" s="477" t="s">
        <v>2123</v>
      </c>
      <c r="G43" s="477"/>
    </row>
    <row r="44" spans="1:7" ht="19.5" customHeight="1">
      <c r="A44" s="3484"/>
      <c r="B44" s="3493"/>
      <c r="C44" s="489" t="s">
        <v>261</v>
      </c>
      <c r="D44" s="490"/>
      <c r="E44" s="479">
        <v>1</v>
      </c>
      <c r="F44" s="477" t="s">
        <v>2124</v>
      </c>
      <c r="G44" s="477"/>
    </row>
    <row r="45" spans="1:7" ht="19.5" customHeight="1">
      <c r="A45" s="3484"/>
      <c r="B45" s="3496"/>
      <c r="C45" s="489" t="s">
        <v>272</v>
      </c>
      <c r="D45" s="490"/>
      <c r="E45" s="479">
        <v>1.5</v>
      </c>
      <c r="F45" s="477" t="s">
        <v>2125</v>
      </c>
      <c r="G45" s="477"/>
    </row>
    <row r="46" spans="1:7" ht="19.5" customHeight="1">
      <c r="A46" s="3484"/>
      <c r="B46" s="478" t="s">
        <v>231</v>
      </c>
      <c r="C46" s="489" t="s">
        <v>283</v>
      </c>
      <c r="D46" s="490"/>
      <c r="E46" s="479">
        <v>2</v>
      </c>
      <c r="F46" s="477" t="s">
        <v>2126</v>
      </c>
      <c r="G46" s="477"/>
    </row>
    <row r="47" spans="1:7" ht="19.5" customHeight="1">
      <c r="A47" s="3484"/>
      <c r="B47" s="3494" t="s">
        <v>2127</v>
      </c>
      <c r="C47" s="489" t="s">
        <v>292</v>
      </c>
      <c r="D47" s="490"/>
      <c r="E47" s="479">
        <v>1</v>
      </c>
      <c r="F47" s="477" t="s">
        <v>2128</v>
      </c>
      <c r="G47" s="477"/>
    </row>
    <row r="48" spans="1:7" ht="19.5" customHeight="1">
      <c r="A48" s="3484"/>
      <c r="B48" s="3493"/>
      <c r="C48" s="489" t="s">
        <v>300</v>
      </c>
      <c r="D48" s="490"/>
      <c r="E48" s="479">
        <v>1</v>
      </c>
      <c r="F48" s="477" t="s">
        <v>2129</v>
      </c>
      <c r="G48" s="477"/>
    </row>
    <row r="49" spans="1:7" ht="19.5" customHeight="1">
      <c r="A49" s="3484"/>
      <c r="B49" s="3493"/>
      <c r="C49" s="489" t="s">
        <v>308</v>
      </c>
      <c r="D49" s="490"/>
      <c r="E49" s="479">
        <v>1</v>
      </c>
      <c r="F49" s="477" t="s">
        <v>2130</v>
      </c>
      <c r="G49" s="477"/>
    </row>
    <row r="50" spans="1:7" ht="19.5" customHeight="1">
      <c r="A50" s="3484"/>
      <c r="B50" s="3493"/>
      <c r="C50" s="489" t="s">
        <v>315</v>
      </c>
      <c r="D50" s="490"/>
      <c r="E50" s="479">
        <v>1</v>
      </c>
      <c r="F50" s="477" t="s">
        <v>2131</v>
      </c>
      <c r="G50" s="477"/>
    </row>
    <row r="51" spans="1:7" ht="19.5" customHeight="1">
      <c r="A51" s="3484"/>
      <c r="B51" s="3493"/>
      <c r="C51" s="489" t="s">
        <v>321</v>
      </c>
      <c r="D51" s="490"/>
      <c r="E51" s="479">
        <v>1</v>
      </c>
      <c r="F51" s="477" t="s">
        <v>2132</v>
      </c>
      <c r="G51" s="477"/>
    </row>
    <row r="52" spans="1:7" ht="19.5" customHeight="1">
      <c r="A52" s="3484"/>
      <c r="B52" s="3493"/>
      <c r="C52" s="489" t="s">
        <v>327</v>
      </c>
      <c r="D52" s="490"/>
      <c r="E52" s="479">
        <v>1</v>
      </c>
      <c r="F52" s="477" t="s">
        <v>2133</v>
      </c>
      <c r="G52" s="477"/>
    </row>
    <row r="53" spans="1:7" ht="19.5" customHeight="1">
      <c r="A53" s="3485"/>
      <c r="B53" s="3495"/>
      <c r="C53" s="491" t="s">
        <v>333</v>
      </c>
      <c r="D53" s="492"/>
      <c r="E53" s="481">
        <v>1</v>
      </c>
      <c r="F53" s="477" t="s">
        <v>2134</v>
      </c>
      <c r="G53" s="477"/>
    </row>
    <row r="54" spans="1:7" ht="19.5" customHeight="1">
      <c r="A54" s="499"/>
      <c r="B54" s="499"/>
      <c r="C54" s="499"/>
      <c r="D54" s="499"/>
      <c r="E54" s="499"/>
      <c r="F54" s="499"/>
      <c r="G54" s="499"/>
    </row>
    <row r="56" spans="1:7" ht="19.5" customHeight="1">
      <c r="A56" s="500"/>
      <c r="B56" s="465" t="s">
        <v>471</v>
      </c>
      <c r="C56" s="465" t="s">
        <v>471</v>
      </c>
      <c r="D56" s="465" t="s">
        <v>471</v>
      </c>
      <c r="E56" s="468" t="s">
        <v>471</v>
      </c>
      <c r="F56" s="468" t="s">
        <v>2135</v>
      </c>
      <c r="G56" s="468" t="s">
        <v>471</v>
      </c>
    </row>
    <row r="57" spans="1:7" ht="19.5" customHeight="1">
      <c r="A57" s="501"/>
      <c r="B57" s="468" t="s">
        <v>229</v>
      </c>
      <c r="C57" s="468" t="s">
        <v>229</v>
      </c>
      <c r="D57" s="468" t="s">
        <v>229</v>
      </c>
      <c r="E57" s="465" t="s">
        <v>230</v>
      </c>
      <c r="F57" s="465" t="s">
        <v>233</v>
      </c>
      <c r="G57" s="465" t="s">
        <v>604</v>
      </c>
    </row>
    <row r="58" spans="1:7" ht="19.5" customHeight="1">
      <c r="A58" s="502"/>
      <c r="B58" s="465">
        <v>1</v>
      </c>
      <c r="C58" s="465">
        <v>2</v>
      </c>
      <c r="D58" s="465">
        <v>3</v>
      </c>
      <c r="E58" s="503" t="s">
        <v>2136</v>
      </c>
      <c r="F58" s="503" t="s">
        <v>2136</v>
      </c>
      <c r="G58" s="503" t="s">
        <v>2136</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2137</v>
      </c>
      <c r="E72" s="504"/>
      <c r="F72" s="504"/>
    </row>
    <row r="73" spans="1:7" ht="19.5" customHeight="1">
      <c r="A73" s="478" t="s">
        <v>610</v>
      </c>
      <c r="B73" s="478" t="s">
        <v>2138</v>
      </c>
      <c r="C73" s="478" t="s">
        <v>2139</v>
      </c>
      <c r="D73" s="478" t="s">
        <v>2140</v>
      </c>
      <c r="E73" s="478" t="s">
        <v>2141</v>
      </c>
      <c r="F73" s="478" t="s">
        <v>2142</v>
      </c>
    </row>
    <row r="74" spans="1:7" ht="13.5">
      <c r="A74" s="478"/>
      <c r="B74" s="478"/>
      <c r="C74" s="478" t="s">
        <v>2143</v>
      </c>
      <c r="D74" s="478"/>
      <c r="E74" s="478" t="s">
        <v>124</v>
      </c>
      <c r="F74" s="478" t="s">
        <v>124</v>
      </c>
    </row>
    <row r="75" spans="1:7" ht="13.5">
      <c r="A75" s="478">
        <v>1</v>
      </c>
      <c r="B75" s="3494" t="s">
        <v>2144</v>
      </c>
      <c r="C75" s="465" t="s">
        <v>2145</v>
      </c>
      <c r="D75" s="465" t="s">
        <v>2146</v>
      </c>
      <c r="E75" s="478">
        <v>0.2</v>
      </c>
      <c r="F75" s="478">
        <v>25</v>
      </c>
    </row>
    <row r="76" spans="1:7" ht="24">
      <c r="A76" s="478">
        <v>2</v>
      </c>
      <c r="B76" s="3493"/>
      <c r="C76" s="465" t="s">
        <v>2147</v>
      </c>
      <c r="D76" s="465" t="s">
        <v>2148</v>
      </c>
      <c r="E76" s="478">
        <v>0.2</v>
      </c>
      <c r="F76" s="478">
        <v>25</v>
      </c>
    </row>
    <row r="77" spans="1:7" ht="24">
      <c r="A77" s="478">
        <v>3</v>
      </c>
      <c r="B77" s="3493"/>
      <c r="C77" s="465" t="s">
        <v>2149</v>
      </c>
      <c r="D77" s="465" t="s">
        <v>2150</v>
      </c>
      <c r="E77" s="478">
        <v>0.2</v>
      </c>
      <c r="F77" s="478">
        <v>25</v>
      </c>
    </row>
    <row r="78" spans="1:7" ht="13.5">
      <c r="A78" s="478">
        <v>4</v>
      </c>
      <c r="B78" s="3493"/>
      <c r="C78" s="465" t="s">
        <v>2151</v>
      </c>
      <c r="D78" s="465" t="s">
        <v>2152</v>
      </c>
      <c r="E78" s="478">
        <v>0.15</v>
      </c>
      <c r="F78" s="478">
        <v>20</v>
      </c>
    </row>
    <row r="79" spans="1:7" ht="24">
      <c r="A79" s="478">
        <v>5</v>
      </c>
      <c r="B79" s="3493"/>
      <c r="C79" s="465" t="s">
        <v>2153</v>
      </c>
      <c r="D79" s="465" t="s">
        <v>2154</v>
      </c>
      <c r="E79" s="478">
        <v>0.15</v>
      </c>
      <c r="F79" s="478">
        <v>20</v>
      </c>
    </row>
    <row r="80" spans="1:7" ht="24">
      <c r="A80" s="478">
        <v>6</v>
      </c>
      <c r="B80" s="3493"/>
      <c r="C80" s="465" t="s">
        <v>2155</v>
      </c>
      <c r="D80" s="465" t="s">
        <v>2156</v>
      </c>
      <c r="E80" s="478">
        <v>0.15</v>
      </c>
      <c r="F80" s="478">
        <v>20</v>
      </c>
    </row>
    <row r="81" spans="1:6" ht="24">
      <c r="A81" s="478">
        <v>7</v>
      </c>
      <c r="B81" s="3493"/>
      <c r="C81" s="465" t="s">
        <v>2157</v>
      </c>
      <c r="D81" s="465" t="s">
        <v>2158</v>
      </c>
      <c r="E81" s="478">
        <v>0.15</v>
      </c>
      <c r="F81" s="478">
        <v>20</v>
      </c>
    </row>
    <row r="82" spans="1:6" ht="24">
      <c r="A82" s="478">
        <v>8</v>
      </c>
      <c r="B82" s="3493"/>
      <c r="C82" s="465" t="s">
        <v>2159</v>
      </c>
      <c r="D82" s="465" t="s">
        <v>2160</v>
      </c>
      <c r="E82" s="478">
        <v>0.1</v>
      </c>
      <c r="F82" s="478">
        <v>15</v>
      </c>
    </row>
    <row r="83" spans="1:6" ht="24">
      <c r="A83" s="478">
        <v>9</v>
      </c>
      <c r="B83" s="3493"/>
      <c r="C83" s="465" t="s">
        <v>2161</v>
      </c>
      <c r="D83" s="465" t="s">
        <v>2162</v>
      </c>
      <c r="E83" s="478">
        <v>0.1</v>
      </c>
      <c r="F83" s="478">
        <v>15</v>
      </c>
    </row>
    <row r="84" spans="1:6" ht="24">
      <c r="A84" s="478">
        <v>10</v>
      </c>
      <c r="B84" s="3493"/>
      <c r="C84" s="465" t="s">
        <v>2163</v>
      </c>
      <c r="D84" s="465" t="s">
        <v>2164</v>
      </c>
      <c r="E84" s="478">
        <v>0.1</v>
      </c>
      <c r="F84" s="478">
        <v>15</v>
      </c>
    </row>
    <row r="85" spans="1:6" ht="24">
      <c r="A85" s="478">
        <v>11</v>
      </c>
      <c r="B85" s="3493"/>
      <c r="C85" s="465" t="s">
        <v>2165</v>
      </c>
      <c r="D85" s="465" t="s">
        <v>2166</v>
      </c>
      <c r="E85" s="478">
        <v>0.1</v>
      </c>
      <c r="F85" s="478">
        <v>15</v>
      </c>
    </row>
    <row r="86" spans="1:6" ht="24">
      <c r="A86" s="478">
        <v>12</v>
      </c>
      <c r="B86" s="3493"/>
      <c r="C86" s="465" t="s">
        <v>2167</v>
      </c>
      <c r="D86" s="465" t="s">
        <v>2168</v>
      </c>
      <c r="E86" s="478">
        <v>0.1</v>
      </c>
      <c r="F86" s="478">
        <v>15</v>
      </c>
    </row>
    <row r="87" spans="1:6" ht="13.5">
      <c r="A87" s="478">
        <v>13</v>
      </c>
      <c r="B87" s="3493"/>
      <c r="C87" s="465" t="s">
        <v>2169</v>
      </c>
      <c r="D87" s="465" t="s">
        <v>2170</v>
      </c>
      <c r="E87" s="478">
        <v>0.1</v>
      </c>
      <c r="F87" s="478">
        <v>15</v>
      </c>
    </row>
    <row r="88" spans="1:6" ht="13.5">
      <c r="A88" s="478">
        <v>14</v>
      </c>
      <c r="B88" s="3493"/>
      <c r="C88" s="465" t="s">
        <v>2171</v>
      </c>
      <c r="D88" s="465" t="s">
        <v>2172</v>
      </c>
      <c r="E88" s="478">
        <v>0.1</v>
      </c>
      <c r="F88" s="478">
        <v>15</v>
      </c>
    </row>
    <row r="89" spans="1:6" ht="13.5">
      <c r="A89" s="478">
        <v>15</v>
      </c>
      <c r="B89" s="3493"/>
      <c r="C89" s="465" t="s">
        <v>2173</v>
      </c>
      <c r="D89" s="465" t="s">
        <v>2174</v>
      </c>
      <c r="E89" s="478">
        <v>0.1</v>
      </c>
      <c r="F89" s="478">
        <v>15</v>
      </c>
    </row>
    <row r="90" spans="1:6" ht="24">
      <c r="A90" s="478">
        <v>16</v>
      </c>
      <c r="B90" s="3493"/>
      <c r="C90" s="465" t="s">
        <v>2175</v>
      </c>
      <c r="D90" s="465" t="s">
        <v>2176</v>
      </c>
      <c r="E90" s="478">
        <v>0.1</v>
      </c>
      <c r="F90" s="478">
        <v>15</v>
      </c>
    </row>
    <row r="91" spans="1:6" ht="24">
      <c r="A91" s="478">
        <v>17</v>
      </c>
      <c r="B91" s="3496"/>
      <c r="C91" s="465" t="s">
        <v>2177</v>
      </c>
      <c r="D91" s="465" t="s">
        <v>2178</v>
      </c>
      <c r="E91" s="478">
        <v>0.1</v>
      </c>
      <c r="F91" s="478">
        <v>15</v>
      </c>
    </row>
    <row r="92" spans="1:6" ht="13.5">
      <c r="A92" s="478">
        <v>18</v>
      </c>
      <c r="B92" s="3494" t="s">
        <v>2179</v>
      </c>
      <c r="C92" s="465" t="s">
        <v>2180</v>
      </c>
      <c r="D92" s="465" t="s">
        <v>2181</v>
      </c>
      <c r="E92" s="478">
        <v>0.2</v>
      </c>
      <c r="F92" s="478">
        <v>25</v>
      </c>
    </row>
    <row r="93" spans="1:6" ht="24">
      <c r="A93" s="478">
        <v>19</v>
      </c>
      <c r="B93" s="3493"/>
      <c r="C93" s="465" t="s">
        <v>2182</v>
      </c>
      <c r="D93" s="465" t="s">
        <v>2183</v>
      </c>
      <c r="E93" s="478">
        <v>0.2</v>
      </c>
      <c r="F93" s="478">
        <v>25</v>
      </c>
    </row>
    <row r="94" spans="1:6" ht="13.5">
      <c r="A94" s="478">
        <v>20</v>
      </c>
      <c r="B94" s="3493"/>
      <c r="C94" s="465" t="s">
        <v>2184</v>
      </c>
      <c r="D94" s="465" t="s">
        <v>2185</v>
      </c>
      <c r="E94" s="478">
        <v>0.15</v>
      </c>
      <c r="F94" s="478">
        <v>20</v>
      </c>
    </row>
    <row r="95" spans="1:6" ht="13.5">
      <c r="A95" s="478">
        <v>21</v>
      </c>
      <c r="B95" s="3493"/>
      <c r="C95" s="465" t="s">
        <v>2186</v>
      </c>
      <c r="D95" s="465" t="s">
        <v>2187</v>
      </c>
      <c r="E95" s="478">
        <v>0.15</v>
      </c>
      <c r="F95" s="478">
        <v>20</v>
      </c>
    </row>
    <row r="96" spans="1:6" ht="13.5">
      <c r="A96" s="478">
        <v>22</v>
      </c>
      <c r="B96" s="3493"/>
      <c r="C96" s="465" t="s">
        <v>2188</v>
      </c>
      <c r="D96" s="465" t="s">
        <v>2189</v>
      </c>
      <c r="E96" s="478">
        <v>0.15</v>
      </c>
      <c r="F96" s="478">
        <v>20</v>
      </c>
    </row>
    <row r="97" spans="1:6" ht="36">
      <c r="A97" s="478">
        <v>23</v>
      </c>
      <c r="B97" s="3493"/>
      <c r="C97" s="465" t="s">
        <v>2190</v>
      </c>
      <c r="D97" s="465" t="s">
        <v>2191</v>
      </c>
      <c r="E97" s="478">
        <v>0.15</v>
      </c>
      <c r="F97" s="478">
        <v>20</v>
      </c>
    </row>
    <row r="98" spans="1:6" ht="13.5">
      <c r="A98" s="478">
        <v>24</v>
      </c>
      <c r="B98" s="3493"/>
      <c r="C98" s="465" t="s">
        <v>2192</v>
      </c>
      <c r="D98" s="465" t="s">
        <v>2193</v>
      </c>
      <c r="E98" s="478">
        <v>0.1</v>
      </c>
      <c r="F98" s="478">
        <v>15</v>
      </c>
    </row>
    <row r="99" spans="1:6" ht="13.5">
      <c r="A99" s="478">
        <v>25</v>
      </c>
      <c r="B99" s="3493"/>
      <c r="C99" s="465" t="s">
        <v>2194</v>
      </c>
      <c r="D99" s="465" t="s">
        <v>2195</v>
      </c>
      <c r="E99" s="478">
        <v>0.1</v>
      </c>
      <c r="F99" s="478">
        <v>15</v>
      </c>
    </row>
    <row r="100" spans="1:6" ht="24">
      <c r="A100" s="478">
        <v>26</v>
      </c>
      <c r="B100" s="3493"/>
      <c r="C100" s="465" t="s">
        <v>2196</v>
      </c>
      <c r="D100" s="465" t="s">
        <v>2197</v>
      </c>
      <c r="E100" s="478">
        <v>0.1</v>
      </c>
      <c r="F100" s="478">
        <v>15</v>
      </c>
    </row>
    <row r="101" spans="1:6" ht="24">
      <c r="A101" s="478">
        <v>27</v>
      </c>
      <c r="B101" s="3493"/>
      <c r="C101" s="465" t="s">
        <v>2198</v>
      </c>
      <c r="D101" s="465" t="s">
        <v>2199</v>
      </c>
      <c r="E101" s="478">
        <v>0.1</v>
      </c>
      <c r="F101" s="478">
        <v>15</v>
      </c>
    </row>
    <row r="102" spans="1:6" ht="13.5">
      <c r="A102" s="478">
        <v>28</v>
      </c>
      <c r="B102" s="3493"/>
      <c r="C102" s="465" t="s">
        <v>2200</v>
      </c>
      <c r="D102" s="465" t="s">
        <v>2201</v>
      </c>
      <c r="E102" s="478">
        <v>0.1</v>
      </c>
      <c r="F102" s="478">
        <v>15</v>
      </c>
    </row>
    <row r="103" spans="1:6" ht="13.5">
      <c r="A103" s="478">
        <v>29</v>
      </c>
      <c r="B103" s="3493"/>
      <c r="C103" s="465" t="s">
        <v>2202</v>
      </c>
      <c r="D103" s="465" t="s">
        <v>2203</v>
      </c>
      <c r="E103" s="478">
        <v>0.1</v>
      </c>
      <c r="F103" s="478">
        <v>15</v>
      </c>
    </row>
    <row r="104" spans="1:6" ht="13.5">
      <c r="A104" s="478">
        <v>30</v>
      </c>
      <c r="B104" s="3493"/>
      <c r="C104" s="465" t="s">
        <v>2204</v>
      </c>
      <c r="D104" s="465" t="s">
        <v>2205</v>
      </c>
      <c r="E104" s="478">
        <v>0.1</v>
      </c>
      <c r="F104" s="478">
        <v>15</v>
      </c>
    </row>
    <row r="105" spans="1:6" ht="24">
      <c r="A105" s="478">
        <v>31</v>
      </c>
      <c r="B105" s="3493"/>
      <c r="C105" s="465" t="s">
        <v>2206</v>
      </c>
      <c r="D105" s="465" t="s">
        <v>2207</v>
      </c>
      <c r="E105" s="478">
        <v>0.1</v>
      </c>
      <c r="F105" s="478">
        <v>15</v>
      </c>
    </row>
    <row r="106" spans="1:6" ht="24">
      <c r="A106" s="478">
        <v>32</v>
      </c>
      <c r="B106" s="3493"/>
      <c r="C106" s="465" t="s">
        <v>2208</v>
      </c>
      <c r="D106" s="465" t="s">
        <v>2209</v>
      </c>
      <c r="E106" s="478">
        <v>0.1</v>
      </c>
      <c r="F106" s="478">
        <v>15</v>
      </c>
    </row>
    <row r="107" spans="1:6" ht="24">
      <c r="A107" s="478">
        <v>33</v>
      </c>
      <c r="B107" s="3493"/>
      <c r="C107" s="465" t="s">
        <v>2210</v>
      </c>
      <c r="D107" s="465" t="s">
        <v>2211</v>
      </c>
      <c r="E107" s="478">
        <v>0.1</v>
      </c>
      <c r="F107" s="478">
        <v>15</v>
      </c>
    </row>
    <row r="108" spans="1:6" ht="24">
      <c r="A108" s="478">
        <v>34</v>
      </c>
      <c r="B108" s="3496"/>
      <c r="C108" s="465" t="s">
        <v>2212</v>
      </c>
      <c r="D108" s="465" t="s">
        <v>2213</v>
      </c>
      <c r="E108" s="478">
        <v>0.1</v>
      </c>
      <c r="F108" s="478">
        <v>15</v>
      </c>
    </row>
    <row r="109" spans="1:6" ht="24">
      <c r="A109" s="478">
        <v>35</v>
      </c>
      <c r="B109" s="3494" t="s">
        <v>2214</v>
      </c>
      <c r="C109" s="478" t="s">
        <v>2215</v>
      </c>
      <c r="D109" s="465" t="s">
        <v>2216</v>
      </c>
      <c r="E109" s="478">
        <v>0.15</v>
      </c>
      <c r="F109" s="478">
        <v>20</v>
      </c>
    </row>
    <row r="110" spans="1:6" ht="13.5">
      <c r="A110" s="478">
        <v>36</v>
      </c>
      <c r="B110" s="3493"/>
      <c r="C110" s="478" t="s">
        <v>2217</v>
      </c>
      <c r="D110" s="465" t="s">
        <v>2218</v>
      </c>
      <c r="E110" s="478">
        <v>0.15</v>
      </c>
      <c r="F110" s="478">
        <v>20</v>
      </c>
    </row>
    <row r="111" spans="1:6" ht="13.5">
      <c r="A111" s="478">
        <v>37</v>
      </c>
      <c r="B111" s="3493"/>
      <c r="C111" s="478" t="s">
        <v>2219</v>
      </c>
      <c r="D111" s="465" t="s">
        <v>2220</v>
      </c>
      <c r="E111" s="478">
        <v>0.15</v>
      </c>
      <c r="F111" s="478">
        <v>20</v>
      </c>
    </row>
    <row r="112" spans="1:6" ht="13.5">
      <c r="A112" s="478">
        <v>38</v>
      </c>
      <c r="B112" s="3493"/>
      <c r="C112" s="478" t="s">
        <v>2221</v>
      </c>
      <c r="D112" s="465" t="s">
        <v>2222</v>
      </c>
      <c r="E112" s="478">
        <v>0.1</v>
      </c>
      <c r="F112" s="478">
        <v>15</v>
      </c>
    </row>
    <row r="113" spans="1:6" ht="24">
      <c r="A113" s="478">
        <v>39</v>
      </c>
      <c r="B113" s="3493"/>
      <c r="C113" s="478" t="s">
        <v>2223</v>
      </c>
      <c r="D113" s="465" t="s">
        <v>2224</v>
      </c>
      <c r="E113" s="478">
        <v>0.1</v>
      </c>
      <c r="F113" s="478">
        <v>15</v>
      </c>
    </row>
    <row r="114" spans="1:6" ht="24">
      <c r="A114" s="478">
        <v>40</v>
      </c>
      <c r="B114" s="3496"/>
      <c r="C114" s="478" t="s">
        <v>2225</v>
      </c>
      <c r="D114" s="465" t="s">
        <v>2226</v>
      </c>
      <c r="E114" s="478">
        <v>0.1</v>
      </c>
      <c r="F114" s="478">
        <v>15</v>
      </c>
    </row>
    <row r="115" spans="1:6" ht="13.5">
      <c r="A115" s="478">
        <v>41</v>
      </c>
      <c r="B115" s="3490" t="s">
        <v>2227</v>
      </c>
      <c r="C115" s="478" t="s">
        <v>2228</v>
      </c>
      <c r="D115" s="465" t="s">
        <v>2229</v>
      </c>
      <c r="E115" s="478">
        <v>0.1</v>
      </c>
      <c r="F115" s="478">
        <v>15</v>
      </c>
    </row>
    <row r="116" spans="1:6" ht="13.5">
      <c r="A116" s="478">
        <v>42</v>
      </c>
      <c r="B116" s="3490"/>
      <c r="C116" s="478" t="s">
        <v>2230</v>
      </c>
      <c r="D116" s="465" t="s">
        <v>2231</v>
      </c>
      <c r="E116" s="478">
        <v>0.1</v>
      </c>
      <c r="F116" s="478">
        <v>15</v>
      </c>
    </row>
    <row r="117" spans="1:6" ht="24">
      <c r="A117" s="478">
        <v>43</v>
      </c>
      <c r="B117" s="3490"/>
      <c r="C117" s="478" t="s">
        <v>2232</v>
      </c>
      <c r="D117" s="465" t="s">
        <v>2233</v>
      </c>
      <c r="E117" s="478">
        <v>0.1</v>
      </c>
      <c r="F117" s="478">
        <v>15</v>
      </c>
    </row>
    <row r="118" spans="1:6" ht="13.5">
      <c r="A118" s="478">
        <v>44</v>
      </c>
      <c r="B118" s="3494" t="s">
        <v>2234</v>
      </c>
      <c r="C118" s="478" t="s">
        <v>2235</v>
      </c>
      <c r="D118" s="465" t="s">
        <v>2236</v>
      </c>
      <c r="E118" s="478">
        <v>0.1</v>
      </c>
      <c r="F118" s="478">
        <v>15</v>
      </c>
    </row>
    <row r="119" spans="1:6" ht="24">
      <c r="A119" s="478">
        <v>45</v>
      </c>
      <c r="B119" s="3496"/>
      <c r="C119" s="465" t="s">
        <v>2237</v>
      </c>
      <c r="D119" s="465" t="s">
        <v>2238</v>
      </c>
      <c r="E119" s="478">
        <v>0.1</v>
      </c>
      <c r="F119" s="478">
        <v>15</v>
      </c>
    </row>
    <row r="120" spans="1:6" ht="24">
      <c r="A120" s="478">
        <v>46</v>
      </c>
      <c r="B120" s="3494" t="s">
        <v>2239</v>
      </c>
      <c r="C120" s="478" t="s">
        <v>2240</v>
      </c>
      <c r="D120" s="465" t="s">
        <v>2241</v>
      </c>
      <c r="E120" s="478">
        <v>0.1</v>
      </c>
      <c r="F120" s="478">
        <v>15</v>
      </c>
    </row>
    <row r="121" spans="1:6" ht="24">
      <c r="A121" s="478">
        <v>47</v>
      </c>
      <c r="B121" s="3496"/>
      <c r="C121" s="478" t="s">
        <v>2242</v>
      </c>
      <c r="D121" s="465" t="s">
        <v>2243</v>
      </c>
      <c r="E121" s="478">
        <v>0.1</v>
      </c>
      <c r="F121" s="478">
        <v>15</v>
      </c>
    </row>
    <row r="122" spans="1:6" ht="13.5">
      <c r="A122" s="478">
        <v>48</v>
      </c>
      <c r="B122" s="3494" t="s">
        <v>2244</v>
      </c>
      <c r="C122" s="478" t="s">
        <v>2245</v>
      </c>
      <c r="D122" s="465" t="s">
        <v>2246</v>
      </c>
      <c r="E122" s="478">
        <v>0.1</v>
      </c>
      <c r="F122" s="478">
        <v>15</v>
      </c>
    </row>
    <row r="123" spans="1:6" ht="13.5">
      <c r="A123" s="478">
        <v>49</v>
      </c>
      <c r="B123" s="3496"/>
      <c r="C123" s="478" t="s">
        <v>2247</v>
      </c>
      <c r="D123" s="465" t="s">
        <v>2248</v>
      </c>
      <c r="E123" s="478">
        <v>0.1</v>
      </c>
      <c r="F123" s="478">
        <v>15</v>
      </c>
    </row>
    <row r="124" spans="1:6" ht="24">
      <c r="A124" s="478">
        <v>50</v>
      </c>
      <c r="B124" s="3490" t="s">
        <v>2249</v>
      </c>
      <c r="C124" s="478" t="s">
        <v>2250</v>
      </c>
      <c r="D124" s="465" t="s">
        <v>2251</v>
      </c>
      <c r="E124" s="478">
        <v>0.1</v>
      </c>
      <c r="F124" s="478">
        <v>15</v>
      </c>
    </row>
    <row r="125" spans="1:6" ht="24">
      <c r="A125" s="478">
        <v>51</v>
      </c>
      <c r="B125" s="3490"/>
      <c r="C125" s="478" t="s">
        <v>2252</v>
      </c>
      <c r="D125" s="465" t="s">
        <v>2253</v>
      </c>
      <c r="E125" s="478">
        <v>0.1</v>
      </c>
      <c r="F125" s="478">
        <v>15</v>
      </c>
    </row>
    <row r="126" spans="1:6" ht="24">
      <c r="A126" s="478">
        <v>52</v>
      </c>
      <c r="B126" s="3490" t="s">
        <v>2254</v>
      </c>
      <c r="C126" s="478" t="s">
        <v>2255</v>
      </c>
      <c r="D126" s="465" t="s">
        <v>2256</v>
      </c>
      <c r="E126" s="478">
        <v>0.1</v>
      </c>
      <c r="F126" s="478">
        <v>15</v>
      </c>
    </row>
    <row r="127" spans="1:6" ht="24">
      <c r="A127" s="478">
        <v>53</v>
      </c>
      <c r="B127" s="3490"/>
      <c r="C127" s="478" t="s">
        <v>2257</v>
      </c>
      <c r="D127" s="465" t="s">
        <v>2258</v>
      </c>
      <c r="E127" s="478">
        <v>0.1</v>
      </c>
      <c r="F127" s="478">
        <v>15</v>
      </c>
    </row>
    <row r="128" spans="1:6" ht="13.5">
      <c r="A128" s="478">
        <v>54</v>
      </c>
      <c r="B128" s="478" t="s">
        <v>2259</v>
      </c>
      <c r="C128" s="478" t="s">
        <v>2260</v>
      </c>
      <c r="D128" s="465" t="s">
        <v>2261</v>
      </c>
      <c r="E128" s="478">
        <v>0.1</v>
      </c>
      <c r="F128" s="478">
        <v>15</v>
      </c>
    </row>
    <row r="129" spans="1:6" ht="13.5">
      <c r="A129" s="478">
        <v>55</v>
      </c>
      <c r="B129" s="3490" t="s">
        <v>2262</v>
      </c>
      <c r="C129" s="478" t="s">
        <v>2263</v>
      </c>
      <c r="D129" s="465" t="s">
        <v>2264</v>
      </c>
      <c r="E129" s="478">
        <v>0.1</v>
      </c>
      <c r="F129" s="478">
        <v>15</v>
      </c>
    </row>
    <row r="130" spans="1:6" ht="13.5">
      <c r="A130" s="478">
        <v>56</v>
      </c>
      <c r="B130" s="3490"/>
      <c r="C130" s="478" t="s">
        <v>2265</v>
      </c>
      <c r="D130" s="465" t="s">
        <v>2266</v>
      </c>
      <c r="E130" s="478">
        <v>0.1</v>
      </c>
      <c r="F130" s="478">
        <v>15</v>
      </c>
    </row>
    <row r="131" spans="1:6" ht="24">
      <c r="A131" s="478">
        <v>57</v>
      </c>
      <c r="B131" s="3490"/>
      <c r="C131" s="478" t="s">
        <v>2267</v>
      </c>
      <c r="D131" s="465" t="s">
        <v>2268</v>
      </c>
      <c r="E131" s="478">
        <v>0.1</v>
      </c>
      <c r="F131" s="478">
        <v>15</v>
      </c>
    </row>
    <row r="132" spans="1:6" ht="24">
      <c r="A132" s="478">
        <v>58</v>
      </c>
      <c r="B132" s="3490" t="s">
        <v>2269</v>
      </c>
      <c r="C132" s="478" t="s">
        <v>2270</v>
      </c>
      <c r="D132" s="465" t="s">
        <v>2271</v>
      </c>
      <c r="E132" s="478">
        <v>0.1</v>
      </c>
      <c r="F132" s="478">
        <v>15</v>
      </c>
    </row>
    <row r="133" spans="1:6" ht="13.5">
      <c r="A133" s="478">
        <v>59</v>
      </c>
      <c r="B133" s="3490"/>
      <c r="C133" s="478" t="s">
        <v>2272</v>
      </c>
      <c r="D133" s="465" t="s">
        <v>2273</v>
      </c>
      <c r="E133" s="478">
        <v>0.1</v>
      </c>
      <c r="F133" s="478">
        <v>15</v>
      </c>
    </row>
    <row r="134" spans="1:6" ht="13.5">
      <c r="A134" s="478">
        <v>60</v>
      </c>
      <c r="B134" s="3494" t="s">
        <v>2274</v>
      </c>
      <c r="C134" s="478" t="s">
        <v>2275</v>
      </c>
      <c r="D134" s="465" t="s">
        <v>2276</v>
      </c>
      <c r="E134" s="478">
        <v>0.1</v>
      </c>
      <c r="F134" s="478">
        <v>15</v>
      </c>
    </row>
    <row r="135" spans="1:6" ht="13.5">
      <c r="A135" s="478">
        <v>61</v>
      </c>
      <c r="B135" s="3496"/>
      <c r="C135" s="478" t="s">
        <v>2277</v>
      </c>
      <c r="D135" s="465" t="s">
        <v>2278</v>
      </c>
      <c r="E135" s="478">
        <v>0.1</v>
      </c>
      <c r="F135" s="478">
        <v>15</v>
      </c>
    </row>
    <row r="136" spans="1:6" ht="24">
      <c r="A136" s="478">
        <v>62</v>
      </c>
      <c r="B136" s="478" t="s">
        <v>2279</v>
      </c>
      <c r="C136" s="478" t="s">
        <v>2280</v>
      </c>
      <c r="D136" s="465" t="s">
        <v>2281</v>
      </c>
      <c r="E136" s="478">
        <v>0.1</v>
      </c>
      <c r="F136" s="478">
        <v>15</v>
      </c>
    </row>
    <row r="137" spans="1:6" ht="13.5">
      <c r="A137" s="478">
        <v>63</v>
      </c>
      <c r="B137" s="3490" t="s">
        <v>2282</v>
      </c>
      <c r="C137" s="478" t="s">
        <v>2283</v>
      </c>
      <c r="D137" s="465" t="s">
        <v>2284</v>
      </c>
      <c r="E137" s="478">
        <v>0.1</v>
      </c>
      <c r="F137" s="478">
        <v>15</v>
      </c>
    </row>
    <row r="138" spans="1:6" ht="13.5">
      <c r="A138" s="478">
        <v>64</v>
      </c>
      <c r="B138" s="3490"/>
      <c r="C138" s="478" t="s">
        <v>2285</v>
      </c>
      <c r="D138" s="465" t="s">
        <v>2286</v>
      </c>
      <c r="E138" s="478">
        <v>0.1</v>
      </c>
      <c r="F138" s="478">
        <v>15</v>
      </c>
    </row>
    <row r="139" spans="1:6" ht="13.5">
      <c r="A139" s="478">
        <v>65</v>
      </c>
      <c r="B139" s="478" t="s">
        <v>2287</v>
      </c>
      <c r="C139" s="478" t="s">
        <v>2288</v>
      </c>
      <c r="D139" s="465" t="s">
        <v>2289</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2290</v>
      </c>
      <c r="B1" s="424"/>
      <c r="C1" s="424"/>
      <c r="D1" s="424"/>
      <c r="E1" s="424"/>
      <c r="F1" s="424"/>
      <c r="G1" s="424"/>
      <c r="H1" s="424"/>
      <c r="I1" s="424"/>
      <c r="J1" s="424"/>
      <c r="K1" s="424"/>
      <c r="L1" s="424"/>
      <c r="M1" s="424"/>
      <c r="N1" s="425"/>
    </row>
    <row r="2" spans="1:20">
      <c r="A2" s="426" t="s">
        <v>2291</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2292</v>
      </c>
      <c r="R2" s="431" t="s">
        <v>2293</v>
      </c>
      <c r="S2" s="431" t="s">
        <v>2294</v>
      </c>
      <c r="T2" s="431" t="s">
        <v>2295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2296</v>
      </c>
      <c r="B93" s="424"/>
      <c r="C93" s="424"/>
      <c r="D93" s="424"/>
      <c r="E93" s="424"/>
      <c r="F93" s="424"/>
      <c r="G93" s="424"/>
      <c r="H93" s="424"/>
      <c r="I93" s="424"/>
      <c r="J93" s="424"/>
      <c r="K93" s="424"/>
      <c r="L93" s="424"/>
      <c r="M93" s="424"/>
    </row>
    <row r="94" spans="1:20">
      <c r="A94" s="426" t="s">
        <v>2291</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2292</v>
      </c>
      <c r="R94" s="431" t="s">
        <v>2293</v>
      </c>
      <c r="S94" s="431" t="s">
        <v>2294</v>
      </c>
      <c r="T94" s="431" t="s">
        <v>2295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2297</v>
      </c>
      <c r="B185" s="424"/>
      <c r="C185" s="424"/>
      <c r="D185" s="424"/>
      <c r="E185" s="424"/>
      <c r="F185" s="424"/>
      <c r="G185" s="424"/>
      <c r="H185" s="424"/>
      <c r="I185" s="424"/>
      <c r="J185" s="424"/>
      <c r="K185" s="424"/>
      <c r="L185" s="424"/>
      <c r="M185" s="424"/>
    </row>
    <row r="186" spans="1:20">
      <c r="A186" s="426" t="s">
        <v>2291</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2292</v>
      </c>
      <c r="R186" s="431" t="s">
        <v>2293</v>
      </c>
      <c r="S186" s="431" t="s">
        <v>2294</v>
      </c>
      <c r="T186" s="431" t="s">
        <v>2295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2298</v>
      </c>
      <c r="B277" s="424"/>
      <c r="C277" s="424"/>
      <c r="D277" s="424"/>
      <c r="E277" s="424"/>
      <c r="F277" s="424"/>
      <c r="G277" s="424"/>
      <c r="H277" s="424"/>
      <c r="I277" s="424"/>
      <c r="J277" s="424"/>
      <c r="K277" s="424"/>
      <c r="L277" s="424"/>
      <c r="M277" s="424"/>
    </row>
    <row r="278" spans="1:21">
      <c r="A278" s="426" t="s">
        <v>2291</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2292</v>
      </c>
      <c r="R278" s="431" t="s">
        <v>2293</v>
      </c>
      <c r="S278" s="431" t="s">
        <v>2299</v>
      </c>
      <c r="T278" s="431" t="s">
        <v>2300</v>
      </c>
      <c r="U278" s="431" t="s">
        <v>2295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2301</v>
      </c>
      <c r="B369" s="439"/>
      <c r="C369" s="439"/>
      <c r="D369" s="439"/>
      <c r="E369" s="439"/>
      <c r="F369" s="439"/>
      <c r="G369" s="439"/>
      <c r="H369" s="439"/>
      <c r="I369" s="439"/>
      <c r="J369" s="439"/>
      <c r="K369" s="439"/>
      <c r="L369" s="439"/>
      <c r="M369" s="439"/>
    </row>
    <row r="370" spans="1:20">
      <c r="A370" s="426" t="s">
        <v>2291</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2292</v>
      </c>
      <c r="R370" s="431" t="s">
        <v>2293</v>
      </c>
      <c r="S370" s="431" t="s">
        <v>2294</v>
      </c>
      <c r="T370" s="431" t="s">
        <v>2295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2302</v>
      </c>
      <c r="B1" s="342"/>
      <c r="C1" s="343"/>
      <c r="D1" s="343"/>
      <c r="E1" s="343"/>
      <c r="F1" s="343"/>
      <c r="G1" s="344"/>
    </row>
    <row r="2" spans="1:7" s="333" customFormat="1" ht="18" customHeight="1">
      <c r="A2" s="345" t="s">
        <v>2303</v>
      </c>
      <c r="B2" s="346">
        <f ca="1">C52</f>
        <v>59616</v>
      </c>
      <c r="C2" s="347" t="s">
        <v>1397</v>
      </c>
      <c r="D2" s="344"/>
      <c r="E2" s="344"/>
      <c r="F2" s="344"/>
      <c r="G2" s="344"/>
    </row>
    <row r="3" spans="1:7" s="333" customFormat="1" ht="18" customHeight="1">
      <c r="A3" s="348" t="s">
        <v>2304</v>
      </c>
      <c r="B3" s="349">
        <f ca="1">ROUND(B2*10000/'数据-汇总表'!E3,0)</f>
        <v>11785</v>
      </c>
      <c r="C3" s="347" t="s">
        <v>1812</v>
      </c>
      <c r="D3" s="344"/>
      <c r="E3" s="344"/>
      <c r="F3" s="344"/>
      <c r="G3" s="344"/>
    </row>
    <row r="4" spans="1:7" s="334" customFormat="1" ht="15.75">
      <c r="A4" s="350" t="s">
        <v>2305</v>
      </c>
      <c r="B4" s="351"/>
      <c r="C4" s="351"/>
      <c r="D4" s="351"/>
      <c r="E4" s="351"/>
      <c r="F4" s="351"/>
      <c r="G4" s="352"/>
    </row>
    <row r="5" spans="1:7" s="335" customFormat="1" ht="13.5" customHeight="1">
      <c r="A5" s="353" t="s">
        <v>1050</v>
      </c>
      <c r="B5" s="354" t="s">
        <v>2306</v>
      </c>
      <c r="C5" s="355">
        <f>C6+C7+C8</f>
        <v>20610</v>
      </c>
      <c r="D5" s="355" t="s">
        <v>2307</v>
      </c>
      <c r="E5" s="356" t="s">
        <v>2308</v>
      </c>
      <c r="F5" s="356" t="s">
        <v>2309</v>
      </c>
      <c r="G5" s="357"/>
    </row>
    <row r="6" spans="1:7" s="335" customFormat="1" ht="13.5" customHeight="1">
      <c r="A6" s="358" t="s">
        <v>1054</v>
      </c>
      <c r="B6" s="359" t="s">
        <v>2310</v>
      </c>
      <c r="C6" s="360">
        <v>20000</v>
      </c>
      <c r="D6" s="361"/>
      <c r="E6" s="362"/>
      <c r="F6" s="362"/>
      <c r="G6" s="363"/>
    </row>
    <row r="7" spans="1:7" s="335" customFormat="1" ht="13.5" customHeight="1">
      <c r="A7" s="358" t="s">
        <v>1056</v>
      </c>
      <c r="B7" s="359" t="s">
        <v>2311</v>
      </c>
      <c r="C7" s="364">
        <f>ROUND(C6*F7,0)</f>
        <v>610</v>
      </c>
      <c r="D7" s="364"/>
      <c r="E7" s="362"/>
      <c r="F7" s="365">
        <f>'数据-取费表'!B48+'数据-取费表'!B49</f>
        <v>3.0499999999999999E-2</v>
      </c>
      <c r="G7" s="363"/>
    </row>
    <row r="8" spans="1:7" s="336" customFormat="1">
      <c r="A8" s="358" t="s">
        <v>1058</v>
      </c>
      <c r="B8" s="359" t="s">
        <v>2312</v>
      </c>
      <c r="C8" s="364" t="str">
        <f>IF(G8="已包含在土地购买价格中","0",'数据-取费表'!B29)</f>
        <v>0</v>
      </c>
      <c r="D8" s="366"/>
      <c r="E8" s="364"/>
      <c r="F8" s="365"/>
      <c r="G8" s="367" t="s">
        <v>2313</v>
      </c>
    </row>
    <row r="9" spans="1:7" s="335" customFormat="1" ht="13.5" customHeight="1">
      <c r="A9" s="368" t="s">
        <v>1060</v>
      </c>
      <c r="B9" s="369" t="s">
        <v>2314</v>
      </c>
      <c r="C9" s="370">
        <f>ROUND(D9*E9/10000,0)</f>
        <v>0</v>
      </c>
      <c r="D9" s="371">
        <f>'数据-汇总表'!E5</f>
        <v>0</v>
      </c>
      <c r="E9" s="370">
        <f>'数据-取费表'!B27</f>
        <v>0</v>
      </c>
      <c r="F9" s="365"/>
      <c r="G9" s="372"/>
    </row>
    <row r="10" spans="1:7" s="335" customFormat="1" ht="13.5" customHeight="1">
      <c r="A10" s="368" t="s">
        <v>1063</v>
      </c>
      <c r="B10" s="369" t="s">
        <v>2315</v>
      </c>
      <c r="C10" s="370">
        <f>ROUND(D10*E10/10000,0)</f>
        <v>1012</v>
      </c>
      <c r="D10" s="371">
        <f>'数据-汇总表'!E6</f>
        <v>50585.8</v>
      </c>
      <c r="E10" s="370">
        <f>'数据-取费表'!B28</f>
        <v>200</v>
      </c>
      <c r="F10" s="365"/>
      <c r="G10" s="372"/>
    </row>
    <row r="11" spans="1:7" s="335" customFormat="1" ht="13.5" hidden="1" customHeight="1">
      <c r="A11" s="373" t="s">
        <v>1065</v>
      </c>
      <c r="B11" s="359" t="s">
        <v>2316</v>
      </c>
      <c r="C11" s="355"/>
      <c r="D11" s="362"/>
      <c r="E11" s="362"/>
      <c r="F11" s="362"/>
      <c r="G11" s="363"/>
    </row>
    <row r="12" spans="1:7" s="335" customFormat="1" ht="13.5" hidden="1" customHeight="1">
      <c r="A12" s="373" t="s">
        <v>1067</v>
      </c>
      <c r="B12" s="359" t="s">
        <v>2317</v>
      </c>
      <c r="C12" s="355">
        <v>0</v>
      </c>
      <c r="D12" s="362"/>
      <c r="E12" s="374"/>
      <c r="F12" s="365">
        <v>3.0499999999999999E-2</v>
      </c>
      <c r="G12" s="363"/>
    </row>
    <row r="13" spans="1:7" s="335" customFormat="1" ht="13.5" hidden="1" customHeight="1">
      <c r="A13" s="373" t="s">
        <v>1068</v>
      </c>
      <c r="B13" s="359" t="s">
        <v>2318</v>
      </c>
      <c r="C13" s="355"/>
      <c r="D13" s="362"/>
      <c r="E13" s="362"/>
      <c r="F13" s="362"/>
      <c r="G13" s="363"/>
    </row>
    <row r="14" spans="1:7" s="335" customFormat="1" ht="13.5" hidden="1" customHeight="1">
      <c r="A14" s="373" t="s">
        <v>1070</v>
      </c>
      <c r="B14" s="359" t="s">
        <v>2312</v>
      </c>
      <c r="C14" s="355"/>
      <c r="D14" s="362"/>
      <c r="E14" s="362"/>
      <c r="F14" s="362"/>
      <c r="G14" s="363" t="s">
        <v>2319</v>
      </c>
    </row>
    <row r="15" spans="1:7" s="335" customFormat="1" ht="13.5" hidden="1" customHeight="1">
      <c r="A15" s="373" t="s">
        <v>1072</v>
      </c>
      <c r="B15" s="359" t="s">
        <v>2320</v>
      </c>
      <c r="C15" s="364"/>
      <c r="D15" s="362"/>
      <c r="E15" s="362"/>
      <c r="F15" s="362"/>
      <c r="G15" s="363" t="s">
        <v>2321</v>
      </c>
    </row>
    <row r="16" spans="1:7" s="335" customFormat="1" ht="13.5" hidden="1" customHeight="1">
      <c r="A16" s="373" t="s">
        <v>1075</v>
      </c>
      <c r="B16" s="359" t="s">
        <v>2312</v>
      </c>
      <c r="C16" s="364"/>
      <c r="D16" s="362"/>
      <c r="E16" s="362"/>
      <c r="F16" s="362"/>
      <c r="G16" s="363"/>
    </row>
    <row r="17" spans="1:7" s="335" customFormat="1" ht="13.5" hidden="1" customHeight="1">
      <c r="A17" s="373" t="s">
        <v>1076</v>
      </c>
      <c r="B17" s="359" t="s">
        <v>2322</v>
      </c>
      <c r="C17" s="375"/>
      <c r="D17" s="375"/>
      <c r="E17" s="375"/>
      <c r="F17" s="375"/>
      <c r="G17" s="363" t="s">
        <v>2321</v>
      </c>
    </row>
    <row r="18" spans="1:7" s="335" customFormat="1" ht="13.5" hidden="1" customHeight="1">
      <c r="A18" s="373" t="s">
        <v>1078</v>
      </c>
      <c r="B18" s="359" t="s">
        <v>2323</v>
      </c>
      <c r="C18" s="364">
        <v>0</v>
      </c>
      <c r="D18" s="362"/>
      <c r="E18" s="362"/>
      <c r="F18" s="365">
        <v>3.0499999999999999E-2</v>
      </c>
      <c r="G18" s="363" t="s">
        <v>2324</v>
      </c>
    </row>
    <row r="19" spans="1:7" s="336" customFormat="1" ht="13.5" customHeight="1">
      <c r="A19" s="376" t="s">
        <v>1915</v>
      </c>
      <c r="B19" s="354" t="s">
        <v>2325</v>
      </c>
      <c r="C19" s="355">
        <f>IF(G19="已包含在土地取得成本中","0",ROUND(D19*E19/10000,0))</f>
        <v>1012</v>
      </c>
      <c r="D19" s="356">
        <f>'数据-汇总表'!E3</f>
        <v>50585.8</v>
      </c>
      <c r="E19" s="355">
        <f>'数据-取费表'!B31</f>
        <v>200</v>
      </c>
      <c r="F19" s="377"/>
      <c r="G19" s="367" t="s">
        <v>2326</v>
      </c>
    </row>
    <row r="20" spans="1:7" s="335" customFormat="1" ht="13.5" customHeight="1">
      <c r="A20" s="376" t="s">
        <v>1951</v>
      </c>
      <c r="B20" s="354" t="s">
        <v>2327</v>
      </c>
      <c r="C20" s="378">
        <f>ROUND((C5+C19)*F20,0)</f>
        <v>432</v>
      </c>
      <c r="D20" s="378"/>
      <c r="E20" s="378"/>
      <c r="F20" s="379">
        <f>'数据-取费表'!B37</f>
        <v>0.02</v>
      </c>
      <c r="G20" s="380" t="s">
        <v>2328</v>
      </c>
    </row>
    <row r="21" spans="1:7" s="335" customFormat="1" ht="13.5" customHeight="1">
      <c r="A21" s="376" t="s">
        <v>1956</v>
      </c>
      <c r="B21" s="354" t="s">
        <v>2329</v>
      </c>
      <c r="C21" s="381">
        <f>F21</f>
        <v>0.02</v>
      </c>
      <c r="D21" s="382" t="s">
        <v>2330</v>
      </c>
      <c r="E21" s="378"/>
      <c r="F21" s="379">
        <f>'数据-取费表'!B38</f>
        <v>0.02</v>
      </c>
      <c r="G21" s="383" t="s">
        <v>2331</v>
      </c>
    </row>
    <row r="22" spans="1:7" s="335" customFormat="1" ht="13.5" customHeight="1">
      <c r="A22" s="376" t="s">
        <v>1965</v>
      </c>
      <c r="B22" s="354" t="s">
        <v>2332</v>
      </c>
      <c r="C22" s="384">
        <f ca="1">ROUND(SUM(C23:C25),0)</f>
        <v>1388</v>
      </c>
      <c r="D22" s="381">
        <f ca="1">C26</f>
        <v>5.9999999999999995E-4</v>
      </c>
      <c r="E22" s="382" t="s">
        <v>2330</v>
      </c>
      <c r="F22" s="385">
        <f ca="1">'数据-取费表'!B40</f>
        <v>3.1300000000000001E-2</v>
      </c>
      <c r="G22" s="380" t="str">
        <f>IF('数据-取费表'!B22&lt;=1,"单利计息","复利计息")</f>
        <v>复利计息</v>
      </c>
    </row>
    <row r="23" spans="1:7" s="335" customFormat="1" ht="13.5" customHeight="1">
      <c r="A23" s="386" t="s">
        <v>1054</v>
      </c>
      <c r="B23" s="359" t="s">
        <v>2333</v>
      </c>
      <c r="C23" s="387">
        <f ca="1">ROUND(IF('数据-取费表'!B22&lt;=1,C5*F22*'数据-取费表'!B23,C5*(POWER((1+F22),'数据-取费表'!B23)-1)),0)</f>
        <v>1310</v>
      </c>
      <c r="D23" s="388"/>
      <c r="E23" s="388"/>
      <c r="F23" s="389"/>
      <c r="G23" s="390" t="s">
        <v>2334</v>
      </c>
    </row>
    <row r="24" spans="1:7" s="335" customFormat="1" ht="13.5" customHeight="1">
      <c r="A24" s="386" t="s">
        <v>1056</v>
      </c>
      <c r="B24" s="359" t="s">
        <v>2335</v>
      </c>
      <c r="C24" s="387">
        <f ca="1">ROUND(IF('数据-取费表'!B22&lt;=1,C19*F22*('数据-取费表'!B19/2+'数据-取费表'!B21),C19*(POWER((1+F22),('数据-取费表'!B19/2+'数据-取费表'!B21))-1)),0)</f>
        <v>64</v>
      </c>
      <c r="D24" s="388"/>
      <c r="E24" s="388"/>
      <c r="F24" s="389"/>
      <c r="G24" s="390" t="s">
        <v>2336</v>
      </c>
    </row>
    <row r="25" spans="1:7" s="335" customFormat="1" ht="24">
      <c r="A25" s="386" t="s">
        <v>1058</v>
      </c>
      <c r="B25" s="359" t="s">
        <v>2337</v>
      </c>
      <c r="C25" s="387">
        <f ca="1">ROUND(IF('数据-取费表'!B22&lt;=1,C20*F22*'数据-取费表'!B23/2,C20*(POWER((1+F22),'数据-取费表'!B23/2)-1)),0)</f>
        <v>14</v>
      </c>
      <c r="D25" s="388"/>
      <c r="E25" s="391"/>
      <c r="F25" s="389"/>
      <c r="G25" s="392" t="s">
        <v>2338</v>
      </c>
    </row>
    <row r="26" spans="1:7" s="335" customFormat="1">
      <c r="A26" s="386" t="s">
        <v>1098</v>
      </c>
      <c r="B26" s="359" t="s">
        <v>2339</v>
      </c>
      <c r="C26" s="388">
        <f ca="1">ROUND(IF('数据-取费表'!B22&lt;=1,F21*F22*'数据-取费表'!B23/2,F21*(POWER((1+F22),'数据-取费表'!B23/2)-1)),4)</f>
        <v>5.9999999999999995E-4</v>
      </c>
      <c r="D26" s="388"/>
      <c r="E26" s="391"/>
      <c r="F26" s="389"/>
      <c r="G26" s="393"/>
    </row>
    <row r="27" spans="1:7" s="335" customFormat="1" ht="24.75">
      <c r="A27" s="376" t="s">
        <v>1974</v>
      </c>
      <c r="B27" s="394" t="s">
        <v>2340</v>
      </c>
      <c r="C27" s="395">
        <f>C28</f>
        <v>3970</v>
      </c>
      <c r="D27" s="381">
        <f>C29</f>
        <v>3.5999999999999999E-3</v>
      </c>
      <c r="E27" s="382" t="s">
        <v>2330</v>
      </c>
      <c r="F27" s="396">
        <f>'数据-取费表'!Q16</f>
        <v>0.18</v>
      </c>
      <c r="G27" s="397" t="s">
        <v>2341</v>
      </c>
    </row>
    <row r="28" spans="1:7" s="335" customFormat="1" ht="13.5" customHeight="1">
      <c r="A28" s="386" t="s">
        <v>1054</v>
      </c>
      <c r="B28" s="398" t="s">
        <v>2342</v>
      </c>
      <c r="C28" s="399">
        <f>ROUND((C5+C19+C20)*F27*'数据-取费表'!B21/'数据-取费表'!B20,0)</f>
        <v>3970</v>
      </c>
      <c r="D28" s="381"/>
      <c r="E28" s="382"/>
      <c r="F28" s="396"/>
      <c r="G28" s="397"/>
    </row>
    <row r="29" spans="1:7" s="335" customFormat="1" ht="13.5" customHeight="1">
      <c r="A29" s="386" t="s">
        <v>1056</v>
      </c>
      <c r="B29" s="398" t="s">
        <v>2343</v>
      </c>
      <c r="C29" s="388">
        <f>ROUND(C21*F27*'数据-取费表'!B21/'数据-取费表'!B20,4)</f>
        <v>3.5999999999999999E-3</v>
      </c>
      <c r="D29" s="381"/>
      <c r="E29" s="382"/>
      <c r="F29" s="396"/>
      <c r="G29" s="397"/>
    </row>
    <row r="30" spans="1:7" s="335" customFormat="1" ht="13.5" customHeight="1">
      <c r="A30" s="376" t="s">
        <v>2344</v>
      </c>
      <c r="B30" s="354" t="s">
        <v>2345</v>
      </c>
      <c r="C30" s="381">
        <f>F30</f>
        <v>5.6000000000000001E-2</v>
      </c>
      <c r="D30" s="382" t="s">
        <v>2346</v>
      </c>
      <c r="E30" s="391"/>
      <c r="F30" s="385">
        <f>'数据-取费表'!B41</f>
        <v>5.6000000000000001E-2</v>
      </c>
      <c r="G30" s="383" t="s">
        <v>2347</v>
      </c>
    </row>
    <row r="31" spans="1:7" ht="16.5" customHeight="1">
      <c r="A31" s="400">
        <v>1</v>
      </c>
      <c r="B31" s="354" t="s">
        <v>2348</v>
      </c>
      <c r="C31" s="355">
        <f ca="1">ROUND((C5+C19+C20+C22+C27)/(1-C21-D22-D27-C30/(1+'数据-取费表'!B42)),0)</f>
        <v>29716</v>
      </c>
      <c r="D31" s="401"/>
      <c r="E31" s="355"/>
      <c r="F31" s="402"/>
      <c r="G31" s="383" t="s">
        <v>2349</v>
      </c>
    </row>
    <row r="32" spans="1:7" s="334" customFormat="1" ht="15.75">
      <c r="A32" s="403" t="s">
        <v>2350</v>
      </c>
      <c r="B32" s="404"/>
      <c r="C32" s="404"/>
      <c r="D32" s="404"/>
      <c r="E32" s="404"/>
      <c r="F32" s="404"/>
      <c r="G32" s="405"/>
    </row>
    <row r="33" spans="1:7" s="335" customFormat="1" ht="13.5" customHeight="1">
      <c r="A33" s="353" t="s">
        <v>1050</v>
      </c>
      <c r="B33" s="354" t="s">
        <v>2351</v>
      </c>
      <c r="C33" s="406">
        <f>SUM(C34:C38)</f>
        <v>25368</v>
      </c>
      <c r="D33" s="378"/>
      <c r="E33" s="356"/>
      <c r="F33" s="391"/>
      <c r="G33" s="383"/>
    </row>
    <row r="34" spans="1:7" s="337" customFormat="1" ht="13.5" customHeight="1">
      <c r="A34" s="386" t="s">
        <v>1054</v>
      </c>
      <c r="B34" s="359" t="s">
        <v>2352</v>
      </c>
      <c r="C34" s="364">
        <f>IF(F34=100%,'数据-取费表'!M16-SUMIF('数据-取费表'!C:C,"公共配套",'数据-取费表'!M:M),'数据-取费表'!O16-SUMIF('数据-取费表'!C:C,"公共配套",'数据-取费表'!O:O))</f>
        <v>22763</v>
      </c>
      <c r="D34" s="361"/>
      <c r="E34" s="364"/>
      <c r="F34" s="407">
        <f>IF('数据-取费表'!B24=0,1,'数据-取费表'!N16)</f>
        <v>1</v>
      </c>
      <c r="G34" s="363" t="s">
        <v>2353</v>
      </c>
    </row>
    <row r="35" spans="1:7" ht="13.5" customHeight="1">
      <c r="A35" s="386" t="s">
        <v>1056</v>
      </c>
      <c r="B35" s="359" t="s">
        <v>2354</v>
      </c>
      <c r="C35" s="364">
        <f>ROUND(C34*F35,0)</f>
        <v>1138</v>
      </c>
      <c r="D35" s="364"/>
      <c r="E35" s="364"/>
      <c r="F35" s="408">
        <f>'数据-取费表'!B33</f>
        <v>0.05</v>
      </c>
      <c r="G35" s="363" t="s">
        <v>2355</v>
      </c>
    </row>
    <row r="36" spans="1:7" ht="24">
      <c r="A36" s="386" t="s">
        <v>1058</v>
      </c>
      <c r="B36" s="359" t="s">
        <v>2356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2357</v>
      </c>
    </row>
    <row r="37" spans="1:7" s="337" customFormat="1" ht="13.5" customHeight="1">
      <c r="A37" s="386" t="s">
        <v>1098</v>
      </c>
      <c r="B37" s="359" t="s">
        <v>2358</v>
      </c>
      <c r="C37" s="399">
        <f>ROUND(E37*D37*F34/10000,0)</f>
        <v>1012</v>
      </c>
      <c r="D37" s="361">
        <f>'数据-汇总表'!E3</f>
        <v>50585.8</v>
      </c>
      <c r="E37" s="399">
        <f>'数据-取费表'!B35</f>
        <v>200</v>
      </c>
      <c r="F37" s="408"/>
      <c r="G37" s="410" t="s">
        <v>2359</v>
      </c>
    </row>
    <row r="38" spans="1:7" ht="13.5" customHeight="1">
      <c r="A38" s="386" t="s">
        <v>1120</v>
      </c>
      <c r="B38" s="359" t="s">
        <v>2317</v>
      </c>
      <c r="C38" s="364">
        <f>ROUND(C34*F38,0)</f>
        <v>455</v>
      </c>
      <c r="D38" s="364"/>
      <c r="E38" s="364"/>
      <c r="F38" s="408">
        <f>'数据-取费表'!B36</f>
        <v>0.02</v>
      </c>
      <c r="G38" s="363" t="s">
        <v>2355</v>
      </c>
    </row>
    <row r="39" spans="1:7" s="335" customFormat="1" ht="13.5" customHeight="1">
      <c r="A39" s="376" t="s">
        <v>1915</v>
      </c>
      <c r="B39" s="354" t="s">
        <v>2327</v>
      </c>
      <c r="C39" s="378">
        <f>ROUND(C33*F20,0)</f>
        <v>507</v>
      </c>
      <c r="D39" s="378"/>
      <c r="E39" s="378"/>
      <c r="F39" s="379"/>
      <c r="G39" s="380" t="s">
        <v>2360</v>
      </c>
    </row>
    <row r="40" spans="1:7" s="335" customFormat="1" ht="13.5" customHeight="1">
      <c r="A40" s="376" t="s">
        <v>1951</v>
      </c>
      <c r="B40" s="354" t="s">
        <v>2329</v>
      </c>
      <c r="C40" s="411">
        <f>F21</f>
        <v>0.02</v>
      </c>
      <c r="D40" s="382" t="s">
        <v>2361</v>
      </c>
      <c r="E40" s="378"/>
      <c r="F40" s="379"/>
      <c r="G40" s="383" t="s">
        <v>2362</v>
      </c>
    </row>
    <row r="41" spans="1:7" s="335" customFormat="1" ht="13.5" customHeight="1">
      <c r="A41" s="376" t="s">
        <v>1956</v>
      </c>
      <c r="B41" s="354" t="s">
        <v>2332</v>
      </c>
      <c r="C41" s="378">
        <f ca="1">ROUND(SUM(C42:C43),0)</f>
        <v>810</v>
      </c>
      <c r="D41" s="381">
        <f ca="1">C44</f>
        <v>5.9999999999999995E-4</v>
      </c>
      <c r="E41" s="382" t="s">
        <v>2361</v>
      </c>
      <c r="F41" s="385"/>
      <c r="G41" s="380" t="str">
        <f>IF('数据-取费表'!B22&lt;=1,"单利计息","复利计息")</f>
        <v>复利计息</v>
      </c>
    </row>
    <row r="42" spans="1:7" ht="13.5" customHeight="1">
      <c r="A42" s="386" t="s">
        <v>1054</v>
      </c>
      <c r="B42" s="359" t="s">
        <v>2333</v>
      </c>
      <c r="C42" s="388">
        <f ca="1">ROUND(IF('数据-取费表'!B22&lt;=1,C33*F22*'数据-取费表'!B21/2,C33*(POWER((1+F22),'数据-取费表'!B21/2)-1)),0)</f>
        <v>794</v>
      </c>
      <c r="D42" s="388"/>
      <c r="E42" s="388"/>
      <c r="F42" s="389"/>
      <c r="G42" s="3360" t="s">
        <v>2363</v>
      </c>
    </row>
    <row r="43" spans="1:7" ht="13.5" customHeight="1">
      <c r="A43" s="386" t="s">
        <v>1056</v>
      </c>
      <c r="B43" s="359" t="s">
        <v>2335</v>
      </c>
      <c r="C43" s="388">
        <f ca="1">ROUND(IF('数据-取费表'!B22&lt;=1,C39*F22*'数据-取费表'!B21/2,C39*(POWER((1+F22),'数据-取费表'!B21/2)-1)),0)</f>
        <v>16</v>
      </c>
      <c r="D43" s="388"/>
      <c r="E43" s="388"/>
      <c r="F43" s="389"/>
      <c r="G43" s="3361"/>
    </row>
    <row r="44" spans="1:7" ht="13.5" customHeight="1">
      <c r="A44" s="386" t="s">
        <v>1058</v>
      </c>
      <c r="B44" s="359" t="s">
        <v>2337</v>
      </c>
      <c r="C44" s="388">
        <f ca="1">ROUND(IF('数据-取费表'!B22&lt;=1,C40*F22*'数据-取费表'!B21/2,C40*(POWER((1+F22),'数据-取费表'!B21/2)-1)),4)</f>
        <v>5.9999999999999995E-4</v>
      </c>
      <c r="D44" s="388"/>
      <c r="E44" s="388"/>
      <c r="F44" s="389"/>
      <c r="G44" s="3362"/>
    </row>
    <row r="45" spans="1:7" s="335" customFormat="1" ht="13.5" customHeight="1">
      <c r="A45" s="376" t="s">
        <v>1965</v>
      </c>
      <c r="B45" s="394" t="s">
        <v>2340</v>
      </c>
      <c r="C45" s="395">
        <f>C46</f>
        <v>4658</v>
      </c>
      <c r="D45" s="381">
        <f>C47</f>
        <v>3.5999999999999999E-3</v>
      </c>
      <c r="E45" s="382" t="s">
        <v>2361</v>
      </c>
      <c r="F45" s="396"/>
      <c r="G45" s="397" t="s">
        <v>2364</v>
      </c>
    </row>
    <row r="46" spans="1:7" s="335" customFormat="1" ht="13.5" customHeight="1">
      <c r="A46" s="386" t="s">
        <v>1054</v>
      </c>
      <c r="B46" s="398" t="s">
        <v>2365</v>
      </c>
      <c r="C46" s="399">
        <f>ROUND((C33+C39)*F27,0)</f>
        <v>4658</v>
      </c>
      <c r="D46" s="412"/>
      <c r="E46" s="382"/>
      <c r="F46" s="396"/>
      <c r="G46" s="397"/>
    </row>
    <row r="47" spans="1:7" s="335" customFormat="1" ht="13.5" customHeight="1">
      <c r="A47" s="386" t="s">
        <v>1056</v>
      </c>
      <c r="B47" s="398" t="s">
        <v>2366</v>
      </c>
      <c r="C47" s="388">
        <f>ROUND(C40*F27,4)</f>
        <v>3.5999999999999999E-3</v>
      </c>
      <c r="D47" s="412"/>
      <c r="E47" s="382"/>
      <c r="F47" s="396"/>
      <c r="G47" s="397"/>
    </row>
    <row r="48" spans="1:7" s="335" customFormat="1" ht="13.5" customHeight="1">
      <c r="A48" s="376" t="s">
        <v>1974</v>
      </c>
      <c r="B48" s="354" t="s">
        <v>2345</v>
      </c>
      <c r="C48" s="411">
        <f>F30</f>
        <v>5.6000000000000001E-2</v>
      </c>
      <c r="D48" s="382" t="s">
        <v>2367</v>
      </c>
      <c r="E48" s="378"/>
      <c r="F48" s="385"/>
      <c r="G48" s="383" t="s">
        <v>2368</v>
      </c>
    </row>
    <row r="49" spans="1:7" ht="16.5" customHeight="1">
      <c r="A49" s="376" t="s">
        <v>2344</v>
      </c>
      <c r="B49" s="354" t="s">
        <v>2369</v>
      </c>
      <c r="C49" s="378">
        <f ca="1">ROUND((C33+C39+C41+C45)/(1-C40-D41-D45-C48/(1+'数据-取费表'!B42)),0)</f>
        <v>33977</v>
      </c>
      <c r="D49" s="378"/>
      <c r="E49" s="378"/>
      <c r="F49" s="413"/>
      <c r="G49" s="383" t="s">
        <v>2370</v>
      </c>
    </row>
    <row r="50" spans="1:7" s="337" customFormat="1" ht="24">
      <c r="A50" s="376" t="s">
        <v>2371</v>
      </c>
      <c r="B50" s="354" t="s">
        <v>2372</v>
      </c>
      <c r="C50" s="378"/>
      <c r="D50" s="378"/>
      <c r="E50" s="378"/>
      <c r="F50" s="413">
        <f>IF('数据-取费表'!B24=0,'数据-取费表'!N16,1)</f>
        <v>0.88</v>
      </c>
      <c r="G50" s="397" t="s">
        <v>2373</v>
      </c>
    </row>
    <row r="51" spans="1:7" ht="16.5" customHeight="1">
      <c r="A51" s="376" t="s">
        <v>2374</v>
      </c>
      <c r="B51" s="354" t="s">
        <v>2375</v>
      </c>
      <c r="C51" s="378">
        <f ca="1">ROUND(C49*F50,0)</f>
        <v>29900</v>
      </c>
      <c r="D51" s="378"/>
      <c r="E51" s="378"/>
      <c r="F51" s="413"/>
      <c r="G51" s="383" t="s">
        <v>2376</v>
      </c>
    </row>
    <row r="52" spans="1:7" s="334" customFormat="1" ht="15.75">
      <c r="A52" s="414" t="s">
        <v>2377</v>
      </c>
      <c r="B52" s="415"/>
      <c r="C52" s="416">
        <f ca="1">C31+C51</f>
        <v>59616</v>
      </c>
      <c r="D52" s="415"/>
      <c r="E52" s="415"/>
      <c r="F52" s="415"/>
      <c r="G52" s="417"/>
    </row>
    <row r="55" spans="1:7" ht="15">
      <c r="B55" s="418" t="s">
        <v>2378</v>
      </c>
      <c r="C55" s="419"/>
    </row>
    <row r="56" spans="1:7">
      <c r="B56" s="420" t="s">
        <v>2379</v>
      </c>
      <c r="C56" s="421">
        <f ca="1">ROUND(C51/C52,3)</f>
        <v>0.502</v>
      </c>
    </row>
    <row r="57" spans="1:7">
      <c r="B57" s="420" t="s">
        <v>2380</v>
      </c>
      <c r="C57" s="422">
        <f ca="1">1-C56</f>
        <v>0.498</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7" t="s">
        <v>2381</v>
      </c>
      <c r="B1" s="3497"/>
    </row>
    <row r="2" spans="1:7">
      <c r="A2" s="299"/>
      <c r="B2" s="299"/>
    </row>
    <row r="3" spans="1:7">
      <c r="A3" s="299"/>
      <c r="B3" s="299"/>
      <c r="C3" s="300" t="s">
        <v>229</v>
      </c>
      <c r="D3" s="300" t="s">
        <v>230</v>
      </c>
      <c r="E3" s="300" t="s">
        <v>232</v>
      </c>
      <c r="F3" s="300" t="s">
        <v>233</v>
      </c>
      <c r="G3" s="300" t="s">
        <v>231</v>
      </c>
    </row>
    <row r="4" spans="1:7">
      <c r="A4" s="301" t="s">
        <v>2382</v>
      </c>
      <c r="B4" s="302" t="s">
        <v>2383</v>
      </c>
      <c r="C4" s="300"/>
      <c r="D4" s="300"/>
      <c r="E4" s="300"/>
      <c r="F4" s="300"/>
      <c r="G4" s="300"/>
    </row>
    <row r="5" spans="1:7">
      <c r="A5" s="303" t="s">
        <v>235</v>
      </c>
      <c r="B5" s="304" t="s">
        <v>2384</v>
      </c>
      <c r="C5" s="305">
        <v>9.8000000000000004E-2</v>
      </c>
      <c r="D5" s="305">
        <v>8.6999999999999994E-2</v>
      </c>
      <c r="E5" s="305">
        <v>8.6999999999999994E-2</v>
      </c>
      <c r="F5" s="305">
        <v>9.8000000000000004E-2</v>
      </c>
      <c r="G5" s="306">
        <v>9.5000000000000001E-2</v>
      </c>
    </row>
    <row r="6" spans="1:7">
      <c r="A6" s="307" t="s">
        <v>235</v>
      </c>
      <c r="B6" s="308" t="s">
        <v>2385</v>
      </c>
      <c r="C6" s="309">
        <v>9.8000000000000004E-2</v>
      </c>
      <c r="D6" s="309">
        <v>9.8000000000000004E-2</v>
      </c>
      <c r="E6" s="309">
        <v>9.8000000000000004E-2</v>
      </c>
      <c r="F6" s="309">
        <v>0.1</v>
      </c>
      <c r="G6" s="310">
        <v>9.9000000000000005E-2</v>
      </c>
    </row>
    <row r="7" spans="1:7">
      <c r="A7" s="307" t="s">
        <v>235</v>
      </c>
      <c r="B7" s="308" t="s">
        <v>2386</v>
      </c>
      <c r="C7" s="309">
        <v>9.7000000000000003E-2</v>
      </c>
      <c r="D7" s="309">
        <v>9.7000000000000003E-2</v>
      </c>
      <c r="E7" s="309">
        <v>9.6000000000000002E-2</v>
      </c>
      <c r="F7" s="309">
        <v>0.1</v>
      </c>
      <c r="G7" s="310">
        <v>9.8000000000000004E-2</v>
      </c>
    </row>
    <row r="8" spans="1:7">
      <c r="A8" s="307" t="s">
        <v>235</v>
      </c>
      <c r="B8" s="308" t="s">
        <v>2387</v>
      </c>
      <c r="C8" s="309">
        <v>8.1000000000000003E-2</v>
      </c>
      <c r="D8" s="309">
        <v>8.2000000000000003E-2</v>
      </c>
      <c r="E8" s="309">
        <v>7.0000000000000007E-2</v>
      </c>
      <c r="F8" s="309">
        <v>9.6000000000000002E-2</v>
      </c>
      <c r="G8" s="310">
        <v>8.8999999999999996E-2</v>
      </c>
    </row>
    <row r="9" spans="1:7">
      <c r="A9" s="311" t="s">
        <v>235</v>
      </c>
      <c r="B9" s="312" t="s">
        <v>2388</v>
      </c>
      <c r="C9" s="313">
        <v>0.1</v>
      </c>
      <c r="D9" s="313">
        <v>0.1</v>
      </c>
      <c r="E9" s="313">
        <v>0.1</v>
      </c>
      <c r="F9" s="314"/>
      <c r="G9" s="315">
        <v>0.1</v>
      </c>
    </row>
    <row r="10" spans="1:7">
      <c r="A10" s="303" t="s">
        <v>251</v>
      </c>
      <c r="B10" s="304" t="s">
        <v>2389</v>
      </c>
      <c r="C10" s="305">
        <v>6.7000000000000004E-2</v>
      </c>
      <c r="D10" s="305">
        <v>7.9000000000000001E-2</v>
      </c>
      <c r="E10" s="305">
        <v>7.9000000000000001E-2</v>
      </c>
      <c r="F10" s="305">
        <v>0.1</v>
      </c>
      <c r="G10" s="306">
        <v>9.0999999999999998E-2</v>
      </c>
    </row>
    <row r="11" spans="1:7">
      <c r="A11" s="307" t="s">
        <v>251</v>
      </c>
      <c r="B11" s="308" t="s">
        <v>2390</v>
      </c>
      <c r="C11" s="309">
        <v>0.05</v>
      </c>
      <c r="D11" s="309">
        <v>5.2999999999999999E-2</v>
      </c>
      <c r="E11" s="309">
        <v>6.3E-2</v>
      </c>
      <c r="F11" s="309">
        <v>0.1</v>
      </c>
      <c r="G11" s="310">
        <v>7.1999999999999995E-2</v>
      </c>
    </row>
    <row r="12" spans="1:7">
      <c r="A12" s="307" t="s">
        <v>251</v>
      </c>
      <c r="B12" s="308" t="s">
        <v>2391</v>
      </c>
      <c r="C12" s="309">
        <v>5.2999999999999999E-2</v>
      </c>
      <c r="D12" s="309">
        <v>0.09</v>
      </c>
      <c r="E12" s="309">
        <v>7.1999999999999995E-2</v>
      </c>
      <c r="F12" s="309">
        <v>0.1</v>
      </c>
      <c r="G12" s="310">
        <v>9.7000000000000003E-2</v>
      </c>
    </row>
    <row r="13" spans="1:7">
      <c r="A13" s="307" t="s">
        <v>251</v>
      </c>
      <c r="B13" s="308" t="s">
        <v>2392</v>
      </c>
      <c r="C13" s="309">
        <v>9.7000000000000003E-2</v>
      </c>
      <c r="D13" s="309">
        <v>9.1999999999999998E-2</v>
      </c>
      <c r="E13" s="309">
        <v>9.5000000000000001E-2</v>
      </c>
      <c r="F13" s="309">
        <v>0.1</v>
      </c>
      <c r="G13" s="310">
        <v>9.7000000000000003E-2</v>
      </c>
    </row>
    <row r="14" spans="1:7">
      <c r="A14" s="307" t="s">
        <v>251</v>
      </c>
      <c r="B14" s="308" t="s">
        <v>2393</v>
      </c>
      <c r="C14" s="309">
        <v>9.7000000000000003E-2</v>
      </c>
      <c r="D14" s="309">
        <v>9.7000000000000003E-2</v>
      </c>
      <c r="E14" s="309">
        <v>9.7000000000000003E-2</v>
      </c>
      <c r="F14" s="309">
        <v>0.1</v>
      </c>
      <c r="G14" s="310">
        <v>9.8000000000000004E-2</v>
      </c>
    </row>
    <row r="15" spans="1:7">
      <c r="A15" s="307" t="s">
        <v>251</v>
      </c>
      <c r="B15" s="308" t="s">
        <v>2394</v>
      </c>
      <c r="C15" s="309">
        <v>9.8000000000000004E-2</v>
      </c>
      <c r="D15" s="309">
        <v>9.0999999999999998E-2</v>
      </c>
      <c r="E15" s="309">
        <v>0.06</v>
      </c>
      <c r="F15" s="309">
        <v>0.1</v>
      </c>
      <c r="G15" s="310">
        <v>9.7000000000000003E-2</v>
      </c>
    </row>
    <row r="16" spans="1:7">
      <c r="A16" s="307" t="s">
        <v>251</v>
      </c>
      <c r="B16" s="308" t="s">
        <v>2395</v>
      </c>
      <c r="C16" s="309">
        <v>9.8000000000000004E-2</v>
      </c>
      <c r="D16" s="309">
        <v>9.7000000000000003E-2</v>
      </c>
      <c r="E16" s="309">
        <v>9.5000000000000001E-2</v>
      </c>
      <c r="F16" s="309">
        <v>0.1</v>
      </c>
      <c r="G16" s="310">
        <v>9.9000000000000005E-2</v>
      </c>
    </row>
    <row r="17" spans="1:7">
      <c r="A17" s="307" t="s">
        <v>251</v>
      </c>
      <c r="B17" s="308" t="s">
        <v>2396</v>
      </c>
      <c r="C17" s="309">
        <v>8.8999999999999996E-2</v>
      </c>
      <c r="D17" s="309">
        <v>9.1999999999999998E-2</v>
      </c>
      <c r="E17" s="309">
        <v>6.0999999999999999E-2</v>
      </c>
      <c r="F17" s="309">
        <v>0.1</v>
      </c>
      <c r="G17" s="310">
        <v>9.7000000000000003E-2</v>
      </c>
    </row>
    <row r="18" spans="1:7">
      <c r="A18" s="307" t="s">
        <v>251</v>
      </c>
      <c r="B18" s="308" t="s">
        <v>2397</v>
      </c>
      <c r="C18" s="309">
        <v>9.8000000000000004E-2</v>
      </c>
      <c r="D18" s="309">
        <v>9.8000000000000004E-2</v>
      </c>
      <c r="E18" s="309">
        <v>9.8000000000000004E-2</v>
      </c>
      <c r="F18" s="316"/>
      <c r="G18" s="310">
        <v>9.9000000000000005E-2</v>
      </c>
    </row>
    <row r="19" spans="1:7">
      <c r="A19" s="307" t="s">
        <v>251</v>
      </c>
      <c r="B19" s="308" t="s">
        <v>2398</v>
      </c>
      <c r="C19" s="309">
        <v>9.9000000000000005E-2</v>
      </c>
      <c r="D19" s="309">
        <v>7.3999999999999996E-2</v>
      </c>
      <c r="E19" s="309">
        <v>8.1000000000000003E-2</v>
      </c>
      <c r="F19" s="316"/>
      <c r="G19" s="310">
        <v>9.2999999999999999E-2</v>
      </c>
    </row>
    <row r="20" spans="1:7">
      <c r="A20" s="307" t="s">
        <v>251</v>
      </c>
      <c r="B20" s="308" t="s">
        <v>2399</v>
      </c>
      <c r="C20" s="309">
        <v>0.1</v>
      </c>
      <c r="D20" s="309">
        <v>8.8999999999999996E-2</v>
      </c>
      <c r="E20" s="309">
        <v>8.8999999999999996E-2</v>
      </c>
      <c r="F20" s="316"/>
      <c r="G20" s="310">
        <v>9.5000000000000001E-2</v>
      </c>
    </row>
    <row r="21" spans="1:7">
      <c r="A21" s="307" t="s">
        <v>251</v>
      </c>
      <c r="B21" s="308" t="s">
        <v>2400</v>
      </c>
      <c r="C21" s="309">
        <v>0.1</v>
      </c>
      <c r="D21" s="309">
        <v>9.0999999999999998E-2</v>
      </c>
      <c r="E21" s="309">
        <v>8.2000000000000003E-2</v>
      </c>
      <c r="F21" s="316"/>
      <c r="G21" s="310">
        <v>9.7000000000000003E-2</v>
      </c>
    </row>
    <row r="22" spans="1:7">
      <c r="A22" s="307" t="s">
        <v>251</v>
      </c>
      <c r="B22" s="308" t="s">
        <v>2401</v>
      </c>
      <c r="C22" s="309">
        <v>9.5000000000000001E-2</v>
      </c>
      <c r="D22" s="309">
        <v>9.9000000000000005E-2</v>
      </c>
      <c r="E22" s="309">
        <v>9.8000000000000004E-2</v>
      </c>
      <c r="F22" s="316"/>
      <c r="G22" s="310">
        <v>0.1</v>
      </c>
    </row>
    <row r="23" spans="1:7">
      <c r="A23" s="307" t="s">
        <v>251</v>
      </c>
      <c r="B23" s="308" t="s">
        <v>2402</v>
      </c>
      <c r="C23" s="309">
        <v>9.9000000000000005E-2</v>
      </c>
      <c r="D23" s="309">
        <v>0.1</v>
      </c>
      <c r="E23" s="309">
        <v>0.1</v>
      </c>
      <c r="F23" s="316"/>
      <c r="G23" s="310">
        <v>0.1</v>
      </c>
    </row>
    <row r="24" spans="1:7">
      <c r="A24" s="307" t="s">
        <v>251</v>
      </c>
      <c r="B24" s="308" t="s">
        <v>2403</v>
      </c>
      <c r="C24" s="309">
        <v>9.5000000000000001E-2</v>
      </c>
      <c r="D24" s="309">
        <v>0.1</v>
      </c>
      <c r="E24" s="309">
        <v>9.8000000000000004E-2</v>
      </c>
      <c r="F24" s="316"/>
      <c r="G24" s="310">
        <v>0.1</v>
      </c>
    </row>
    <row r="25" spans="1:7">
      <c r="A25" s="307" t="s">
        <v>251</v>
      </c>
      <c r="B25" s="308" t="s">
        <v>2404</v>
      </c>
      <c r="C25" s="309">
        <v>0.05</v>
      </c>
      <c r="D25" s="309">
        <v>9.6000000000000002E-2</v>
      </c>
      <c r="E25" s="309">
        <v>9.6000000000000002E-2</v>
      </c>
      <c r="F25" s="316"/>
      <c r="G25" s="310">
        <v>9.6000000000000002E-2</v>
      </c>
    </row>
    <row r="26" spans="1:7">
      <c r="A26" s="307" t="s">
        <v>251</v>
      </c>
      <c r="B26" s="308" t="s">
        <v>2405</v>
      </c>
      <c r="C26" s="309">
        <v>6.3E-2</v>
      </c>
      <c r="D26" s="309">
        <v>9.9000000000000005E-2</v>
      </c>
      <c r="E26" s="309">
        <v>9.8000000000000004E-2</v>
      </c>
      <c r="F26" s="316"/>
      <c r="G26" s="310">
        <v>0.1</v>
      </c>
    </row>
    <row r="27" spans="1:7">
      <c r="A27" s="307" t="s">
        <v>251</v>
      </c>
      <c r="B27" s="308" t="s">
        <v>2406</v>
      </c>
      <c r="C27" s="309">
        <v>5.1999999999999998E-2</v>
      </c>
      <c r="D27" s="309">
        <v>9.5000000000000001E-2</v>
      </c>
      <c r="E27" s="309">
        <v>6.4000000000000001E-2</v>
      </c>
      <c r="F27" s="316"/>
      <c r="G27" s="310">
        <v>9.7000000000000003E-2</v>
      </c>
    </row>
    <row r="28" spans="1:7">
      <c r="A28" s="307" t="s">
        <v>251</v>
      </c>
      <c r="B28" s="308" t="s">
        <v>2407</v>
      </c>
      <c r="C28" s="316"/>
      <c r="D28" s="309">
        <v>6.3E-2</v>
      </c>
      <c r="E28" s="309">
        <v>5.1999999999999998E-2</v>
      </c>
      <c r="F28" s="316"/>
      <c r="G28" s="310">
        <v>6.3E-2</v>
      </c>
    </row>
    <row r="29" spans="1:7">
      <c r="A29" s="311" t="s">
        <v>251</v>
      </c>
      <c r="B29" s="312" t="s">
        <v>2408</v>
      </c>
      <c r="C29" s="317"/>
      <c r="D29" s="313">
        <v>5.1999999999999998E-2</v>
      </c>
      <c r="E29" s="313">
        <v>7.0000000000000007E-2</v>
      </c>
      <c r="F29" s="317"/>
      <c r="G29" s="315">
        <v>7.0999999999999994E-2</v>
      </c>
    </row>
    <row r="30" spans="1:7">
      <c r="A30" s="318" t="s">
        <v>264</v>
      </c>
      <c r="B30" s="304" t="s">
        <v>2409</v>
      </c>
      <c r="C30" s="305">
        <v>6.6000000000000003E-2</v>
      </c>
      <c r="D30" s="305">
        <v>6.6000000000000003E-2</v>
      </c>
      <c r="E30" s="305">
        <v>5.7000000000000002E-2</v>
      </c>
      <c r="F30" s="305">
        <v>0.1</v>
      </c>
      <c r="G30" s="306">
        <v>6.8000000000000005E-2</v>
      </c>
    </row>
    <row r="31" spans="1:7">
      <c r="A31" s="319" t="s">
        <v>264</v>
      </c>
      <c r="B31" s="308" t="s">
        <v>2410</v>
      </c>
      <c r="C31" s="309">
        <v>5.5E-2</v>
      </c>
      <c r="D31" s="309">
        <v>8.2000000000000003E-2</v>
      </c>
      <c r="E31" s="309">
        <v>6.4000000000000001E-2</v>
      </c>
      <c r="F31" s="309">
        <v>0.1</v>
      </c>
      <c r="G31" s="310">
        <v>9.5000000000000001E-2</v>
      </c>
    </row>
    <row r="32" spans="1:7">
      <c r="A32" s="319" t="s">
        <v>264</v>
      </c>
      <c r="B32" s="308" t="s">
        <v>2411</v>
      </c>
      <c r="C32" s="309">
        <v>8.2000000000000003E-2</v>
      </c>
      <c r="D32" s="309">
        <v>8.6999999999999994E-2</v>
      </c>
      <c r="E32" s="309">
        <v>9.5000000000000001E-2</v>
      </c>
      <c r="F32" s="309">
        <v>0.1</v>
      </c>
      <c r="G32" s="310">
        <v>9.6000000000000002E-2</v>
      </c>
    </row>
    <row r="33" spans="1:7">
      <c r="A33" s="319" t="s">
        <v>264</v>
      </c>
      <c r="B33" s="308" t="s">
        <v>2412</v>
      </c>
      <c r="C33" s="309">
        <v>9.9000000000000005E-2</v>
      </c>
      <c r="D33" s="309">
        <v>9.1999999999999998E-2</v>
      </c>
      <c r="E33" s="309">
        <v>8.6999999999999994E-2</v>
      </c>
      <c r="F33" s="309">
        <v>0.1</v>
      </c>
      <c r="G33" s="310">
        <v>9.7000000000000003E-2</v>
      </c>
    </row>
    <row r="34" spans="1:7">
      <c r="A34" s="319" t="s">
        <v>264</v>
      </c>
      <c r="B34" s="308" t="s">
        <v>2413</v>
      </c>
      <c r="C34" s="309">
        <v>8.4000000000000005E-2</v>
      </c>
      <c r="D34" s="309">
        <v>9.7000000000000003E-2</v>
      </c>
      <c r="E34" s="309">
        <v>7.0999999999999994E-2</v>
      </c>
      <c r="F34" s="309">
        <v>0.1</v>
      </c>
      <c r="G34" s="310">
        <v>9.8000000000000004E-2</v>
      </c>
    </row>
    <row r="35" spans="1:7">
      <c r="A35" s="319" t="s">
        <v>264</v>
      </c>
      <c r="B35" s="308" t="s">
        <v>2414</v>
      </c>
      <c r="C35" s="309">
        <v>8.3000000000000004E-2</v>
      </c>
      <c r="D35" s="309">
        <v>9.7000000000000003E-2</v>
      </c>
      <c r="E35" s="309">
        <v>6.0999999999999999E-2</v>
      </c>
      <c r="F35" s="309">
        <v>0.1</v>
      </c>
      <c r="G35" s="310">
        <v>9.9000000000000005E-2</v>
      </c>
    </row>
    <row r="36" spans="1:7">
      <c r="A36" s="319" t="s">
        <v>264</v>
      </c>
      <c r="B36" s="308" t="s">
        <v>2415</v>
      </c>
      <c r="C36" s="309">
        <v>9.7000000000000003E-2</v>
      </c>
      <c r="D36" s="309">
        <v>9.7000000000000003E-2</v>
      </c>
      <c r="E36" s="309">
        <v>7.8E-2</v>
      </c>
      <c r="F36" s="309">
        <v>0.1</v>
      </c>
      <c r="G36" s="310">
        <v>9.9000000000000005E-2</v>
      </c>
    </row>
    <row r="37" spans="1:7">
      <c r="A37" s="319" t="s">
        <v>264</v>
      </c>
      <c r="B37" s="308" t="s">
        <v>2416</v>
      </c>
      <c r="C37" s="309">
        <v>9.7000000000000003E-2</v>
      </c>
      <c r="D37" s="309">
        <v>9.5000000000000001E-2</v>
      </c>
      <c r="E37" s="309">
        <v>7.8E-2</v>
      </c>
      <c r="F37" s="309">
        <v>0.1</v>
      </c>
      <c r="G37" s="310">
        <v>9.7000000000000003E-2</v>
      </c>
    </row>
    <row r="38" spans="1:7">
      <c r="A38" s="319" t="s">
        <v>264</v>
      </c>
      <c r="B38" s="308" t="s">
        <v>2417</v>
      </c>
      <c r="C38" s="309">
        <v>9.7000000000000003E-2</v>
      </c>
      <c r="D38" s="309">
        <v>7.6999999999999999E-2</v>
      </c>
      <c r="E38" s="309">
        <v>7.0000000000000007E-2</v>
      </c>
      <c r="F38" s="309">
        <v>0.1</v>
      </c>
      <c r="G38" s="310">
        <v>7.6999999999999999E-2</v>
      </c>
    </row>
    <row r="39" spans="1:7">
      <c r="A39" s="319" t="s">
        <v>264</v>
      </c>
      <c r="B39" s="308" t="s">
        <v>2418</v>
      </c>
      <c r="C39" s="309">
        <v>9.5000000000000001E-2</v>
      </c>
      <c r="D39" s="309">
        <v>7.6999999999999999E-2</v>
      </c>
      <c r="E39" s="309">
        <v>6.6000000000000003E-2</v>
      </c>
      <c r="F39" s="309">
        <v>0.1</v>
      </c>
      <c r="G39" s="310">
        <v>8.5999999999999993E-2</v>
      </c>
    </row>
    <row r="40" spans="1:7">
      <c r="A40" s="319" t="s">
        <v>264</v>
      </c>
      <c r="B40" s="308" t="s">
        <v>2419</v>
      </c>
      <c r="C40" s="309">
        <v>7.6999999999999999E-2</v>
      </c>
      <c r="D40" s="309">
        <v>7.8E-2</v>
      </c>
      <c r="E40" s="309">
        <v>8.2000000000000003E-2</v>
      </c>
      <c r="F40" s="320"/>
      <c r="G40" s="310">
        <v>7.8E-2</v>
      </c>
    </row>
    <row r="41" spans="1:7">
      <c r="A41" s="319" t="s">
        <v>264</v>
      </c>
      <c r="B41" s="308" t="s">
        <v>2420</v>
      </c>
      <c r="C41" s="309">
        <v>7.8E-2</v>
      </c>
      <c r="D41" s="309">
        <v>7.8E-2</v>
      </c>
      <c r="E41" s="309">
        <v>8.2000000000000003E-2</v>
      </c>
      <c r="F41" s="320"/>
      <c r="G41" s="310">
        <v>8.5999999999999993E-2</v>
      </c>
    </row>
    <row r="42" spans="1:7">
      <c r="A42" s="319" t="s">
        <v>264</v>
      </c>
      <c r="B42" s="308" t="s">
        <v>2421</v>
      </c>
      <c r="C42" s="309">
        <v>7.8E-2</v>
      </c>
      <c r="D42" s="309">
        <v>9.6000000000000002E-2</v>
      </c>
      <c r="E42" s="309">
        <v>7.1999999999999995E-2</v>
      </c>
      <c r="F42" s="320"/>
      <c r="G42" s="310">
        <v>9.8000000000000004E-2</v>
      </c>
    </row>
    <row r="43" spans="1:7">
      <c r="A43" s="319" t="s">
        <v>264</v>
      </c>
      <c r="B43" s="308" t="s">
        <v>2422</v>
      </c>
      <c r="C43" s="309">
        <v>7.8E-2</v>
      </c>
      <c r="D43" s="309">
        <v>9.9000000000000005E-2</v>
      </c>
      <c r="E43" s="309">
        <v>9.6000000000000002E-2</v>
      </c>
      <c r="F43" s="320"/>
      <c r="G43" s="310">
        <v>0.1</v>
      </c>
    </row>
    <row r="44" spans="1:7">
      <c r="A44" s="319" t="s">
        <v>264</v>
      </c>
      <c r="B44" s="308" t="s">
        <v>2423</v>
      </c>
      <c r="C44" s="309">
        <v>9.6000000000000002E-2</v>
      </c>
      <c r="D44" s="309">
        <v>0.1</v>
      </c>
      <c r="E44" s="309">
        <v>9.8000000000000004E-2</v>
      </c>
      <c r="F44" s="320"/>
      <c r="G44" s="310">
        <v>0.1</v>
      </c>
    </row>
    <row r="45" spans="1:7">
      <c r="A45" s="319" t="s">
        <v>264</v>
      </c>
      <c r="B45" s="308" t="s">
        <v>2424</v>
      </c>
      <c r="C45" s="309">
        <v>9.9000000000000005E-2</v>
      </c>
      <c r="D45" s="309">
        <v>9.8000000000000004E-2</v>
      </c>
      <c r="E45" s="309">
        <v>9.5000000000000001E-2</v>
      </c>
      <c r="F45" s="320"/>
      <c r="G45" s="310">
        <v>9.8000000000000004E-2</v>
      </c>
    </row>
    <row r="46" spans="1:7">
      <c r="A46" s="319" t="s">
        <v>264</v>
      </c>
      <c r="B46" s="308" t="s">
        <v>2425</v>
      </c>
      <c r="C46" s="309">
        <v>0.1</v>
      </c>
      <c r="D46" s="309">
        <v>9.9000000000000005E-2</v>
      </c>
      <c r="E46" s="309">
        <v>9.6000000000000002E-2</v>
      </c>
      <c r="F46" s="320"/>
      <c r="G46" s="310">
        <v>0.1</v>
      </c>
    </row>
    <row r="47" spans="1:7">
      <c r="A47" s="319" t="s">
        <v>264</v>
      </c>
      <c r="B47" s="308" t="s">
        <v>2426</v>
      </c>
      <c r="C47" s="309">
        <v>9.8000000000000004E-2</v>
      </c>
      <c r="D47" s="309">
        <v>8.6999999999999994E-2</v>
      </c>
      <c r="E47" s="309">
        <v>5.8999999999999997E-2</v>
      </c>
      <c r="F47" s="320"/>
      <c r="G47" s="310">
        <v>9.6000000000000002E-2</v>
      </c>
    </row>
    <row r="48" spans="1:7">
      <c r="A48" s="319" t="s">
        <v>264</v>
      </c>
      <c r="B48" s="308" t="s">
        <v>2427</v>
      </c>
      <c r="C48" s="309">
        <v>9.9000000000000005E-2</v>
      </c>
      <c r="D48" s="309">
        <v>9.8000000000000004E-2</v>
      </c>
      <c r="E48" s="309">
        <v>9.5000000000000001E-2</v>
      </c>
      <c r="F48" s="320"/>
      <c r="G48" s="310">
        <v>9.8000000000000004E-2</v>
      </c>
    </row>
    <row r="49" spans="1:7">
      <c r="A49" s="319" t="s">
        <v>264</v>
      </c>
      <c r="B49" s="308" t="s">
        <v>2428</v>
      </c>
      <c r="C49" s="309">
        <v>8.7999999999999995E-2</v>
      </c>
      <c r="D49" s="309">
        <v>9.9000000000000005E-2</v>
      </c>
      <c r="E49" s="309">
        <v>7.0000000000000007E-2</v>
      </c>
      <c r="F49" s="320"/>
      <c r="G49" s="310">
        <v>0.1</v>
      </c>
    </row>
    <row r="50" spans="1:7">
      <c r="A50" s="319" t="s">
        <v>264</v>
      </c>
      <c r="B50" s="308" t="s">
        <v>2429</v>
      </c>
      <c r="C50" s="309">
        <v>9.8000000000000004E-2</v>
      </c>
      <c r="D50" s="309">
        <v>7.2999999999999995E-2</v>
      </c>
      <c r="E50" s="309">
        <v>7.0999999999999994E-2</v>
      </c>
      <c r="F50" s="320"/>
      <c r="G50" s="310">
        <v>7.2999999999999995E-2</v>
      </c>
    </row>
    <row r="51" spans="1:7">
      <c r="A51" s="319" t="s">
        <v>264</v>
      </c>
      <c r="B51" s="308" t="s">
        <v>2430</v>
      </c>
      <c r="C51" s="309">
        <v>9.9000000000000005E-2</v>
      </c>
      <c r="D51" s="309">
        <v>8.5000000000000006E-2</v>
      </c>
      <c r="E51" s="309">
        <v>6.3E-2</v>
      </c>
      <c r="F51" s="320"/>
      <c r="G51" s="310">
        <v>9.6000000000000002E-2</v>
      </c>
    </row>
    <row r="52" spans="1:7">
      <c r="A52" s="319" t="s">
        <v>264</v>
      </c>
      <c r="B52" s="308" t="s">
        <v>2431</v>
      </c>
      <c r="C52" s="309">
        <v>7.3999999999999996E-2</v>
      </c>
      <c r="D52" s="309">
        <v>9.6000000000000002E-2</v>
      </c>
      <c r="E52" s="309">
        <v>0.05</v>
      </c>
      <c r="F52" s="320"/>
      <c r="G52" s="310">
        <v>9.8000000000000004E-2</v>
      </c>
    </row>
    <row r="53" spans="1:7">
      <c r="A53" s="319" t="s">
        <v>264</v>
      </c>
      <c r="B53" s="308" t="s">
        <v>2432</v>
      </c>
      <c r="C53" s="309">
        <v>8.5999999999999993E-2</v>
      </c>
      <c r="D53" s="320"/>
      <c r="E53" s="309">
        <v>9.1999999999999998E-2</v>
      </c>
      <c r="F53" s="320"/>
      <c r="G53" s="321"/>
    </row>
    <row r="54" spans="1:7">
      <c r="A54" s="322" t="s">
        <v>264</v>
      </c>
      <c r="B54" s="312" t="s">
        <v>2433</v>
      </c>
      <c r="C54" s="313">
        <v>9.6000000000000002E-2</v>
      </c>
      <c r="D54" s="314"/>
      <c r="E54" s="323"/>
      <c r="F54" s="314"/>
      <c r="G54" s="324"/>
    </row>
    <row r="55" spans="1:7">
      <c r="A55" s="318" t="s">
        <v>275</v>
      </c>
      <c r="B55" s="304" t="s">
        <v>2434</v>
      </c>
      <c r="C55" s="305">
        <v>9.6000000000000002E-2</v>
      </c>
      <c r="D55" s="305">
        <v>8.4000000000000005E-2</v>
      </c>
      <c r="E55" s="305">
        <v>9.1999999999999998E-2</v>
      </c>
      <c r="F55" s="305">
        <v>0.1</v>
      </c>
      <c r="G55" s="306">
        <v>9.5000000000000001E-2</v>
      </c>
    </row>
    <row r="56" spans="1:7">
      <c r="A56" s="319" t="s">
        <v>275</v>
      </c>
      <c r="B56" s="308" t="s">
        <v>2435</v>
      </c>
      <c r="C56" s="309">
        <v>8.4000000000000005E-2</v>
      </c>
      <c r="D56" s="309">
        <v>9.1999999999999998E-2</v>
      </c>
      <c r="E56" s="309">
        <v>9.5000000000000001E-2</v>
      </c>
      <c r="F56" s="309">
        <v>9.1999999999999998E-2</v>
      </c>
      <c r="G56" s="310">
        <v>9.6000000000000002E-2</v>
      </c>
    </row>
    <row r="57" spans="1:7">
      <c r="A57" s="319" t="s">
        <v>275</v>
      </c>
      <c r="B57" s="308" t="s">
        <v>2436</v>
      </c>
      <c r="C57" s="309">
        <v>9.9000000000000005E-2</v>
      </c>
      <c r="D57" s="309">
        <v>9.6000000000000002E-2</v>
      </c>
      <c r="E57" s="309">
        <v>9.1999999999999998E-2</v>
      </c>
      <c r="F57" s="309">
        <v>0.1</v>
      </c>
      <c r="G57" s="310">
        <v>9.8000000000000004E-2</v>
      </c>
    </row>
    <row r="58" spans="1:7">
      <c r="A58" s="319" t="s">
        <v>275</v>
      </c>
      <c r="B58" s="308" t="s">
        <v>2437</v>
      </c>
      <c r="C58" s="309">
        <v>9.8000000000000004E-2</v>
      </c>
      <c r="D58" s="309">
        <v>9.5000000000000001E-2</v>
      </c>
      <c r="E58" s="309">
        <v>5.7000000000000002E-2</v>
      </c>
      <c r="F58" s="309">
        <v>0.1</v>
      </c>
      <c r="G58" s="310">
        <v>9.6000000000000002E-2</v>
      </c>
    </row>
    <row r="59" spans="1:7">
      <c r="A59" s="319" t="s">
        <v>275</v>
      </c>
      <c r="B59" s="308" t="s">
        <v>2438</v>
      </c>
      <c r="C59" s="309">
        <v>9.5000000000000001E-2</v>
      </c>
      <c r="D59" s="309">
        <v>0.1</v>
      </c>
      <c r="E59" s="309">
        <v>7.4999999999999997E-2</v>
      </c>
      <c r="F59" s="309">
        <v>0.1</v>
      </c>
      <c r="G59" s="310">
        <v>0.1</v>
      </c>
    </row>
    <row r="60" spans="1:7">
      <c r="A60" s="319" t="s">
        <v>275</v>
      </c>
      <c r="B60" s="308" t="s">
        <v>2439</v>
      </c>
      <c r="C60" s="309">
        <v>0.1</v>
      </c>
      <c r="D60" s="309">
        <v>9.7000000000000003E-2</v>
      </c>
      <c r="E60" s="309">
        <v>0.1</v>
      </c>
      <c r="F60" s="309">
        <v>0.1</v>
      </c>
      <c r="G60" s="310">
        <v>9.7000000000000003E-2</v>
      </c>
    </row>
    <row r="61" spans="1:7">
      <c r="A61" s="319" t="s">
        <v>275</v>
      </c>
      <c r="B61" s="308" t="s">
        <v>2440</v>
      </c>
      <c r="C61" s="309">
        <v>9.7000000000000003E-2</v>
      </c>
      <c r="D61" s="309">
        <v>0.1</v>
      </c>
      <c r="E61" s="309">
        <v>9.2999999999999999E-2</v>
      </c>
      <c r="F61" s="309">
        <v>0.1</v>
      </c>
      <c r="G61" s="310">
        <v>0.1</v>
      </c>
    </row>
    <row r="62" spans="1:7">
      <c r="A62" s="319" t="s">
        <v>275</v>
      </c>
      <c r="B62" s="308" t="s">
        <v>2441</v>
      </c>
      <c r="C62" s="309">
        <v>0.1</v>
      </c>
      <c r="D62" s="309">
        <v>9.7000000000000003E-2</v>
      </c>
      <c r="E62" s="309">
        <v>8.8999999999999996E-2</v>
      </c>
      <c r="F62" s="309">
        <v>0.1</v>
      </c>
      <c r="G62" s="310">
        <v>9.8000000000000004E-2</v>
      </c>
    </row>
    <row r="63" spans="1:7">
      <c r="A63" s="319" t="s">
        <v>275</v>
      </c>
      <c r="B63" s="308" t="s">
        <v>2442</v>
      </c>
      <c r="C63" s="309">
        <v>9.7000000000000003E-2</v>
      </c>
      <c r="D63" s="309">
        <v>9.7000000000000003E-2</v>
      </c>
      <c r="E63" s="309">
        <v>9.9000000000000005E-2</v>
      </c>
      <c r="F63" s="309">
        <v>0.1</v>
      </c>
      <c r="G63" s="310">
        <v>9.7000000000000003E-2</v>
      </c>
    </row>
    <row r="64" spans="1:7">
      <c r="A64" s="319" t="s">
        <v>275</v>
      </c>
      <c r="B64" s="308" t="s">
        <v>2443</v>
      </c>
      <c r="C64" s="309">
        <v>9.7000000000000003E-2</v>
      </c>
      <c r="D64" s="309">
        <v>7.3999999999999996E-2</v>
      </c>
      <c r="E64" s="309">
        <v>7.8E-2</v>
      </c>
      <c r="F64" s="309">
        <v>0.1</v>
      </c>
      <c r="G64" s="310">
        <v>8.8999999999999996E-2</v>
      </c>
    </row>
    <row r="65" spans="1:7">
      <c r="A65" s="319" t="s">
        <v>275</v>
      </c>
      <c r="B65" s="308" t="s">
        <v>2444</v>
      </c>
      <c r="C65" s="309">
        <v>7.2999999999999995E-2</v>
      </c>
      <c r="D65" s="309">
        <v>9.8000000000000004E-2</v>
      </c>
      <c r="E65" s="309">
        <v>9.5000000000000001E-2</v>
      </c>
      <c r="F65" s="309">
        <v>0.1</v>
      </c>
      <c r="G65" s="310">
        <v>9.9000000000000005E-2</v>
      </c>
    </row>
    <row r="66" spans="1:7">
      <c r="A66" s="319" t="s">
        <v>275</v>
      </c>
      <c r="B66" s="308" t="s">
        <v>2445</v>
      </c>
      <c r="C66" s="309">
        <v>9.8000000000000004E-2</v>
      </c>
      <c r="D66" s="309">
        <v>9.5000000000000001E-2</v>
      </c>
      <c r="E66" s="309">
        <v>0.05</v>
      </c>
      <c r="F66" s="309">
        <v>0.1</v>
      </c>
      <c r="G66" s="310">
        <v>9.7000000000000003E-2</v>
      </c>
    </row>
    <row r="67" spans="1:7">
      <c r="A67" s="319" t="s">
        <v>275</v>
      </c>
      <c r="B67" s="308" t="s">
        <v>2446</v>
      </c>
      <c r="C67" s="309">
        <v>9.5000000000000001E-2</v>
      </c>
      <c r="D67" s="309">
        <v>9.7000000000000003E-2</v>
      </c>
      <c r="E67" s="309">
        <v>9.7000000000000003E-2</v>
      </c>
      <c r="F67" s="309">
        <v>0.1</v>
      </c>
      <c r="G67" s="310">
        <v>9.9000000000000005E-2</v>
      </c>
    </row>
    <row r="68" spans="1:7">
      <c r="A68" s="319" t="s">
        <v>275</v>
      </c>
      <c r="B68" s="308" t="s">
        <v>2447</v>
      </c>
      <c r="C68" s="309">
        <v>9.7000000000000003E-2</v>
      </c>
      <c r="D68" s="309">
        <v>6.8000000000000005E-2</v>
      </c>
      <c r="E68" s="309">
        <v>6.6000000000000003E-2</v>
      </c>
      <c r="F68" s="309">
        <v>0.1</v>
      </c>
      <c r="G68" s="310">
        <v>8.4000000000000005E-2</v>
      </c>
    </row>
    <row r="69" spans="1:7">
      <c r="A69" s="319" t="s">
        <v>275</v>
      </c>
      <c r="B69" s="308" t="s">
        <v>2448</v>
      </c>
      <c r="C69" s="309">
        <v>6.8000000000000005E-2</v>
      </c>
      <c r="D69" s="309">
        <v>9.8000000000000004E-2</v>
      </c>
      <c r="E69" s="309">
        <v>9.5000000000000001E-2</v>
      </c>
      <c r="F69" s="309">
        <v>0.1</v>
      </c>
      <c r="G69" s="310">
        <v>0.1</v>
      </c>
    </row>
    <row r="70" spans="1:7">
      <c r="A70" s="319" t="s">
        <v>275</v>
      </c>
      <c r="B70" s="308" t="s">
        <v>2449</v>
      </c>
      <c r="C70" s="309">
        <v>9.8000000000000004E-2</v>
      </c>
      <c r="D70" s="309">
        <v>8.8999999999999996E-2</v>
      </c>
      <c r="E70" s="309">
        <v>5.8999999999999997E-2</v>
      </c>
      <c r="F70" s="309">
        <v>0.1</v>
      </c>
      <c r="G70" s="310">
        <v>9.6000000000000002E-2</v>
      </c>
    </row>
    <row r="71" spans="1:7">
      <c r="A71" s="319" t="s">
        <v>275</v>
      </c>
      <c r="B71" s="308" t="s">
        <v>2450</v>
      </c>
      <c r="C71" s="309">
        <v>8.8999999999999996E-2</v>
      </c>
      <c r="D71" s="309">
        <v>9.9000000000000005E-2</v>
      </c>
      <c r="E71" s="309">
        <v>9.6000000000000002E-2</v>
      </c>
      <c r="F71" s="309">
        <v>0.1</v>
      </c>
      <c r="G71" s="310">
        <v>0.1</v>
      </c>
    </row>
    <row r="72" spans="1:7">
      <c r="A72" s="319" t="s">
        <v>275</v>
      </c>
      <c r="B72" s="308" t="s">
        <v>2451</v>
      </c>
      <c r="C72" s="309">
        <v>9.9000000000000005E-2</v>
      </c>
      <c r="D72" s="309">
        <v>0.1</v>
      </c>
      <c r="E72" s="309">
        <v>7.0000000000000007E-2</v>
      </c>
      <c r="F72" s="320"/>
      <c r="G72" s="310">
        <v>0.1</v>
      </c>
    </row>
    <row r="73" spans="1:7">
      <c r="A73" s="319" t="s">
        <v>275</v>
      </c>
      <c r="B73" s="308" t="s">
        <v>2452</v>
      </c>
      <c r="C73" s="309">
        <v>0.1</v>
      </c>
      <c r="D73" s="309">
        <v>0.1</v>
      </c>
      <c r="E73" s="309">
        <v>9.6000000000000002E-2</v>
      </c>
      <c r="F73" s="320"/>
      <c r="G73" s="310">
        <v>0.1</v>
      </c>
    </row>
    <row r="74" spans="1:7">
      <c r="A74" s="319" t="s">
        <v>275</v>
      </c>
      <c r="B74" s="308" t="s">
        <v>2453</v>
      </c>
      <c r="C74" s="309">
        <v>0.1</v>
      </c>
      <c r="D74" s="309">
        <v>0.1</v>
      </c>
      <c r="E74" s="309">
        <v>9.8000000000000004E-2</v>
      </c>
      <c r="F74" s="320"/>
      <c r="G74" s="310">
        <v>0.1</v>
      </c>
    </row>
    <row r="75" spans="1:7">
      <c r="A75" s="319" t="s">
        <v>275</v>
      </c>
      <c r="B75" s="308" t="s">
        <v>2454</v>
      </c>
      <c r="C75" s="309">
        <v>0.1</v>
      </c>
      <c r="D75" s="309">
        <v>9.9000000000000005E-2</v>
      </c>
      <c r="E75" s="309">
        <v>9.8000000000000004E-2</v>
      </c>
      <c r="F75" s="320"/>
      <c r="G75" s="310">
        <v>0.1</v>
      </c>
    </row>
    <row r="76" spans="1:7">
      <c r="A76" s="319" t="s">
        <v>275</v>
      </c>
      <c r="B76" s="308" t="s">
        <v>2455</v>
      </c>
      <c r="C76" s="309">
        <v>9.9000000000000005E-2</v>
      </c>
      <c r="D76" s="309">
        <v>0.1</v>
      </c>
      <c r="E76" s="309">
        <v>9.7000000000000003E-2</v>
      </c>
      <c r="F76" s="320"/>
      <c r="G76" s="310">
        <v>0.1</v>
      </c>
    </row>
    <row r="77" spans="1:7">
      <c r="A77" s="319" t="s">
        <v>275</v>
      </c>
      <c r="B77" s="308" t="s">
        <v>2456</v>
      </c>
      <c r="C77" s="309">
        <v>0.1</v>
      </c>
      <c r="D77" s="309">
        <v>0.1</v>
      </c>
      <c r="E77" s="309">
        <v>9.6000000000000002E-2</v>
      </c>
      <c r="F77" s="320"/>
      <c r="G77" s="310">
        <v>0.1</v>
      </c>
    </row>
    <row r="78" spans="1:7">
      <c r="A78" s="319" t="s">
        <v>275</v>
      </c>
      <c r="B78" s="308" t="s">
        <v>2457</v>
      </c>
      <c r="C78" s="309">
        <v>0.1</v>
      </c>
      <c r="D78" s="309">
        <v>8.5000000000000006E-2</v>
      </c>
      <c r="E78" s="309">
        <v>9.6000000000000002E-2</v>
      </c>
      <c r="F78" s="320"/>
      <c r="G78" s="310">
        <v>9.6000000000000002E-2</v>
      </c>
    </row>
    <row r="79" spans="1:7">
      <c r="A79" s="319" t="s">
        <v>275</v>
      </c>
      <c r="B79" s="308" t="s">
        <v>2458</v>
      </c>
      <c r="C79" s="309">
        <v>0.05</v>
      </c>
      <c r="D79" s="309">
        <v>9.6000000000000002E-2</v>
      </c>
      <c r="E79" s="309">
        <v>9.5000000000000001E-2</v>
      </c>
      <c r="F79" s="320"/>
      <c r="G79" s="310">
        <v>9.8000000000000004E-2</v>
      </c>
    </row>
    <row r="80" spans="1:7">
      <c r="A80" s="319" t="s">
        <v>275</v>
      </c>
      <c r="B80" s="308" t="s">
        <v>2459</v>
      </c>
      <c r="C80" s="309">
        <v>8.5999999999999993E-2</v>
      </c>
      <c r="D80" s="325"/>
      <c r="E80" s="309">
        <v>0.1</v>
      </c>
      <c r="F80" s="320"/>
      <c r="G80" s="321"/>
    </row>
    <row r="81" spans="1:7">
      <c r="A81" s="319" t="s">
        <v>275</v>
      </c>
      <c r="B81" s="308" t="s">
        <v>2460</v>
      </c>
      <c r="C81" s="309">
        <v>9.6000000000000002E-2</v>
      </c>
      <c r="D81" s="320"/>
      <c r="E81" s="309">
        <v>9.8000000000000004E-2</v>
      </c>
      <c r="F81" s="320"/>
      <c r="G81" s="321"/>
    </row>
    <row r="82" spans="1:7">
      <c r="A82" s="319" t="s">
        <v>275</v>
      </c>
      <c r="B82" s="308" t="s">
        <v>2461</v>
      </c>
      <c r="C82" s="325"/>
      <c r="D82" s="320"/>
      <c r="E82" s="309">
        <v>7.6999999999999999E-2</v>
      </c>
      <c r="F82" s="320"/>
      <c r="G82" s="321"/>
    </row>
    <row r="83" spans="1:7">
      <c r="A83" s="319" t="s">
        <v>275</v>
      </c>
      <c r="B83" s="308" t="s">
        <v>2462</v>
      </c>
      <c r="C83" s="320"/>
      <c r="D83" s="320"/>
      <c r="E83" s="320"/>
      <c r="F83" s="309">
        <v>0.1</v>
      </c>
      <c r="G83" s="326"/>
    </row>
    <row r="84" spans="1:7">
      <c r="A84" s="319" t="s">
        <v>275</v>
      </c>
      <c r="B84" s="308" t="s">
        <v>2463</v>
      </c>
      <c r="C84" s="320"/>
      <c r="D84" s="320"/>
      <c r="E84" s="320"/>
      <c r="F84" s="309">
        <v>0.1</v>
      </c>
      <c r="G84" s="326"/>
    </row>
    <row r="85" spans="1:7">
      <c r="A85" s="319" t="s">
        <v>275</v>
      </c>
      <c r="B85" s="308" t="s">
        <v>2464</v>
      </c>
      <c r="C85" s="320"/>
      <c r="D85" s="320"/>
      <c r="E85" s="320"/>
      <c r="F85" s="309">
        <v>0.1</v>
      </c>
      <c r="G85" s="326"/>
    </row>
    <row r="86" spans="1:7">
      <c r="A86" s="322" t="s">
        <v>275</v>
      </c>
      <c r="B86" s="312" t="s">
        <v>2465</v>
      </c>
      <c r="C86" s="313">
        <v>9.8000000000000004E-2</v>
      </c>
      <c r="D86" s="313">
        <v>9.8000000000000004E-2</v>
      </c>
      <c r="E86" s="313">
        <v>9.6000000000000002E-2</v>
      </c>
      <c r="F86" s="323"/>
      <c r="G86" s="315">
        <v>0.1</v>
      </c>
    </row>
    <row r="87" spans="1:7">
      <c r="A87" s="318" t="s">
        <v>286</v>
      </c>
      <c r="B87" s="304" t="s">
        <v>2466</v>
      </c>
      <c r="C87" s="305">
        <v>0.1</v>
      </c>
      <c r="D87" s="305">
        <v>0.1</v>
      </c>
      <c r="E87" s="305">
        <v>9.8000000000000004E-2</v>
      </c>
      <c r="F87" s="305">
        <v>0.1</v>
      </c>
      <c r="G87" s="306">
        <v>0.1</v>
      </c>
    </row>
    <row r="88" spans="1:7">
      <c r="A88" s="319" t="s">
        <v>286</v>
      </c>
      <c r="B88" s="308" t="s">
        <v>2467</v>
      </c>
      <c r="C88" s="309">
        <v>9.0999999999999998E-2</v>
      </c>
      <c r="D88" s="309">
        <v>9.1999999999999998E-2</v>
      </c>
      <c r="E88" s="309">
        <v>0.1</v>
      </c>
      <c r="F88" s="309">
        <v>0.1</v>
      </c>
      <c r="G88" s="310">
        <v>9.6000000000000002E-2</v>
      </c>
    </row>
    <row r="89" spans="1:7">
      <c r="A89" s="319" t="s">
        <v>286</v>
      </c>
      <c r="B89" s="308" t="s">
        <v>2468</v>
      </c>
      <c r="C89" s="309">
        <v>0.1</v>
      </c>
      <c r="D89" s="309">
        <v>0.1</v>
      </c>
      <c r="E89" s="309">
        <v>6.7000000000000004E-2</v>
      </c>
      <c r="F89" s="309">
        <v>9.2999999999999999E-2</v>
      </c>
      <c r="G89" s="310">
        <v>0.1</v>
      </c>
    </row>
    <row r="90" spans="1:7">
      <c r="A90" s="319" t="s">
        <v>286</v>
      </c>
      <c r="B90" s="308" t="s">
        <v>2469</v>
      </c>
      <c r="C90" s="309">
        <v>9.6000000000000002E-2</v>
      </c>
      <c r="D90" s="309">
        <v>9.6000000000000002E-2</v>
      </c>
      <c r="E90" s="309">
        <v>0.1</v>
      </c>
      <c r="F90" s="309">
        <v>0.1</v>
      </c>
      <c r="G90" s="310">
        <v>9.8000000000000004E-2</v>
      </c>
    </row>
    <row r="91" spans="1:7">
      <c r="A91" s="319" t="s">
        <v>286</v>
      </c>
      <c r="B91" s="308" t="s">
        <v>2470</v>
      </c>
      <c r="C91" s="309">
        <v>7.6999999999999999E-2</v>
      </c>
      <c r="D91" s="309">
        <v>7.6999999999999999E-2</v>
      </c>
      <c r="E91" s="309">
        <v>9.6000000000000002E-2</v>
      </c>
      <c r="F91" s="309">
        <v>0.1</v>
      </c>
      <c r="G91" s="310">
        <v>7.6999999999999999E-2</v>
      </c>
    </row>
    <row r="92" spans="1:7">
      <c r="A92" s="319" t="s">
        <v>286</v>
      </c>
      <c r="B92" s="308" t="s">
        <v>2471</v>
      </c>
      <c r="C92" s="309">
        <v>0.1</v>
      </c>
      <c r="D92" s="309">
        <v>0.1</v>
      </c>
      <c r="E92" s="309">
        <v>9.1999999999999998E-2</v>
      </c>
      <c r="F92" s="309">
        <v>0.1</v>
      </c>
      <c r="G92" s="310">
        <v>0.1</v>
      </c>
    </row>
    <row r="93" spans="1:7">
      <c r="A93" s="319" t="s">
        <v>286</v>
      </c>
      <c r="B93" s="308" t="s">
        <v>2472</v>
      </c>
      <c r="C93" s="309">
        <v>9.8000000000000004E-2</v>
      </c>
      <c r="D93" s="309">
        <v>9.8000000000000004E-2</v>
      </c>
      <c r="E93" s="309">
        <v>9.6000000000000002E-2</v>
      </c>
      <c r="F93" s="309">
        <v>0.1</v>
      </c>
      <c r="G93" s="310">
        <v>9.9000000000000005E-2</v>
      </c>
    </row>
    <row r="94" spans="1:7">
      <c r="A94" s="319" t="s">
        <v>286</v>
      </c>
      <c r="B94" s="308" t="s">
        <v>2473</v>
      </c>
      <c r="C94" s="309">
        <v>8.7999999999999995E-2</v>
      </c>
      <c r="D94" s="309">
        <v>8.7999999999999995E-2</v>
      </c>
      <c r="E94" s="309">
        <v>9.6000000000000002E-2</v>
      </c>
      <c r="F94" s="309">
        <v>0.1</v>
      </c>
      <c r="G94" s="310">
        <v>8.7999999999999995E-2</v>
      </c>
    </row>
    <row r="95" spans="1:7">
      <c r="A95" s="319" t="s">
        <v>286</v>
      </c>
      <c r="B95" s="308" t="s">
        <v>2474</v>
      </c>
      <c r="C95" s="309">
        <v>9.6000000000000002E-2</v>
      </c>
      <c r="D95" s="309">
        <v>9.6000000000000002E-2</v>
      </c>
      <c r="E95" s="309">
        <v>0.1</v>
      </c>
      <c r="F95" s="309">
        <v>0.1</v>
      </c>
      <c r="G95" s="310">
        <v>9.8000000000000004E-2</v>
      </c>
    </row>
    <row r="96" spans="1:7">
      <c r="A96" s="319" t="s">
        <v>286</v>
      </c>
      <c r="B96" s="308" t="s">
        <v>2475</v>
      </c>
      <c r="C96" s="309">
        <v>9.7000000000000003E-2</v>
      </c>
      <c r="D96" s="309">
        <v>9.7000000000000003E-2</v>
      </c>
      <c r="E96" s="309">
        <v>0.1</v>
      </c>
      <c r="F96" s="309">
        <v>0.1</v>
      </c>
      <c r="G96" s="310">
        <v>9.8000000000000004E-2</v>
      </c>
    </row>
    <row r="97" spans="1:7">
      <c r="A97" s="319" t="s">
        <v>286</v>
      </c>
      <c r="B97" s="308" t="s">
        <v>2476</v>
      </c>
      <c r="C97" s="309">
        <v>9.6000000000000002E-2</v>
      </c>
      <c r="D97" s="309">
        <v>9.6000000000000002E-2</v>
      </c>
      <c r="E97" s="309">
        <v>9.9000000000000005E-2</v>
      </c>
      <c r="F97" s="309">
        <v>0.1</v>
      </c>
      <c r="G97" s="310">
        <v>9.8000000000000004E-2</v>
      </c>
    </row>
    <row r="98" spans="1:7">
      <c r="A98" s="319" t="s">
        <v>286</v>
      </c>
      <c r="B98" s="308" t="s">
        <v>2477</v>
      </c>
      <c r="C98" s="309">
        <v>9.8000000000000004E-2</v>
      </c>
      <c r="D98" s="309">
        <v>9.8000000000000004E-2</v>
      </c>
      <c r="E98" s="309">
        <v>0.1</v>
      </c>
      <c r="F98" s="309">
        <v>0.1</v>
      </c>
      <c r="G98" s="310">
        <v>9.9000000000000005E-2</v>
      </c>
    </row>
    <row r="99" spans="1:7">
      <c r="A99" s="319" t="s">
        <v>286</v>
      </c>
      <c r="B99" s="308" t="s">
        <v>2478</v>
      </c>
      <c r="C99" s="309">
        <v>9.6000000000000002E-2</v>
      </c>
      <c r="D99" s="309">
        <v>9.6000000000000002E-2</v>
      </c>
      <c r="E99" s="309">
        <v>0.1</v>
      </c>
      <c r="F99" s="309">
        <v>0.1</v>
      </c>
      <c r="G99" s="310">
        <v>9.7000000000000003E-2</v>
      </c>
    </row>
    <row r="100" spans="1:7">
      <c r="A100" s="319" t="s">
        <v>286</v>
      </c>
      <c r="B100" s="308" t="s">
        <v>2479</v>
      </c>
      <c r="C100" s="309">
        <v>0.1</v>
      </c>
      <c r="D100" s="309">
        <v>0.1</v>
      </c>
      <c r="E100" s="309">
        <v>9.7000000000000003E-2</v>
      </c>
      <c r="F100" s="309">
        <v>9.8000000000000004E-2</v>
      </c>
      <c r="G100" s="310">
        <v>0.1</v>
      </c>
    </row>
    <row r="101" spans="1:7">
      <c r="A101" s="319" t="s">
        <v>286</v>
      </c>
      <c r="B101" s="308" t="s">
        <v>2480</v>
      </c>
      <c r="C101" s="309">
        <v>0.1</v>
      </c>
      <c r="D101" s="309">
        <v>0.1</v>
      </c>
      <c r="E101" s="309">
        <v>9.5000000000000001E-2</v>
      </c>
      <c r="F101" s="309">
        <v>0.1</v>
      </c>
      <c r="G101" s="310">
        <v>0.1</v>
      </c>
    </row>
    <row r="102" spans="1:7">
      <c r="A102" s="319" t="s">
        <v>286</v>
      </c>
      <c r="B102" s="308" t="s">
        <v>2481</v>
      </c>
      <c r="C102" s="309">
        <v>0.1</v>
      </c>
      <c r="D102" s="309">
        <v>0.1</v>
      </c>
      <c r="E102" s="309">
        <v>9.9000000000000005E-2</v>
      </c>
      <c r="F102" s="309">
        <v>9.7000000000000003E-2</v>
      </c>
      <c r="G102" s="310">
        <v>0.1</v>
      </c>
    </row>
    <row r="103" spans="1:7">
      <c r="A103" s="319" t="s">
        <v>286</v>
      </c>
      <c r="B103" s="308" t="s">
        <v>2482</v>
      </c>
      <c r="C103" s="309">
        <v>0.1</v>
      </c>
      <c r="D103" s="309">
        <v>0.1</v>
      </c>
      <c r="E103" s="309">
        <v>9.8000000000000004E-2</v>
      </c>
      <c r="F103" s="309">
        <v>0.1</v>
      </c>
      <c r="G103" s="310">
        <v>0.1</v>
      </c>
    </row>
    <row r="104" spans="1:7">
      <c r="A104" s="319" t="s">
        <v>286</v>
      </c>
      <c r="B104" s="308" t="s">
        <v>2483</v>
      </c>
      <c r="C104" s="309">
        <v>0.1</v>
      </c>
      <c r="D104" s="309">
        <v>0.1</v>
      </c>
      <c r="E104" s="309">
        <v>9.8000000000000004E-2</v>
      </c>
      <c r="F104" s="309">
        <v>0.1</v>
      </c>
      <c r="G104" s="310">
        <v>0.1</v>
      </c>
    </row>
    <row r="105" spans="1:7">
      <c r="A105" s="319" t="s">
        <v>286</v>
      </c>
      <c r="B105" s="308" t="s">
        <v>2484</v>
      </c>
      <c r="C105" s="309">
        <v>9.8000000000000004E-2</v>
      </c>
      <c r="D105" s="309">
        <v>9.8000000000000004E-2</v>
      </c>
      <c r="E105" s="309">
        <v>9.8000000000000004E-2</v>
      </c>
      <c r="F105" s="309">
        <v>0.1</v>
      </c>
      <c r="G105" s="310">
        <v>9.9000000000000005E-2</v>
      </c>
    </row>
    <row r="106" spans="1:7">
      <c r="A106" s="319" t="s">
        <v>286</v>
      </c>
      <c r="B106" s="308" t="s">
        <v>2485</v>
      </c>
      <c r="C106" s="309">
        <v>9.7000000000000003E-2</v>
      </c>
      <c r="D106" s="309">
        <v>9.7000000000000003E-2</v>
      </c>
      <c r="E106" s="309">
        <v>9.7000000000000003E-2</v>
      </c>
      <c r="F106" s="309">
        <v>0.1</v>
      </c>
      <c r="G106" s="310">
        <v>9.9000000000000005E-2</v>
      </c>
    </row>
    <row r="107" spans="1:7">
      <c r="A107" s="319" t="s">
        <v>286</v>
      </c>
      <c r="B107" s="308" t="s">
        <v>2486</v>
      </c>
      <c r="C107" s="309">
        <v>0.1</v>
      </c>
      <c r="D107" s="309">
        <v>0.1</v>
      </c>
      <c r="E107" s="309">
        <v>8.5999999999999993E-2</v>
      </c>
      <c r="F107" s="309">
        <v>0.09</v>
      </c>
      <c r="G107" s="310">
        <v>0.1</v>
      </c>
    </row>
    <row r="108" spans="1:7">
      <c r="A108" s="319" t="s">
        <v>286</v>
      </c>
      <c r="B108" s="308" t="s">
        <v>2487</v>
      </c>
      <c r="C108" s="309">
        <v>0.1</v>
      </c>
      <c r="D108" s="309">
        <v>0.1</v>
      </c>
      <c r="E108" s="309">
        <v>9.6000000000000002E-2</v>
      </c>
      <c r="F108" s="320"/>
      <c r="G108" s="310">
        <v>0.1</v>
      </c>
    </row>
    <row r="109" spans="1:7">
      <c r="A109" s="319" t="s">
        <v>286</v>
      </c>
      <c r="B109" s="308" t="s">
        <v>2488</v>
      </c>
      <c r="C109" s="309">
        <v>0.1</v>
      </c>
      <c r="D109" s="309">
        <v>0.1</v>
      </c>
      <c r="E109" s="309">
        <v>0.1</v>
      </c>
      <c r="F109" s="320"/>
      <c r="G109" s="310">
        <v>0.1</v>
      </c>
    </row>
    <row r="110" spans="1:7">
      <c r="A110" s="319" t="s">
        <v>286</v>
      </c>
      <c r="B110" s="308" t="s">
        <v>2489</v>
      </c>
      <c r="C110" s="309">
        <v>0.1</v>
      </c>
      <c r="D110" s="309">
        <v>0.1</v>
      </c>
      <c r="E110" s="309">
        <v>0.1</v>
      </c>
      <c r="F110" s="320"/>
      <c r="G110" s="310">
        <v>0.1</v>
      </c>
    </row>
    <row r="111" spans="1:7">
      <c r="A111" s="319" t="s">
        <v>286</v>
      </c>
      <c r="B111" s="308" t="s">
        <v>2490</v>
      </c>
      <c r="C111" s="309">
        <v>0.1</v>
      </c>
      <c r="D111" s="309">
        <v>0.1</v>
      </c>
      <c r="E111" s="309">
        <v>9.5000000000000001E-2</v>
      </c>
      <c r="F111" s="320"/>
      <c r="G111" s="310">
        <v>0.1</v>
      </c>
    </row>
    <row r="112" spans="1:7">
      <c r="A112" s="319" t="s">
        <v>286</v>
      </c>
      <c r="B112" s="308" t="s">
        <v>2491</v>
      </c>
      <c r="C112" s="309">
        <v>9.7000000000000003E-2</v>
      </c>
      <c r="D112" s="309">
        <v>9.7000000000000003E-2</v>
      </c>
      <c r="E112" s="309">
        <v>0.05</v>
      </c>
      <c r="F112" s="320"/>
      <c r="G112" s="310">
        <v>9.8000000000000004E-2</v>
      </c>
    </row>
    <row r="113" spans="1:7">
      <c r="A113" s="319" t="s">
        <v>286</v>
      </c>
      <c r="B113" s="308" t="s">
        <v>2492</v>
      </c>
      <c r="C113" s="309">
        <v>0.1</v>
      </c>
      <c r="D113" s="309">
        <v>0.1</v>
      </c>
      <c r="E113" s="320"/>
      <c r="F113" s="320"/>
      <c r="G113" s="310">
        <v>0.1</v>
      </c>
    </row>
    <row r="114" spans="1:7">
      <c r="A114" s="319" t="s">
        <v>286</v>
      </c>
      <c r="B114" s="308" t="s">
        <v>2493</v>
      </c>
      <c r="C114" s="309">
        <v>9.7000000000000003E-2</v>
      </c>
      <c r="D114" s="309">
        <v>9.7000000000000003E-2</v>
      </c>
      <c r="E114" s="320"/>
      <c r="F114" s="320"/>
      <c r="G114" s="310">
        <v>9.9000000000000005E-2</v>
      </c>
    </row>
    <row r="115" spans="1:7">
      <c r="A115" s="319" t="s">
        <v>286</v>
      </c>
      <c r="B115" s="308" t="s">
        <v>2494</v>
      </c>
      <c r="C115" s="309">
        <v>0.1</v>
      </c>
      <c r="D115" s="309">
        <v>0.1</v>
      </c>
      <c r="E115" s="320"/>
      <c r="F115" s="320"/>
      <c r="G115" s="310">
        <v>0.1</v>
      </c>
    </row>
    <row r="116" spans="1:7">
      <c r="A116" s="319" t="s">
        <v>286</v>
      </c>
      <c r="B116" s="308" t="s">
        <v>2495</v>
      </c>
      <c r="C116" s="309">
        <v>0.1</v>
      </c>
      <c r="D116" s="309">
        <v>0.1</v>
      </c>
      <c r="E116" s="320"/>
      <c r="F116" s="320"/>
      <c r="G116" s="310">
        <v>0.1</v>
      </c>
    </row>
    <row r="117" spans="1:7">
      <c r="A117" s="319" t="s">
        <v>286</v>
      </c>
      <c r="B117" s="308" t="s">
        <v>2496</v>
      </c>
      <c r="C117" s="309">
        <v>9.7000000000000003E-2</v>
      </c>
      <c r="D117" s="309">
        <v>9.7000000000000003E-2</v>
      </c>
      <c r="E117" s="320"/>
      <c r="F117" s="320"/>
      <c r="G117" s="310">
        <v>9.7000000000000003E-2</v>
      </c>
    </row>
    <row r="118" spans="1:7">
      <c r="A118" s="319" t="s">
        <v>286</v>
      </c>
      <c r="B118" s="308" t="s">
        <v>2497</v>
      </c>
      <c r="C118" s="309">
        <v>0.1</v>
      </c>
      <c r="D118" s="309">
        <v>0.1</v>
      </c>
      <c r="E118" s="320"/>
      <c r="F118" s="320"/>
      <c r="G118" s="310">
        <v>0.1</v>
      </c>
    </row>
    <row r="119" spans="1:7">
      <c r="A119" s="319" t="s">
        <v>286</v>
      </c>
      <c r="B119" s="308" t="s">
        <v>2498</v>
      </c>
      <c r="C119" s="309">
        <v>5.0999999999999997E-2</v>
      </c>
      <c r="D119" s="309">
        <v>5.1999999999999998E-2</v>
      </c>
      <c r="E119" s="320"/>
      <c r="F119" s="325"/>
      <c r="G119" s="310">
        <v>0.06</v>
      </c>
    </row>
    <row r="120" spans="1:7">
      <c r="A120" s="319" t="s">
        <v>286</v>
      </c>
      <c r="B120" s="308" t="s">
        <v>2499</v>
      </c>
      <c r="C120" s="320"/>
      <c r="D120" s="320"/>
      <c r="E120" s="320"/>
      <c r="F120" s="309">
        <v>0.1</v>
      </c>
      <c r="G120" s="326"/>
    </row>
    <row r="121" spans="1:7">
      <c r="A121" s="319" t="s">
        <v>286</v>
      </c>
      <c r="B121" s="308" t="s">
        <v>2500</v>
      </c>
      <c r="C121" s="320"/>
      <c r="D121" s="320"/>
      <c r="E121" s="320"/>
      <c r="F121" s="309">
        <v>0.1</v>
      </c>
      <c r="G121" s="326"/>
    </row>
    <row r="122" spans="1:7">
      <c r="A122" s="319" t="s">
        <v>286</v>
      </c>
      <c r="B122" s="308" t="s">
        <v>2501</v>
      </c>
      <c r="C122" s="309">
        <v>0.1</v>
      </c>
      <c r="D122" s="309">
        <v>0.1</v>
      </c>
      <c r="E122" s="309">
        <v>9.8000000000000004E-2</v>
      </c>
      <c r="F122" s="309">
        <v>0.1</v>
      </c>
      <c r="G122" s="310">
        <v>0.1</v>
      </c>
    </row>
    <row r="123" spans="1:7">
      <c r="A123" s="319" t="s">
        <v>286</v>
      </c>
      <c r="B123" s="308" t="s">
        <v>2502</v>
      </c>
      <c r="C123" s="309">
        <v>0.1</v>
      </c>
      <c r="D123" s="309">
        <v>0.1</v>
      </c>
      <c r="E123" s="309">
        <v>9.8000000000000004E-2</v>
      </c>
      <c r="F123" s="309">
        <v>0.1</v>
      </c>
      <c r="G123" s="310">
        <v>0.1</v>
      </c>
    </row>
    <row r="124" spans="1:7">
      <c r="A124" s="319" t="s">
        <v>286</v>
      </c>
      <c r="B124" s="308" t="s">
        <v>2503</v>
      </c>
      <c r="C124" s="309">
        <v>0.1</v>
      </c>
      <c r="D124" s="309">
        <v>0.1</v>
      </c>
      <c r="E124" s="309">
        <v>9.8000000000000004E-2</v>
      </c>
      <c r="F124" s="325"/>
      <c r="G124" s="310">
        <v>0.1</v>
      </c>
    </row>
    <row r="125" spans="1:7">
      <c r="A125" s="319" t="s">
        <v>286</v>
      </c>
      <c r="B125" s="308" t="s">
        <v>2504</v>
      </c>
      <c r="C125" s="309">
        <v>9.8000000000000004E-2</v>
      </c>
      <c r="D125" s="309">
        <v>9.8000000000000004E-2</v>
      </c>
      <c r="E125" s="309">
        <v>9.6000000000000002E-2</v>
      </c>
      <c r="F125" s="325"/>
      <c r="G125" s="310">
        <v>0.1</v>
      </c>
    </row>
    <row r="126" spans="1:7">
      <c r="A126" s="322" t="s">
        <v>286</v>
      </c>
      <c r="B126" s="312" t="s">
        <v>2505</v>
      </c>
      <c r="C126" s="313">
        <v>0.1</v>
      </c>
      <c r="D126" s="313">
        <v>0.1</v>
      </c>
      <c r="E126" s="313">
        <v>9.8000000000000004E-2</v>
      </c>
      <c r="F126" s="313">
        <v>0.1</v>
      </c>
      <c r="G126" s="315">
        <v>0.1</v>
      </c>
    </row>
    <row r="127" spans="1:7">
      <c r="A127" s="318" t="s">
        <v>295</v>
      </c>
      <c r="B127" s="304" t="s">
        <v>2506</v>
      </c>
      <c r="C127" s="305">
        <v>0.121</v>
      </c>
      <c r="D127" s="305">
        <v>0.121</v>
      </c>
      <c r="E127" s="305">
        <v>0.107</v>
      </c>
      <c r="F127" s="305">
        <v>0.13</v>
      </c>
      <c r="G127" s="306">
        <v>0.122</v>
      </c>
    </row>
    <row r="128" spans="1:7">
      <c r="A128" s="319" t="s">
        <v>295</v>
      </c>
      <c r="B128" s="308" t="s">
        <v>2507</v>
      </c>
      <c r="C128" s="309">
        <v>0.11600000000000001</v>
      </c>
      <c r="D128" s="309">
        <v>0.11700000000000001</v>
      </c>
      <c r="E128" s="309">
        <v>0.104</v>
      </c>
      <c r="F128" s="309">
        <v>0.13</v>
      </c>
      <c r="G128" s="310">
        <v>0.11700000000000001</v>
      </c>
    </row>
    <row r="129" spans="1:7">
      <c r="A129" s="319" t="s">
        <v>295</v>
      </c>
      <c r="B129" s="308" t="s">
        <v>2508</v>
      </c>
      <c r="C129" s="309">
        <v>0.107</v>
      </c>
      <c r="D129" s="309">
        <v>0.108</v>
      </c>
      <c r="E129" s="309">
        <v>0.1</v>
      </c>
      <c r="F129" s="309">
        <v>0.13</v>
      </c>
      <c r="G129" s="310">
        <v>0.11700000000000001</v>
      </c>
    </row>
    <row r="130" spans="1:7">
      <c r="A130" s="319" t="s">
        <v>295</v>
      </c>
      <c r="B130" s="308" t="s">
        <v>2509</v>
      </c>
      <c r="C130" s="309">
        <v>0.13</v>
      </c>
      <c r="D130" s="309">
        <v>0.13</v>
      </c>
      <c r="E130" s="309">
        <v>0.126</v>
      </c>
      <c r="F130" s="309">
        <v>0.13</v>
      </c>
      <c r="G130" s="310">
        <v>0.13</v>
      </c>
    </row>
    <row r="131" spans="1:7">
      <c r="A131" s="319" t="s">
        <v>295</v>
      </c>
      <c r="B131" s="308" t="s">
        <v>2510</v>
      </c>
      <c r="C131" s="309">
        <v>0.13</v>
      </c>
      <c r="D131" s="309">
        <v>0.13</v>
      </c>
      <c r="E131" s="309">
        <v>0.13</v>
      </c>
      <c r="F131" s="309">
        <v>0.13</v>
      </c>
      <c r="G131" s="310">
        <v>0.13</v>
      </c>
    </row>
    <row r="132" spans="1:7">
      <c r="A132" s="319" t="s">
        <v>295</v>
      </c>
      <c r="B132" s="308" t="s">
        <v>2511</v>
      </c>
      <c r="C132" s="309">
        <v>0.13</v>
      </c>
      <c r="D132" s="309">
        <v>0.13</v>
      </c>
      <c r="E132" s="309">
        <v>0.126</v>
      </c>
      <c r="F132" s="309">
        <v>0.13</v>
      </c>
      <c r="G132" s="310">
        <v>0.13</v>
      </c>
    </row>
    <row r="133" spans="1:7">
      <c r="A133" s="319" t="s">
        <v>295</v>
      </c>
      <c r="B133" s="308" t="s">
        <v>2512</v>
      </c>
      <c r="C133" s="309">
        <v>0.111</v>
      </c>
      <c r="D133" s="309">
        <v>0.111</v>
      </c>
      <c r="E133" s="309">
        <v>0.10199999999999999</v>
      </c>
      <c r="F133" s="309">
        <v>0.13</v>
      </c>
      <c r="G133" s="310">
        <v>0.121</v>
      </c>
    </row>
    <row r="134" spans="1:7">
      <c r="A134" s="319" t="s">
        <v>295</v>
      </c>
      <c r="B134" s="308" t="s">
        <v>2513</v>
      </c>
      <c r="C134" s="309">
        <v>0.121</v>
      </c>
      <c r="D134" s="309">
        <v>0.121</v>
      </c>
      <c r="E134" s="309">
        <v>0.1</v>
      </c>
      <c r="F134" s="309">
        <v>0.13</v>
      </c>
      <c r="G134" s="310">
        <v>0.123</v>
      </c>
    </row>
    <row r="135" spans="1:7">
      <c r="A135" s="319" t="s">
        <v>295</v>
      </c>
      <c r="B135" s="308" t="s">
        <v>2514</v>
      </c>
      <c r="C135" s="309">
        <v>0.105</v>
      </c>
      <c r="D135" s="309">
        <v>0.106</v>
      </c>
      <c r="E135" s="309">
        <v>0.1</v>
      </c>
      <c r="F135" s="309">
        <v>0.13</v>
      </c>
      <c r="G135" s="310">
        <v>0.115</v>
      </c>
    </row>
    <row r="136" spans="1:7">
      <c r="A136" s="319" t="s">
        <v>295</v>
      </c>
      <c r="B136" s="308" t="s">
        <v>2515</v>
      </c>
      <c r="C136" s="309">
        <v>0.127</v>
      </c>
      <c r="D136" s="309">
        <v>0.127</v>
      </c>
      <c r="E136" s="309">
        <v>0.121</v>
      </c>
      <c r="F136" s="309">
        <v>0.123</v>
      </c>
      <c r="G136" s="310">
        <v>0.129</v>
      </c>
    </row>
    <row r="137" spans="1:7">
      <c r="A137" s="319" t="s">
        <v>295</v>
      </c>
      <c r="B137" s="308" t="s">
        <v>2516</v>
      </c>
      <c r="C137" s="309">
        <v>0.13</v>
      </c>
      <c r="D137" s="309">
        <v>0.13</v>
      </c>
      <c r="E137" s="309">
        <v>0.129</v>
      </c>
      <c r="F137" s="309">
        <v>0.13</v>
      </c>
      <c r="G137" s="310">
        <v>0.13</v>
      </c>
    </row>
    <row r="138" spans="1:7">
      <c r="A138" s="319" t="s">
        <v>295</v>
      </c>
      <c r="B138" s="308" t="s">
        <v>2517</v>
      </c>
      <c r="C138" s="309">
        <v>0.13</v>
      </c>
      <c r="D138" s="309">
        <v>0.13</v>
      </c>
      <c r="E138" s="309">
        <v>0.125</v>
      </c>
      <c r="F138" s="309">
        <v>0.13</v>
      </c>
      <c r="G138" s="310">
        <v>0.13</v>
      </c>
    </row>
    <row r="139" spans="1:7">
      <c r="A139" s="319" t="s">
        <v>295</v>
      </c>
      <c r="B139" s="308" t="s">
        <v>2518</v>
      </c>
      <c r="C139" s="309">
        <v>0.13</v>
      </c>
      <c r="D139" s="309">
        <v>0.13</v>
      </c>
      <c r="E139" s="309">
        <v>0.126</v>
      </c>
      <c r="F139" s="309">
        <v>0.13</v>
      </c>
      <c r="G139" s="310">
        <v>0.13</v>
      </c>
    </row>
    <row r="140" spans="1:7">
      <c r="A140" s="319" t="s">
        <v>295</v>
      </c>
      <c r="B140" s="308" t="s">
        <v>2519</v>
      </c>
      <c r="C140" s="309">
        <v>0.1</v>
      </c>
      <c r="D140" s="309">
        <v>0.1</v>
      </c>
      <c r="E140" s="309">
        <v>0.1</v>
      </c>
      <c r="F140" s="309">
        <v>0.123</v>
      </c>
      <c r="G140" s="310">
        <v>0.107</v>
      </c>
    </row>
    <row r="141" spans="1:7">
      <c r="A141" s="319" t="s">
        <v>295</v>
      </c>
      <c r="B141" s="308" t="s">
        <v>2520</v>
      </c>
      <c r="C141" s="309">
        <v>0.127</v>
      </c>
      <c r="D141" s="309">
        <v>0.127</v>
      </c>
      <c r="E141" s="309">
        <v>0.122</v>
      </c>
      <c r="F141" s="309">
        <v>0.1</v>
      </c>
      <c r="G141" s="310">
        <v>0.129</v>
      </c>
    </row>
    <row r="142" spans="1:7">
      <c r="A142" s="319" t="s">
        <v>295</v>
      </c>
      <c r="B142" s="308" t="s">
        <v>2521</v>
      </c>
      <c r="C142" s="309">
        <v>0.121</v>
      </c>
      <c r="D142" s="309">
        <v>0.122</v>
      </c>
      <c r="E142" s="309">
        <v>0.1</v>
      </c>
      <c r="F142" s="309">
        <v>0.123</v>
      </c>
      <c r="G142" s="310">
        <v>0.123</v>
      </c>
    </row>
    <row r="143" spans="1:7">
      <c r="A143" s="319" t="s">
        <v>295</v>
      </c>
      <c r="B143" s="308" t="s">
        <v>2522</v>
      </c>
      <c r="C143" s="309">
        <v>0.1</v>
      </c>
      <c r="D143" s="309">
        <v>0.1</v>
      </c>
      <c r="E143" s="309">
        <v>0.1</v>
      </c>
      <c r="F143" s="309">
        <v>0.13</v>
      </c>
      <c r="G143" s="310">
        <v>0.1</v>
      </c>
    </row>
    <row r="144" spans="1:7">
      <c r="A144" s="319" t="s">
        <v>295</v>
      </c>
      <c r="B144" s="308" t="s">
        <v>2523</v>
      </c>
      <c r="C144" s="309">
        <v>0.106</v>
      </c>
      <c r="D144" s="309">
        <v>0.105</v>
      </c>
      <c r="E144" s="309">
        <v>0.1</v>
      </c>
      <c r="F144" s="309">
        <v>0.13</v>
      </c>
      <c r="G144" s="310">
        <v>0.11799999999999999</v>
      </c>
    </row>
    <row r="145" spans="1:7">
      <c r="A145" s="319" t="s">
        <v>295</v>
      </c>
      <c r="B145" s="308" t="s">
        <v>2524</v>
      </c>
      <c r="C145" s="309">
        <v>0.123</v>
      </c>
      <c r="D145" s="309">
        <v>0.123</v>
      </c>
      <c r="E145" s="309">
        <v>0.11700000000000001</v>
      </c>
      <c r="F145" s="309">
        <v>0.13</v>
      </c>
      <c r="G145" s="310">
        <v>0.126</v>
      </c>
    </row>
    <row r="146" spans="1:7">
      <c r="A146" s="319" t="s">
        <v>295</v>
      </c>
      <c r="B146" s="308" t="s">
        <v>2525</v>
      </c>
      <c r="C146" s="309">
        <v>0.127</v>
      </c>
      <c r="D146" s="309">
        <v>0.127</v>
      </c>
      <c r="E146" s="309">
        <v>0.12</v>
      </c>
      <c r="F146" s="320"/>
      <c r="G146" s="310">
        <v>0.129</v>
      </c>
    </row>
    <row r="147" spans="1:7">
      <c r="A147" s="319" t="s">
        <v>295</v>
      </c>
      <c r="B147" s="308" t="s">
        <v>2526</v>
      </c>
      <c r="C147" s="309">
        <v>0.13</v>
      </c>
      <c r="D147" s="309">
        <v>0.13</v>
      </c>
      <c r="E147" s="309">
        <v>0.126</v>
      </c>
      <c r="F147" s="320"/>
      <c r="G147" s="310">
        <v>0.13</v>
      </c>
    </row>
    <row r="148" spans="1:7">
      <c r="A148" s="319" t="s">
        <v>295</v>
      </c>
      <c r="B148" s="308" t="s">
        <v>2527</v>
      </c>
      <c r="C148" s="309">
        <v>0.13</v>
      </c>
      <c r="D148" s="309">
        <v>0.13</v>
      </c>
      <c r="E148" s="309">
        <v>0.13</v>
      </c>
      <c r="F148" s="320"/>
      <c r="G148" s="310">
        <v>0.13</v>
      </c>
    </row>
    <row r="149" spans="1:7">
      <c r="A149" s="319" t="s">
        <v>295</v>
      </c>
      <c r="B149" s="308" t="s">
        <v>2528</v>
      </c>
      <c r="C149" s="309">
        <v>0.13</v>
      </c>
      <c r="D149" s="309">
        <v>0.13</v>
      </c>
      <c r="E149" s="309">
        <v>0.13</v>
      </c>
      <c r="F149" s="309">
        <v>0.13</v>
      </c>
      <c r="G149" s="310">
        <v>0.13</v>
      </c>
    </row>
    <row r="150" spans="1:7">
      <c r="A150" s="319" t="s">
        <v>295</v>
      </c>
      <c r="B150" s="308" t="s">
        <v>2529</v>
      </c>
      <c r="C150" s="309">
        <v>0.13</v>
      </c>
      <c r="D150" s="309">
        <v>0.13</v>
      </c>
      <c r="E150" s="309">
        <v>0.127</v>
      </c>
      <c r="F150" s="309">
        <v>0.13</v>
      </c>
      <c r="G150" s="310">
        <v>0.13</v>
      </c>
    </row>
    <row r="151" spans="1:7">
      <c r="A151" s="319" t="s">
        <v>295</v>
      </c>
      <c r="B151" s="308" t="s">
        <v>2530</v>
      </c>
      <c r="C151" s="309">
        <v>0.13</v>
      </c>
      <c r="D151" s="309">
        <v>0.13</v>
      </c>
      <c r="E151" s="309">
        <v>0.13</v>
      </c>
      <c r="F151" s="309">
        <v>0.13</v>
      </c>
      <c r="G151" s="310">
        <v>0.13</v>
      </c>
    </row>
    <row r="152" spans="1:7">
      <c r="A152" s="319" t="s">
        <v>295</v>
      </c>
      <c r="B152" s="308" t="s">
        <v>2531</v>
      </c>
      <c r="C152" s="309">
        <v>0.13</v>
      </c>
      <c r="D152" s="309">
        <v>0.13</v>
      </c>
      <c r="E152" s="309">
        <v>0.13</v>
      </c>
      <c r="F152" s="309">
        <v>0.13</v>
      </c>
      <c r="G152" s="310">
        <v>0.13</v>
      </c>
    </row>
    <row r="153" spans="1:7">
      <c r="A153" s="319" t="s">
        <v>295</v>
      </c>
      <c r="B153" s="308" t="s">
        <v>2532</v>
      </c>
      <c r="C153" s="309">
        <v>0.13</v>
      </c>
      <c r="D153" s="309">
        <v>0.13</v>
      </c>
      <c r="E153" s="309">
        <v>0.13</v>
      </c>
      <c r="F153" s="309">
        <v>0.13</v>
      </c>
      <c r="G153" s="310">
        <v>0.13</v>
      </c>
    </row>
    <row r="154" spans="1:7">
      <c r="A154" s="319" t="s">
        <v>295</v>
      </c>
      <c r="B154" s="308" t="s">
        <v>2533</v>
      </c>
      <c r="C154" s="309">
        <v>0.121</v>
      </c>
      <c r="D154" s="309">
        <v>0.121</v>
      </c>
      <c r="E154" s="309">
        <v>0.105</v>
      </c>
      <c r="F154" s="309">
        <v>0.121</v>
      </c>
      <c r="G154" s="310">
        <v>0.123</v>
      </c>
    </row>
    <row r="155" spans="1:7">
      <c r="A155" s="319" t="s">
        <v>295</v>
      </c>
      <c r="B155" s="308" t="s">
        <v>2534</v>
      </c>
      <c r="C155" s="309">
        <v>0.1</v>
      </c>
      <c r="D155" s="309">
        <v>0.1</v>
      </c>
      <c r="E155" s="309">
        <v>0.1</v>
      </c>
      <c r="F155" s="309">
        <v>0.1</v>
      </c>
      <c r="G155" s="310">
        <v>0.1</v>
      </c>
    </row>
    <row r="156" spans="1:7">
      <c r="A156" s="319" t="s">
        <v>295</v>
      </c>
      <c r="B156" s="308" t="s">
        <v>2535</v>
      </c>
      <c r="C156" s="309">
        <v>0.13</v>
      </c>
      <c r="D156" s="309">
        <v>0.13</v>
      </c>
      <c r="E156" s="309">
        <v>0.13</v>
      </c>
      <c r="F156" s="309">
        <v>0.13</v>
      </c>
      <c r="G156" s="310">
        <v>0.13</v>
      </c>
    </row>
    <row r="157" spans="1:7">
      <c r="A157" s="319" t="s">
        <v>295</v>
      </c>
      <c r="B157" s="308" t="s">
        <v>2536</v>
      </c>
      <c r="C157" s="309">
        <v>0.13</v>
      </c>
      <c r="D157" s="309">
        <v>0.13</v>
      </c>
      <c r="E157" s="309">
        <v>0.125</v>
      </c>
      <c r="F157" s="309">
        <v>0.13</v>
      </c>
      <c r="G157" s="310">
        <v>0.13</v>
      </c>
    </row>
    <row r="158" spans="1:7">
      <c r="A158" s="319" t="s">
        <v>295</v>
      </c>
      <c r="B158" s="308" t="s">
        <v>2537</v>
      </c>
      <c r="C158" s="309">
        <v>0.124</v>
      </c>
      <c r="D158" s="309">
        <v>0.124</v>
      </c>
      <c r="E158" s="309">
        <v>0.11700000000000001</v>
      </c>
      <c r="F158" s="309">
        <v>0.121</v>
      </c>
      <c r="G158" s="310">
        <v>0.124</v>
      </c>
    </row>
    <row r="159" spans="1:7">
      <c r="A159" s="319" t="s">
        <v>295</v>
      </c>
      <c r="B159" s="308" t="s">
        <v>2538</v>
      </c>
      <c r="C159" s="309">
        <v>0.127</v>
      </c>
      <c r="D159" s="309">
        <v>0.127</v>
      </c>
      <c r="E159" s="309">
        <v>0.122</v>
      </c>
      <c r="F159" s="309">
        <v>0.13</v>
      </c>
      <c r="G159" s="310">
        <v>0.129</v>
      </c>
    </row>
    <row r="160" spans="1:7">
      <c r="A160" s="319" t="s">
        <v>295</v>
      </c>
      <c r="B160" s="308" t="s">
        <v>2539</v>
      </c>
      <c r="C160" s="309">
        <v>0.13</v>
      </c>
      <c r="D160" s="309">
        <v>0.13</v>
      </c>
      <c r="E160" s="309">
        <v>0.124</v>
      </c>
      <c r="F160" s="309">
        <v>0.126</v>
      </c>
      <c r="G160" s="310">
        <v>0.13</v>
      </c>
    </row>
    <row r="161" spans="1:7">
      <c r="A161" s="319" t="s">
        <v>295</v>
      </c>
      <c r="B161" s="308" t="s">
        <v>2540</v>
      </c>
      <c r="C161" s="309">
        <v>0.13</v>
      </c>
      <c r="D161" s="309">
        <v>0.13</v>
      </c>
      <c r="E161" s="309">
        <v>0.124</v>
      </c>
      <c r="F161" s="309">
        <v>0.127</v>
      </c>
      <c r="G161" s="310">
        <v>0.13</v>
      </c>
    </row>
    <row r="162" spans="1:7">
      <c r="A162" s="319" t="s">
        <v>295</v>
      </c>
      <c r="B162" s="308" t="s">
        <v>2541</v>
      </c>
      <c r="C162" s="309">
        <v>0.1</v>
      </c>
      <c r="D162" s="309">
        <v>0.1</v>
      </c>
      <c r="E162" s="309">
        <v>0.1</v>
      </c>
      <c r="F162" s="309">
        <v>0.121</v>
      </c>
      <c r="G162" s="310">
        <v>0.105</v>
      </c>
    </row>
    <row r="163" spans="1:7">
      <c r="A163" s="319" t="s">
        <v>295</v>
      </c>
      <c r="B163" s="308" t="s">
        <v>2542</v>
      </c>
      <c r="C163" s="309">
        <v>0.1</v>
      </c>
      <c r="D163" s="309">
        <v>0.1</v>
      </c>
      <c r="E163" s="309">
        <v>0.1</v>
      </c>
      <c r="F163" s="309">
        <v>0.1</v>
      </c>
      <c r="G163" s="310">
        <v>0.1</v>
      </c>
    </row>
    <row r="164" spans="1:7">
      <c r="A164" s="319" t="s">
        <v>295</v>
      </c>
      <c r="B164" s="308" t="s">
        <v>2543</v>
      </c>
      <c r="C164" s="325"/>
      <c r="D164" s="325"/>
      <c r="E164" s="325"/>
      <c r="F164" s="309">
        <v>0.1</v>
      </c>
      <c r="G164" s="321"/>
    </row>
    <row r="165" spans="1:7">
      <c r="A165" s="319" t="s">
        <v>295</v>
      </c>
      <c r="B165" s="308" t="s">
        <v>2544</v>
      </c>
      <c r="C165" s="309">
        <v>0.126</v>
      </c>
      <c r="D165" s="309">
        <v>0.126</v>
      </c>
      <c r="E165" s="309">
        <v>0.11899999999999999</v>
      </c>
      <c r="F165" s="309">
        <v>0.13</v>
      </c>
      <c r="G165" s="310">
        <v>0.128</v>
      </c>
    </row>
    <row r="166" spans="1:7">
      <c r="A166" s="319" t="s">
        <v>295</v>
      </c>
      <c r="B166" s="308" t="s">
        <v>2545</v>
      </c>
      <c r="C166" s="309">
        <v>0.129</v>
      </c>
      <c r="D166" s="309">
        <v>0.129</v>
      </c>
      <c r="E166" s="309">
        <v>0.123</v>
      </c>
      <c r="F166" s="309">
        <v>0.128</v>
      </c>
      <c r="G166" s="310">
        <v>0.13</v>
      </c>
    </row>
    <row r="167" spans="1:7">
      <c r="A167" s="319" t="s">
        <v>295</v>
      </c>
      <c r="B167" s="308" t="s">
        <v>2546</v>
      </c>
      <c r="C167" s="309">
        <v>0.125</v>
      </c>
      <c r="D167" s="309">
        <v>0.125</v>
      </c>
      <c r="E167" s="309">
        <v>0.11700000000000001</v>
      </c>
      <c r="F167" s="309">
        <v>0.13</v>
      </c>
      <c r="G167" s="310">
        <v>0.126</v>
      </c>
    </row>
    <row r="168" spans="1:7">
      <c r="A168" s="319" t="s">
        <v>295</v>
      </c>
      <c r="B168" s="308" t="s">
        <v>2547</v>
      </c>
      <c r="C168" s="309">
        <v>0.128</v>
      </c>
      <c r="D168" s="309">
        <v>0.128</v>
      </c>
      <c r="E168" s="309">
        <v>0.123</v>
      </c>
      <c r="F168" s="320"/>
      <c r="G168" s="310">
        <v>0.13</v>
      </c>
    </row>
    <row r="169" spans="1:7">
      <c r="A169" s="319" t="s">
        <v>295</v>
      </c>
      <c r="B169" s="308" t="s">
        <v>2548</v>
      </c>
      <c r="C169" s="325"/>
      <c r="D169" s="325"/>
      <c r="E169" s="325"/>
      <c r="F169" s="309">
        <v>0.05</v>
      </c>
      <c r="G169" s="321"/>
    </row>
    <row r="170" spans="1:7">
      <c r="A170" s="319" t="s">
        <v>295</v>
      </c>
      <c r="B170" s="308" t="s">
        <v>2549</v>
      </c>
      <c r="C170" s="325"/>
      <c r="D170" s="325"/>
      <c r="E170" s="325"/>
      <c r="F170" s="309">
        <v>0.05</v>
      </c>
      <c r="G170" s="321"/>
    </row>
    <row r="171" spans="1:7">
      <c r="A171" s="319" t="s">
        <v>295</v>
      </c>
      <c r="B171" s="308" t="s">
        <v>2550</v>
      </c>
      <c r="C171" s="325"/>
      <c r="D171" s="325"/>
      <c r="E171" s="325"/>
      <c r="F171" s="309">
        <v>0.05</v>
      </c>
      <c r="G171" s="326"/>
    </row>
    <row r="172" spans="1:7">
      <c r="A172" s="319" t="s">
        <v>295</v>
      </c>
      <c r="B172" s="308" t="s">
        <v>2551</v>
      </c>
      <c r="C172" s="325"/>
      <c r="D172" s="325"/>
      <c r="E172" s="325"/>
      <c r="F172" s="309">
        <v>0.05</v>
      </c>
      <c r="G172" s="326"/>
    </row>
    <row r="173" spans="1:7">
      <c r="A173" s="319" t="s">
        <v>295</v>
      </c>
      <c r="B173" s="308" t="s">
        <v>2552</v>
      </c>
      <c r="C173" s="325"/>
      <c r="D173" s="325"/>
      <c r="E173" s="325"/>
      <c r="F173" s="309">
        <v>0.05</v>
      </c>
      <c r="G173" s="321"/>
    </row>
    <row r="174" spans="1:7">
      <c r="A174" s="319" t="s">
        <v>295</v>
      </c>
      <c r="B174" s="308" t="s">
        <v>2553</v>
      </c>
      <c r="C174" s="325"/>
      <c r="D174" s="325"/>
      <c r="E174" s="325"/>
      <c r="F174" s="309">
        <v>0.05</v>
      </c>
      <c r="G174" s="321"/>
    </row>
    <row r="175" spans="1:7">
      <c r="A175" s="319" t="s">
        <v>295</v>
      </c>
      <c r="B175" s="308" t="s">
        <v>2554</v>
      </c>
      <c r="C175" s="325"/>
      <c r="D175" s="325"/>
      <c r="E175" s="325"/>
      <c r="F175" s="309">
        <v>0.05</v>
      </c>
      <c r="G175" s="321"/>
    </row>
    <row r="176" spans="1:7">
      <c r="A176" s="319" t="s">
        <v>295</v>
      </c>
      <c r="B176" s="308" t="s">
        <v>2555</v>
      </c>
      <c r="C176" s="325"/>
      <c r="D176" s="325"/>
      <c r="E176" s="325"/>
      <c r="F176" s="309">
        <v>0.05</v>
      </c>
      <c r="G176" s="321"/>
    </row>
    <row r="177" spans="1:7">
      <c r="A177" s="319" t="s">
        <v>295</v>
      </c>
      <c r="B177" s="308" t="s">
        <v>2556</v>
      </c>
      <c r="C177" s="320"/>
      <c r="D177" s="320"/>
      <c r="E177" s="320"/>
      <c r="F177" s="309">
        <v>0.05</v>
      </c>
      <c r="G177" s="326"/>
    </row>
    <row r="178" spans="1:7">
      <c r="A178" s="319" t="s">
        <v>295</v>
      </c>
      <c r="B178" s="308" t="s">
        <v>2557</v>
      </c>
      <c r="C178" s="320"/>
      <c r="D178" s="320"/>
      <c r="E178" s="320"/>
      <c r="F178" s="309">
        <v>0.05</v>
      </c>
      <c r="G178" s="326"/>
    </row>
    <row r="179" spans="1:7">
      <c r="A179" s="319" t="s">
        <v>295</v>
      </c>
      <c r="B179" s="308" t="s">
        <v>2558</v>
      </c>
      <c r="C179" s="320"/>
      <c r="D179" s="320"/>
      <c r="E179" s="320"/>
      <c r="F179" s="309">
        <v>0.05</v>
      </c>
      <c r="G179" s="326"/>
    </row>
    <row r="180" spans="1:7">
      <c r="A180" s="319" t="s">
        <v>295</v>
      </c>
      <c r="B180" s="308" t="s">
        <v>2559</v>
      </c>
      <c r="C180" s="320"/>
      <c r="D180" s="320"/>
      <c r="E180" s="320"/>
      <c r="F180" s="309">
        <v>0.05</v>
      </c>
      <c r="G180" s="326"/>
    </row>
    <row r="181" spans="1:7">
      <c r="A181" s="319" t="s">
        <v>295</v>
      </c>
      <c r="B181" s="308" t="s">
        <v>2560</v>
      </c>
      <c r="C181" s="320"/>
      <c r="D181" s="320"/>
      <c r="E181" s="320"/>
      <c r="F181" s="309">
        <v>0.05</v>
      </c>
      <c r="G181" s="326"/>
    </row>
    <row r="182" spans="1:7">
      <c r="A182" s="319" t="s">
        <v>295</v>
      </c>
      <c r="B182" s="308" t="s">
        <v>2561</v>
      </c>
      <c r="C182" s="320"/>
      <c r="D182" s="320"/>
      <c r="E182" s="320"/>
      <c r="F182" s="309">
        <v>0.05</v>
      </c>
      <c r="G182" s="326"/>
    </row>
    <row r="183" spans="1:7">
      <c r="A183" s="319" t="s">
        <v>295</v>
      </c>
      <c r="B183" s="308" t="s">
        <v>2562</v>
      </c>
      <c r="C183" s="320"/>
      <c r="D183" s="320"/>
      <c r="E183" s="320"/>
      <c r="F183" s="309">
        <v>0.05</v>
      </c>
      <c r="G183" s="326"/>
    </row>
    <row r="184" spans="1:7">
      <c r="A184" s="319" t="s">
        <v>295</v>
      </c>
      <c r="B184" s="308" t="s">
        <v>2563</v>
      </c>
      <c r="C184" s="320"/>
      <c r="D184" s="320"/>
      <c r="E184" s="320"/>
      <c r="F184" s="309">
        <v>0.05</v>
      </c>
      <c r="G184" s="326"/>
    </row>
    <row r="185" spans="1:7">
      <c r="A185" s="319" t="s">
        <v>295</v>
      </c>
      <c r="B185" s="308" t="s">
        <v>2564</v>
      </c>
      <c r="C185" s="320"/>
      <c r="D185" s="320"/>
      <c r="E185" s="320"/>
      <c r="F185" s="309">
        <v>0.05</v>
      </c>
      <c r="G185" s="326"/>
    </row>
    <row r="186" spans="1:7">
      <c r="A186" s="319" t="s">
        <v>295</v>
      </c>
      <c r="B186" s="308" t="s">
        <v>2565</v>
      </c>
      <c r="C186" s="320"/>
      <c r="D186" s="320"/>
      <c r="E186" s="320"/>
      <c r="F186" s="309">
        <v>0.05</v>
      </c>
      <c r="G186" s="326"/>
    </row>
    <row r="187" spans="1:7">
      <c r="A187" s="319" t="s">
        <v>295</v>
      </c>
      <c r="B187" s="308" t="s">
        <v>2566</v>
      </c>
      <c r="C187" s="320"/>
      <c r="D187" s="320"/>
      <c r="E187" s="320"/>
      <c r="F187" s="309">
        <v>0.05</v>
      </c>
      <c r="G187" s="326"/>
    </row>
    <row r="188" spans="1:7">
      <c r="A188" s="319" t="s">
        <v>295</v>
      </c>
      <c r="B188" s="308" t="s">
        <v>2567</v>
      </c>
      <c r="C188" s="320"/>
      <c r="D188" s="320"/>
      <c r="E188" s="320"/>
      <c r="F188" s="309">
        <v>0.05</v>
      </c>
      <c r="G188" s="326"/>
    </row>
    <row r="189" spans="1:7">
      <c r="A189" s="322" t="s">
        <v>295</v>
      </c>
      <c r="B189" s="312" t="s">
        <v>2568</v>
      </c>
      <c r="C189" s="314"/>
      <c r="D189" s="314"/>
      <c r="E189" s="314"/>
      <c r="F189" s="313">
        <v>0.05</v>
      </c>
      <c r="G189" s="327"/>
    </row>
    <row r="190" spans="1:7">
      <c r="A190" s="318" t="s">
        <v>303</v>
      </c>
      <c r="B190" s="304" t="s">
        <v>2569</v>
      </c>
      <c r="C190" s="305">
        <v>0.124</v>
      </c>
      <c r="D190" s="305">
        <v>0.124</v>
      </c>
      <c r="E190" s="305">
        <v>0.129</v>
      </c>
      <c r="F190" s="305">
        <v>0.13</v>
      </c>
      <c r="G190" s="306">
        <v>0.127</v>
      </c>
    </row>
    <row r="191" spans="1:7">
      <c r="A191" s="319" t="s">
        <v>303</v>
      </c>
      <c r="B191" s="308" t="s">
        <v>2570</v>
      </c>
      <c r="C191" s="309">
        <v>0.13</v>
      </c>
      <c r="D191" s="309">
        <v>0.13</v>
      </c>
      <c r="E191" s="309">
        <v>0.13</v>
      </c>
      <c r="F191" s="309">
        <v>0.13</v>
      </c>
      <c r="G191" s="310">
        <v>0.13</v>
      </c>
    </row>
    <row r="192" spans="1:7">
      <c r="A192" s="319" t="s">
        <v>303</v>
      </c>
      <c r="B192" s="308" t="s">
        <v>2571</v>
      </c>
      <c r="C192" s="309">
        <v>0.13</v>
      </c>
      <c r="D192" s="309">
        <v>0.13</v>
      </c>
      <c r="E192" s="309">
        <v>0.13</v>
      </c>
      <c r="F192" s="309">
        <v>0.13</v>
      </c>
      <c r="G192" s="310">
        <v>0.13</v>
      </c>
    </row>
    <row r="193" spans="1:7">
      <c r="A193" s="319" t="s">
        <v>303</v>
      </c>
      <c r="B193" s="308" t="s">
        <v>2572</v>
      </c>
      <c r="C193" s="309">
        <v>0.13</v>
      </c>
      <c r="D193" s="309">
        <v>0.13</v>
      </c>
      <c r="E193" s="309">
        <v>0.13</v>
      </c>
      <c r="F193" s="309">
        <v>0.13</v>
      </c>
      <c r="G193" s="310">
        <v>0.13</v>
      </c>
    </row>
    <row r="194" spans="1:7">
      <c r="A194" s="319" t="s">
        <v>303</v>
      </c>
      <c r="B194" s="308" t="s">
        <v>2573</v>
      </c>
      <c r="C194" s="309">
        <v>0.123</v>
      </c>
      <c r="D194" s="309">
        <v>0.123</v>
      </c>
      <c r="E194" s="309">
        <v>0.128</v>
      </c>
      <c r="F194" s="309">
        <v>0.13</v>
      </c>
      <c r="G194" s="310">
        <v>0.126</v>
      </c>
    </row>
    <row r="195" spans="1:7">
      <c r="A195" s="319" t="s">
        <v>303</v>
      </c>
      <c r="B195" s="308" t="s">
        <v>2574</v>
      </c>
      <c r="C195" s="309">
        <v>0.127</v>
      </c>
      <c r="D195" s="309">
        <v>0.127</v>
      </c>
      <c r="E195" s="309">
        <v>0.121</v>
      </c>
      <c r="F195" s="309">
        <v>0.129</v>
      </c>
      <c r="G195" s="310">
        <v>0.129</v>
      </c>
    </row>
    <row r="196" spans="1:7">
      <c r="A196" s="319" t="s">
        <v>303</v>
      </c>
      <c r="B196" s="308" t="s">
        <v>2575</v>
      </c>
      <c r="C196" s="309">
        <v>0.127</v>
      </c>
      <c r="D196" s="309">
        <v>0.128</v>
      </c>
      <c r="E196" s="309">
        <v>0.122</v>
      </c>
      <c r="F196" s="309">
        <v>0.13</v>
      </c>
      <c r="G196" s="310">
        <v>0.129</v>
      </c>
    </row>
    <row r="197" spans="1:7">
      <c r="A197" s="319" t="s">
        <v>303</v>
      </c>
      <c r="B197" s="308" t="s">
        <v>2576</v>
      </c>
      <c r="C197" s="309">
        <v>0.126</v>
      </c>
      <c r="D197" s="309">
        <v>0.126</v>
      </c>
      <c r="E197" s="309">
        <v>0.11899999999999999</v>
      </c>
      <c r="F197" s="309">
        <v>0.13</v>
      </c>
      <c r="G197" s="310">
        <v>0.128</v>
      </c>
    </row>
    <row r="198" spans="1:7">
      <c r="A198" s="319" t="s">
        <v>303</v>
      </c>
      <c r="B198" s="308" t="s">
        <v>2577</v>
      </c>
      <c r="C198" s="309">
        <v>0.13</v>
      </c>
      <c r="D198" s="309">
        <v>0.13</v>
      </c>
      <c r="E198" s="309">
        <v>0.126</v>
      </c>
      <c r="F198" s="325"/>
      <c r="G198" s="310">
        <v>0.13</v>
      </c>
    </row>
    <row r="199" spans="1:7">
      <c r="A199" s="319" t="s">
        <v>303</v>
      </c>
      <c r="B199" s="308" t="s">
        <v>2578</v>
      </c>
      <c r="C199" s="309">
        <v>0.13</v>
      </c>
      <c r="D199" s="309">
        <v>0.13</v>
      </c>
      <c r="E199" s="309">
        <v>0.13</v>
      </c>
      <c r="F199" s="309">
        <v>0.13</v>
      </c>
      <c r="G199" s="310">
        <v>0.13</v>
      </c>
    </row>
    <row r="200" spans="1:7">
      <c r="A200" s="319" t="s">
        <v>303</v>
      </c>
      <c r="B200" s="308" t="s">
        <v>2579</v>
      </c>
      <c r="C200" s="325"/>
      <c r="D200" s="325"/>
      <c r="E200" s="325"/>
      <c r="F200" s="309">
        <v>0.13</v>
      </c>
      <c r="G200" s="321"/>
    </row>
    <row r="201" spans="1:7">
      <c r="A201" s="319" t="s">
        <v>303</v>
      </c>
      <c r="B201" s="308" t="s">
        <v>2580</v>
      </c>
      <c r="C201" s="309">
        <v>0.13</v>
      </c>
      <c r="D201" s="309">
        <v>0.13</v>
      </c>
      <c r="E201" s="309">
        <v>0.13</v>
      </c>
      <c r="F201" s="309">
        <v>0.129</v>
      </c>
      <c r="G201" s="310">
        <v>0.13</v>
      </c>
    </row>
    <row r="202" spans="1:7">
      <c r="A202" s="319" t="s">
        <v>303</v>
      </c>
      <c r="B202" s="308" t="s">
        <v>2581</v>
      </c>
      <c r="C202" s="309">
        <v>0.13</v>
      </c>
      <c r="D202" s="309">
        <v>0.13</v>
      </c>
      <c r="E202" s="309">
        <v>0.13</v>
      </c>
      <c r="F202" s="309">
        <v>0.13</v>
      </c>
      <c r="G202" s="310">
        <v>0.13</v>
      </c>
    </row>
    <row r="203" spans="1:7">
      <c r="A203" s="319" t="s">
        <v>303</v>
      </c>
      <c r="B203" s="308" t="s">
        <v>2582</v>
      </c>
      <c r="C203" s="309">
        <v>0.129</v>
      </c>
      <c r="D203" s="309">
        <v>0.129</v>
      </c>
      <c r="E203" s="309">
        <v>0.13</v>
      </c>
      <c r="F203" s="309">
        <v>0.13</v>
      </c>
      <c r="G203" s="310">
        <v>0.13</v>
      </c>
    </row>
    <row r="204" spans="1:7">
      <c r="A204" s="319" t="s">
        <v>303</v>
      </c>
      <c r="B204" s="308" t="s">
        <v>2583</v>
      </c>
      <c r="C204" s="309">
        <v>0.129</v>
      </c>
      <c r="D204" s="309">
        <v>0.129</v>
      </c>
      <c r="E204" s="309">
        <v>0.123</v>
      </c>
      <c r="F204" s="309">
        <v>0.13</v>
      </c>
      <c r="G204" s="310">
        <v>0.13</v>
      </c>
    </row>
    <row r="205" spans="1:7">
      <c r="A205" s="319" t="s">
        <v>303</v>
      </c>
      <c r="B205" s="308" t="s">
        <v>2584</v>
      </c>
      <c r="C205" s="309">
        <v>0.13</v>
      </c>
      <c r="D205" s="309">
        <v>0.13</v>
      </c>
      <c r="E205" s="309">
        <v>0.13</v>
      </c>
      <c r="F205" s="309">
        <v>0.13</v>
      </c>
      <c r="G205" s="310">
        <v>0.13</v>
      </c>
    </row>
    <row r="206" spans="1:7">
      <c r="A206" s="319" t="s">
        <v>303</v>
      </c>
      <c r="B206" s="308" t="s">
        <v>2585</v>
      </c>
      <c r="C206" s="309">
        <v>0.13</v>
      </c>
      <c r="D206" s="309">
        <v>0.13</v>
      </c>
      <c r="E206" s="309">
        <v>0.13</v>
      </c>
      <c r="F206" s="309">
        <v>0.128</v>
      </c>
      <c r="G206" s="310">
        <v>0.13</v>
      </c>
    </row>
    <row r="207" spans="1:7">
      <c r="A207" s="319" t="s">
        <v>303</v>
      </c>
      <c r="B207" s="308" t="s">
        <v>2586</v>
      </c>
      <c r="C207" s="309">
        <v>0.13</v>
      </c>
      <c r="D207" s="309">
        <v>0.13</v>
      </c>
      <c r="E207" s="309">
        <v>0.13</v>
      </c>
      <c r="F207" s="309">
        <v>0.13</v>
      </c>
      <c r="G207" s="310">
        <v>0.13</v>
      </c>
    </row>
    <row r="208" spans="1:7">
      <c r="A208" s="319" t="s">
        <v>303</v>
      </c>
      <c r="B208" s="308" t="s">
        <v>2587</v>
      </c>
      <c r="C208" s="309">
        <v>0.13</v>
      </c>
      <c r="D208" s="309">
        <v>0.13</v>
      </c>
      <c r="E208" s="309">
        <v>0.13</v>
      </c>
      <c r="F208" s="309">
        <v>0.13</v>
      </c>
      <c r="G208" s="310">
        <v>0.13</v>
      </c>
    </row>
    <row r="209" spans="1:7">
      <c r="A209" s="319" t="s">
        <v>303</v>
      </c>
      <c r="B209" s="308" t="s">
        <v>2588</v>
      </c>
      <c r="C209" s="309">
        <v>0.13</v>
      </c>
      <c r="D209" s="309">
        <v>0.13</v>
      </c>
      <c r="E209" s="309">
        <v>0.13</v>
      </c>
      <c r="F209" s="309">
        <v>0.13</v>
      </c>
      <c r="G209" s="310">
        <v>0.13</v>
      </c>
    </row>
    <row r="210" spans="1:7">
      <c r="A210" s="319" t="s">
        <v>303</v>
      </c>
      <c r="B210" s="308" t="s">
        <v>2589</v>
      </c>
      <c r="C210" s="309">
        <v>0.121</v>
      </c>
      <c r="D210" s="309">
        <v>0.121</v>
      </c>
      <c r="E210" s="309">
        <v>0.125</v>
      </c>
      <c r="F210" s="309">
        <v>0.13</v>
      </c>
      <c r="G210" s="310">
        <v>0.123</v>
      </c>
    </row>
    <row r="211" spans="1:7">
      <c r="A211" s="319" t="s">
        <v>303</v>
      </c>
      <c r="B211" s="308" t="s">
        <v>2590</v>
      </c>
      <c r="C211" s="309">
        <v>0.123</v>
      </c>
      <c r="D211" s="309">
        <v>0.123</v>
      </c>
      <c r="E211" s="309">
        <v>0.127</v>
      </c>
      <c r="F211" s="309">
        <v>0.115</v>
      </c>
      <c r="G211" s="310">
        <v>0.126</v>
      </c>
    </row>
    <row r="212" spans="1:7">
      <c r="A212" s="319" t="s">
        <v>303</v>
      </c>
      <c r="B212" s="308" t="s">
        <v>2591</v>
      </c>
      <c r="C212" s="309">
        <v>0.126</v>
      </c>
      <c r="D212" s="309">
        <v>0.126</v>
      </c>
      <c r="E212" s="309">
        <v>0.13</v>
      </c>
      <c r="F212" s="309">
        <v>0.13</v>
      </c>
      <c r="G212" s="310">
        <v>0.129</v>
      </c>
    </row>
    <row r="213" spans="1:7">
      <c r="A213" s="319" t="s">
        <v>303</v>
      </c>
      <c r="B213" s="308" t="s">
        <v>2592</v>
      </c>
      <c r="C213" s="309">
        <v>0.129</v>
      </c>
      <c r="D213" s="309">
        <v>0.13</v>
      </c>
      <c r="E213" s="309">
        <v>0.127</v>
      </c>
      <c r="F213" s="309">
        <v>0.13</v>
      </c>
      <c r="G213" s="310">
        <v>0.13</v>
      </c>
    </row>
    <row r="214" spans="1:7">
      <c r="A214" s="319" t="s">
        <v>303</v>
      </c>
      <c r="B214" s="308" t="s">
        <v>2593</v>
      </c>
      <c r="C214" s="309">
        <v>0.128</v>
      </c>
      <c r="D214" s="309">
        <v>0.128</v>
      </c>
      <c r="E214" s="309">
        <v>0.13</v>
      </c>
      <c r="F214" s="309">
        <v>0.13</v>
      </c>
      <c r="G214" s="310">
        <v>0.13</v>
      </c>
    </row>
    <row r="215" spans="1:7">
      <c r="A215" s="319" t="s">
        <v>303</v>
      </c>
      <c r="B215" s="308" t="s">
        <v>2594</v>
      </c>
      <c r="C215" s="309">
        <v>0.13</v>
      </c>
      <c r="D215" s="309">
        <v>0.13</v>
      </c>
      <c r="E215" s="309">
        <v>0.13</v>
      </c>
      <c r="F215" s="309">
        <v>0.129</v>
      </c>
      <c r="G215" s="310">
        <v>0.13</v>
      </c>
    </row>
    <row r="216" spans="1:7">
      <c r="A216" s="319" t="s">
        <v>303</v>
      </c>
      <c r="B216" s="308" t="s">
        <v>2595</v>
      </c>
      <c r="C216" s="309">
        <v>0.13</v>
      </c>
      <c r="D216" s="309">
        <v>0.13</v>
      </c>
      <c r="E216" s="309">
        <v>0.13</v>
      </c>
      <c r="F216" s="309">
        <v>0.13</v>
      </c>
      <c r="G216" s="310">
        <v>0.13</v>
      </c>
    </row>
    <row r="217" spans="1:7">
      <c r="A217" s="319" t="s">
        <v>303</v>
      </c>
      <c r="B217" s="308" t="s">
        <v>2596</v>
      </c>
      <c r="C217" s="309">
        <v>0.129</v>
      </c>
      <c r="D217" s="309">
        <v>0.129</v>
      </c>
      <c r="E217" s="309">
        <v>0.13</v>
      </c>
      <c r="F217" s="309">
        <v>0.13</v>
      </c>
      <c r="G217" s="310">
        <v>0.13</v>
      </c>
    </row>
    <row r="218" spans="1:7">
      <c r="A218" s="319" t="s">
        <v>303</v>
      </c>
      <c r="B218" s="308" t="s">
        <v>2597</v>
      </c>
      <c r="C218" s="320"/>
      <c r="D218" s="320"/>
      <c r="E218" s="320"/>
      <c r="F218" s="309">
        <v>0.05</v>
      </c>
      <c r="G218" s="326"/>
    </row>
    <row r="219" spans="1:7">
      <c r="A219" s="319" t="s">
        <v>303</v>
      </c>
      <c r="B219" s="308" t="s">
        <v>2598</v>
      </c>
      <c r="C219" s="320"/>
      <c r="D219" s="320"/>
      <c r="E219" s="320"/>
      <c r="F219" s="309">
        <v>0.05</v>
      </c>
      <c r="G219" s="326"/>
    </row>
    <row r="220" spans="1:7">
      <c r="A220" s="319" t="s">
        <v>303</v>
      </c>
      <c r="B220" s="308" t="s">
        <v>2599</v>
      </c>
      <c r="C220" s="320"/>
      <c r="D220" s="320"/>
      <c r="E220" s="320"/>
      <c r="F220" s="309">
        <v>0.05</v>
      </c>
      <c r="G220" s="326"/>
    </row>
    <row r="221" spans="1:7">
      <c r="A221" s="319" t="s">
        <v>303</v>
      </c>
      <c r="B221" s="308" t="s">
        <v>2600</v>
      </c>
      <c r="C221" s="320"/>
      <c r="D221" s="320"/>
      <c r="E221" s="320"/>
      <c r="F221" s="309">
        <v>0.05</v>
      </c>
      <c r="G221" s="326"/>
    </row>
    <row r="222" spans="1:7">
      <c r="A222" s="319" t="s">
        <v>303</v>
      </c>
      <c r="B222" s="308" t="s">
        <v>2601</v>
      </c>
      <c r="C222" s="320"/>
      <c r="D222" s="320"/>
      <c r="E222" s="320"/>
      <c r="F222" s="309">
        <v>0.05</v>
      </c>
      <c r="G222" s="326"/>
    </row>
    <row r="223" spans="1:7">
      <c r="A223" s="319" t="s">
        <v>303</v>
      </c>
      <c r="B223" s="308" t="s">
        <v>2602</v>
      </c>
      <c r="C223" s="320"/>
      <c r="D223" s="320"/>
      <c r="E223" s="320"/>
      <c r="F223" s="309">
        <v>0.05</v>
      </c>
      <c r="G223" s="326"/>
    </row>
    <row r="224" spans="1:7">
      <c r="A224" s="319" t="s">
        <v>303</v>
      </c>
      <c r="B224" s="308" t="s">
        <v>2603</v>
      </c>
      <c r="C224" s="320"/>
      <c r="D224" s="320"/>
      <c r="E224" s="320"/>
      <c r="F224" s="309">
        <v>0.05</v>
      </c>
      <c r="G224" s="326"/>
    </row>
    <row r="225" spans="1:7">
      <c r="A225" s="319" t="s">
        <v>303</v>
      </c>
      <c r="B225" s="308" t="s">
        <v>2604</v>
      </c>
      <c r="C225" s="320"/>
      <c r="D225" s="320"/>
      <c r="E225" s="320"/>
      <c r="F225" s="309">
        <v>0.05</v>
      </c>
      <c r="G225" s="326"/>
    </row>
    <row r="226" spans="1:7">
      <c r="A226" s="319" t="s">
        <v>303</v>
      </c>
      <c r="B226" s="308" t="s">
        <v>2605</v>
      </c>
      <c r="C226" s="320"/>
      <c r="D226" s="320"/>
      <c r="E226" s="320"/>
      <c r="F226" s="309">
        <v>0.05</v>
      </c>
      <c r="G226" s="326"/>
    </row>
    <row r="227" spans="1:7">
      <c r="A227" s="319" t="s">
        <v>303</v>
      </c>
      <c r="B227" s="308" t="s">
        <v>2606</v>
      </c>
      <c r="C227" s="320"/>
      <c r="D227" s="320"/>
      <c r="E227" s="320"/>
      <c r="F227" s="309">
        <v>0.05</v>
      </c>
      <c r="G227" s="326"/>
    </row>
    <row r="228" spans="1:7">
      <c r="A228" s="319" t="s">
        <v>303</v>
      </c>
      <c r="B228" s="308" t="s">
        <v>2607</v>
      </c>
      <c r="C228" s="320"/>
      <c r="D228" s="320"/>
      <c r="E228" s="320"/>
      <c r="F228" s="309">
        <v>0.05</v>
      </c>
      <c r="G228" s="326"/>
    </row>
    <row r="229" spans="1:7">
      <c r="A229" s="319" t="s">
        <v>303</v>
      </c>
      <c r="B229" s="308" t="s">
        <v>2608</v>
      </c>
      <c r="C229" s="320"/>
      <c r="D229" s="320"/>
      <c r="E229" s="320"/>
      <c r="F229" s="309">
        <v>0.05</v>
      </c>
      <c r="G229" s="326"/>
    </row>
    <row r="230" spans="1:7">
      <c r="A230" s="319" t="s">
        <v>303</v>
      </c>
      <c r="B230" s="308" t="s">
        <v>2609</v>
      </c>
      <c r="C230" s="320"/>
      <c r="D230" s="320"/>
      <c r="E230" s="320"/>
      <c r="F230" s="309">
        <v>0.05</v>
      </c>
      <c r="G230" s="326"/>
    </row>
    <row r="231" spans="1:7">
      <c r="A231" s="319" t="s">
        <v>303</v>
      </c>
      <c r="B231" s="308" t="s">
        <v>2610</v>
      </c>
      <c r="C231" s="320"/>
      <c r="D231" s="320"/>
      <c r="E231" s="320"/>
      <c r="F231" s="309">
        <v>0.05</v>
      </c>
      <c r="G231" s="326"/>
    </row>
    <row r="232" spans="1:7">
      <c r="A232" s="319" t="s">
        <v>303</v>
      </c>
      <c r="B232" s="308" t="s">
        <v>2611</v>
      </c>
      <c r="C232" s="320"/>
      <c r="D232" s="320"/>
      <c r="E232" s="320"/>
      <c r="F232" s="309">
        <v>0.05</v>
      </c>
      <c r="G232" s="326"/>
    </row>
    <row r="233" spans="1:7">
      <c r="A233" s="322" t="s">
        <v>303</v>
      </c>
      <c r="B233" s="312" t="s">
        <v>2612</v>
      </c>
      <c r="C233" s="314"/>
      <c r="D233" s="314"/>
      <c r="E233" s="314"/>
      <c r="F233" s="313">
        <v>0.05</v>
      </c>
      <c r="G233" s="327"/>
    </row>
    <row r="234" spans="1:7">
      <c r="A234" s="318" t="s">
        <v>311</v>
      </c>
      <c r="B234" s="304" t="s">
        <v>2613</v>
      </c>
      <c r="C234" s="305">
        <v>0.13</v>
      </c>
      <c r="D234" s="305">
        <v>0.128</v>
      </c>
      <c r="E234" s="305">
        <v>0.14199999999999999</v>
      </c>
      <c r="F234" s="305">
        <v>0.14699999999999999</v>
      </c>
      <c r="G234" s="306">
        <v>0.14000000000000001</v>
      </c>
    </row>
    <row r="235" spans="1:7">
      <c r="A235" s="319" t="s">
        <v>311</v>
      </c>
      <c r="B235" s="308" t="s">
        <v>2614</v>
      </c>
      <c r="C235" s="309">
        <v>0.13600000000000001</v>
      </c>
      <c r="D235" s="309">
        <v>0.13800000000000001</v>
      </c>
      <c r="E235" s="309">
        <v>0.14499999999999999</v>
      </c>
      <c r="F235" s="309">
        <v>0.14299999999999999</v>
      </c>
      <c r="G235" s="310">
        <v>0.14099999999999999</v>
      </c>
    </row>
    <row r="236" spans="1:7">
      <c r="A236" s="319" t="s">
        <v>311</v>
      </c>
      <c r="B236" s="308" t="s">
        <v>2615</v>
      </c>
      <c r="C236" s="309">
        <v>0.15</v>
      </c>
      <c r="D236" s="309">
        <v>0.15</v>
      </c>
      <c r="E236" s="309">
        <v>0.15</v>
      </c>
      <c r="F236" s="309">
        <v>0.15</v>
      </c>
      <c r="G236" s="310">
        <v>0.15</v>
      </c>
    </row>
    <row r="237" spans="1:7">
      <c r="A237" s="319" t="s">
        <v>311</v>
      </c>
      <c r="B237" s="308" t="s">
        <v>2616</v>
      </c>
      <c r="C237" s="309">
        <v>0.15</v>
      </c>
      <c r="D237" s="309">
        <v>0.15</v>
      </c>
      <c r="E237" s="309">
        <v>0.15</v>
      </c>
      <c r="F237" s="309">
        <v>0.15</v>
      </c>
      <c r="G237" s="310">
        <v>0.15</v>
      </c>
    </row>
    <row r="238" spans="1:7">
      <c r="A238" s="319" t="s">
        <v>311</v>
      </c>
      <c r="B238" s="308" t="s">
        <v>2617</v>
      </c>
      <c r="C238" s="309">
        <v>0.14899999999999999</v>
      </c>
      <c r="D238" s="309">
        <v>0.14899999999999999</v>
      </c>
      <c r="E238" s="309">
        <v>0.15</v>
      </c>
      <c r="F238" s="309">
        <v>0.15</v>
      </c>
      <c r="G238" s="310">
        <v>0.15</v>
      </c>
    </row>
    <row r="239" spans="1:7">
      <c r="A239" s="319" t="s">
        <v>311</v>
      </c>
      <c r="B239" s="308" t="s">
        <v>2618</v>
      </c>
      <c r="C239" s="309">
        <v>0.15</v>
      </c>
      <c r="D239" s="309">
        <v>0.15</v>
      </c>
      <c r="E239" s="309">
        <v>0.15</v>
      </c>
      <c r="F239" s="309">
        <v>0.15</v>
      </c>
      <c r="G239" s="310">
        <v>0.15</v>
      </c>
    </row>
    <row r="240" spans="1:7">
      <c r="A240" s="319" t="s">
        <v>311</v>
      </c>
      <c r="B240" s="308" t="s">
        <v>2619</v>
      </c>
      <c r="C240" s="309">
        <v>0.15</v>
      </c>
      <c r="D240" s="309">
        <v>0.15</v>
      </c>
      <c r="E240" s="309">
        <v>0.15</v>
      </c>
      <c r="F240" s="309">
        <v>0.15</v>
      </c>
      <c r="G240" s="310">
        <v>0.15</v>
      </c>
    </row>
    <row r="241" spans="1:7">
      <c r="A241" s="319" t="s">
        <v>311</v>
      </c>
      <c r="B241" s="308" t="s">
        <v>2620</v>
      </c>
      <c r="C241" s="309">
        <v>0.14099999999999999</v>
      </c>
      <c r="D241" s="309">
        <v>0.14199999999999999</v>
      </c>
      <c r="E241" s="309">
        <v>0.14899999999999999</v>
      </c>
      <c r="F241" s="309">
        <v>0.15</v>
      </c>
      <c r="G241" s="310">
        <v>0.14399999999999999</v>
      </c>
    </row>
    <row r="242" spans="1:7">
      <c r="A242" s="319" t="s">
        <v>311</v>
      </c>
      <c r="B242" s="308" t="s">
        <v>2621</v>
      </c>
      <c r="C242" s="309">
        <v>0.14099999999999999</v>
      </c>
      <c r="D242" s="309">
        <v>0.14199999999999999</v>
      </c>
      <c r="E242" s="309">
        <v>0.14799999999999999</v>
      </c>
      <c r="F242" s="309">
        <v>0.127</v>
      </c>
      <c r="G242" s="310">
        <v>0.14399999999999999</v>
      </c>
    </row>
    <row r="243" spans="1:7">
      <c r="A243" s="319" t="s">
        <v>311</v>
      </c>
      <c r="B243" s="308" t="s">
        <v>2622</v>
      </c>
      <c r="C243" s="309">
        <v>0.14699999999999999</v>
      </c>
      <c r="D243" s="309">
        <v>0.14699999999999999</v>
      </c>
      <c r="E243" s="309">
        <v>0.15</v>
      </c>
      <c r="F243" s="309">
        <v>0.15</v>
      </c>
      <c r="G243" s="310">
        <v>0.14899999999999999</v>
      </c>
    </row>
    <row r="244" spans="1:7">
      <c r="A244" s="319" t="s">
        <v>311</v>
      </c>
      <c r="B244" s="308" t="s">
        <v>2623</v>
      </c>
      <c r="C244" s="309">
        <v>0.15</v>
      </c>
      <c r="D244" s="309">
        <v>0.15</v>
      </c>
      <c r="E244" s="309">
        <v>0.15</v>
      </c>
      <c r="F244" s="309">
        <v>0.15</v>
      </c>
      <c r="G244" s="310">
        <v>0.15</v>
      </c>
    </row>
    <row r="245" spans="1:7">
      <c r="A245" s="319" t="s">
        <v>311</v>
      </c>
      <c r="B245" s="308" t="s">
        <v>2624</v>
      </c>
      <c r="C245" s="309">
        <v>0.14199999999999999</v>
      </c>
      <c r="D245" s="309">
        <v>0.14199999999999999</v>
      </c>
      <c r="E245" s="309">
        <v>0.15</v>
      </c>
      <c r="F245" s="309">
        <v>0.15</v>
      </c>
      <c r="G245" s="310">
        <v>0.14499999999999999</v>
      </c>
    </row>
    <row r="246" spans="1:7">
      <c r="A246" s="319" t="s">
        <v>311</v>
      </c>
      <c r="B246" s="308" t="s">
        <v>2625</v>
      </c>
      <c r="C246" s="309">
        <v>0.14199999999999999</v>
      </c>
      <c r="D246" s="309">
        <v>0.14299999999999999</v>
      </c>
      <c r="E246" s="309">
        <v>0.15</v>
      </c>
      <c r="F246" s="309">
        <v>0.14199999999999999</v>
      </c>
      <c r="G246" s="310">
        <v>0.14399999999999999</v>
      </c>
    </row>
    <row r="247" spans="1:7">
      <c r="A247" s="319" t="s">
        <v>311</v>
      </c>
      <c r="B247" s="308" t="s">
        <v>2626</v>
      </c>
      <c r="C247" s="309">
        <v>0.14899999999999999</v>
      </c>
      <c r="D247" s="309">
        <v>0.14899999999999999</v>
      </c>
      <c r="E247" s="309">
        <v>0.15</v>
      </c>
      <c r="F247" s="309">
        <v>0.15</v>
      </c>
      <c r="G247" s="310">
        <v>0.15</v>
      </c>
    </row>
    <row r="248" spans="1:7">
      <c r="A248" s="319" t="s">
        <v>311</v>
      </c>
      <c r="B248" s="308" t="s">
        <v>2627</v>
      </c>
      <c r="C248" s="309">
        <v>0.14399999999999999</v>
      </c>
      <c r="D248" s="309">
        <v>0.14399999999999999</v>
      </c>
      <c r="E248" s="309">
        <v>0.14899999999999999</v>
      </c>
      <c r="F248" s="309">
        <v>0.14799999999999999</v>
      </c>
      <c r="G248" s="310">
        <v>0.14599999999999999</v>
      </c>
    </row>
    <row r="249" spans="1:7">
      <c r="A249" s="319" t="s">
        <v>311</v>
      </c>
      <c r="B249" s="308" t="s">
        <v>2628</v>
      </c>
      <c r="C249" s="309">
        <v>0.14000000000000001</v>
      </c>
      <c r="D249" s="309">
        <v>0.14000000000000001</v>
      </c>
      <c r="E249" s="309">
        <v>0.14699999999999999</v>
      </c>
      <c r="F249" s="309">
        <v>0.14899999999999999</v>
      </c>
      <c r="G249" s="310">
        <v>0.14199999999999999</v>
      </c>
    </row>
    <row r="250" spans="1:7">
      <c r="A250" s="319" t="s">
        <v>311</v>
      </c>
      <c r="B250" s="308" t="s">
        <v>2629</v>
      </c>
      <c r="C250" s="309">
        <v>0.14399999999999999</v>
      </c>
      <c r="D250" s="309">
        <v>0.14299999999999999</v>
      </c>
      <c r="E250" s="309">
        <v>0.14899999999999999</v>
      </c>
      <c r="F250" s="309">
        <v>0.15</v>
      </c>
      <c r="G250" s="310">
        <v>0.14599999999999999</v>
      </c>
    </row>
    <row r="251" spans="1:7">
      <c r="A251" s="319" t="s">
        <v>311</v>
      </c>
      <c r="B251" s="308" t="s">
        <v>2630</v>
      </c>
      <c r="C251" s="325"/>
      <c r="D251" s="320"/>
      <c r="E251" s="320"/>
      <c r="F251" s="309">
        <v>0.1</v>
      </c>
      <c r="G251" s="326"/>
    </row>
    <row r="252" spans="1:7">
      <c r="A252" s="319" t="s">
        <v>311</v>
      </c>
      <c r="B252" s="308" t="s">
        <v>2631</v>
      </c>
      <c r="C252" s="309">
        <v>0.14399999999999999</v>
      </c>
      <c r="D252" s="309">
        <v>0.14399999999999999</v>
      </c>
      <c r="E252" s="309">
        <v>0.15</v>
      </c>
      <c r="F252" s="309">
        <v>0.14899999999999999</v>
      </c>
      <c r="G252" s="310">
        <v>0.14599999999999999</v>
      </c>
    </row>
    <row r="253" spans="1:7">
      <c r="A253" s="319" t="s">
        <v>311</v>
      </c>
      <c r="B253" s="308" t="s">
        <v>2632</v>
      </c>
      <c r="C253" s="309">
        <v>0.14199999999999999</v>
      </c>
      <c r="D253" s="309">
        <v>0.14199999999999999</v>
      </c>
      <c r="E253" s="309">
        <v>0.14599999999999999</v>
      </c>
      <c r="F253" s="309">
        <v>0.14799999999999999</v>
      </c>
      <c r="G253" s="310">
        <v>0.14499999999999999</v>
      </c>
    </row>
    <row r="254" spans="1:7">
      <c r="A254" s="319" t="s">
        <v>311</v>
      </c>
      <c r="B254" s="308" t="s">
        <v>2633</v>
      </c>
      <c r="C254" s="309">
        <v>0.15</v>
      </c>
      <c r="D254" s="309">
        <v>0.15</v>
      </c>
      <c r="E254" s="309">
        <v>0.15</v>
      </c>
      <c r="F254" s="309">
        <v>0.15</v>
      </c>
      <c r="G254" s="310">
        <v>0.15</v>
      </c>
    </row>
    <row r="255" spans="1:7">
      <c r="A255" s="319" t="s">
        <v>311</v>
      </c>
      <c r="B255" s="308" t="s">
        <v>2634</v>
      </c>
      <c r="C255" s="309">
        <v>0.14299999999999999</v>
      </c>
      <c r="D255" s="309">
        <v>0.14299999999999999</v>
      </c>
      <c r="E255" s="309">
        <v>0.15</v>
      </c>
      <c r="F255" s="309">
        <v>0.15</v>
      </c>
      <c r="G255" s="310">
        <v>0.14499999999999999</v>
      </c>
    </row>
    <row r="256" spans="1:7">
      <c r="A256" s="319" t="s">
        <v>311</v>
      </c>
      <c r="B256" s="308" t="s">
        <v>2635</v>
      </c>
      <c r="C256" s="309">
        <v>0.15</v>
      </c>
      <c r="D256" s="309">
        <v>0.15</v>
      </c>
      <c r="E256" s="309">
        <v>0.15</v>
      </c>
      <c r="F256" s="309">
        <v>0.14599999999999999</v>
      </c>
      <c r="G256" s="310">
        <v>0.15</v>
      </c>
    </row>
    <row r="257" spans="1:7">
      <c r="A257" s="319" t="s">
        <v>311</v>
      </c>
      <c r="B257" s="308" t="s">
        <v>2636</v>
      </c>
      <c r="C257" s="309">
        <v>0.14199999999999999</v>
      </c>
      <c r="D257" s="309">
        <v>0.14299999999999999</v>
      </c>
      <c r="E257" s="309">
        <v>0.14799999999999999</v>
      </c>
      <c r="F257" s="309">
        <v>0.15</v>
      </c>
      <c r="G257" s="310">
        <v>0.14499999999999999</v>
      </c>
    </row>
    <row r="258" spans="1:7">
      <c r="A258" s="319" t="s">
        <v>311</v>
      </c>
      <c r="B258" s="308" t="s">
        <v>2637</v>
      </c>
      <c r="C258" s="309">
        <v>0.14299999999999999</v>
      </c>
      <c r="D258" s="309">
        <v>0.14299999999999999</v>
      </c>
      <c r="E258" s="309">
        <v>0.15</v>
      </c>
      <c r="F258" s="309">
        <v>0.14799999999999999</v>
      </c>
      <c r="G258" s="310">
        <v>0.14599999999999999</v>
      </c>
    </row>
    <row r="259" spans="1:7">
      <c r="A259" s="319" t="s">
        <v>311</v>
      </c>
      <c r="B259" s="308" t="s">
        <v>2638</v>
      </c>
      <c r="C259" s="309">
        <v>0.14399999999999999</v>
      </c>
      <c r="D259" s="309">
        <v>0.14399999999999999</v>
      </c>
      <c r="E259" s="309">
        <v>0.14899999999999999</v>
      </c>
      <c r="F259" s="309">
        <v>0.14699999999999999</v>
      </c>
      <c r="G259" s="310">
        <v>0.14599999999999999</v>
      </c>
    </row>
    <row r="260" spans="1:7">
      <c r="A260" s="319" t="s">
        <v>311</v>
      </c>
      <c r="B260" s="308" t="s">
        <v>2639</v>
      </c>
      <c r="C260" s="309">
        <v>0.109</v>
      </c>
      <c r="D260" s="309">
        <v>0.111</v>
      </c>
      <c r="E260" s="309">
        <v>0.13100000000000001</v>
      </c>
      <c r="F260" s="309">
        <v>0.126</v>
      </c>
      <c r="G260" s="310">
        <v>0.11899999999999999</v>
      </c>
    </row>
    <row r="261" spans="1:7">
      <c r="A261" s="319" t="s">
        <v>311</v>
      </c>
      <c r="B261" s="308" t="s">
        <v>2640</v>
      </c>
      <c r="C261" s="309">
        <v>0.1</v>
      </c>
      <c r="D261" s="309">
        <v>0.1</v>
      </c>
      <c r="E261" s="309">
        <v>0.11799999999999999</v>
      </c>
      <c r="F261" s="309">
        <v>0.108</v>
      </c>
      <c r="G261" s="310">
        <v>0.107</v>
      </c>
    </row>
    <row r="262" spans="1:7">
      <c r="A262" s="319" t="s">
        <v>311</v>
      </c>
      <c r="B262" s="308" t="s">
        <v>2641</v>
      </c>
      <c r="C262" s="309">
        <v>0.1</v>
      </c>
      <c r="D262" s="309">
        <v>0.1</v>
      </c>
      <c r="E262" s="309">
        <v>0.1</v>
      </c>
      <c r="F262" s="309">
        <v>0.14099999999999999</v>
      </c>
      <c r="G262" s="310">
        <v>0.1</v>
      </c>
    </row>
    <row r="263" spans="1:7">
      <c r="A263" s="319" t="s">
        <v>311</v>
      </c>
      <c r="B263" s="308" t="s">
        <v>2642</v>
      </c>
      <c r="C263" s="309">
        <v>0.14799999999999999</v>
      </c>
      <c r="D263" s="309">
        <v>0.14799999999999999</v>
      </c>
      <c r="E263" s="309">
        <v>0.15</v>
      </c>
      <c r="F263" s="309">
        <v>0.14699999999999999</v>
      </c>
      <c r="G263" s="310">
        <v>0.15</v>
      </c>
    </row>
    <row r="264" spans="1:7">
      <c r="A264" s="319" t="s">
        <v>311</v>
      </c>
      <c r="B264" s="308" t="s">
        <v>2643</v>
      </c>
      <c r="C264" s="309">
        <v>0.14299999999999999</v>
      </c>
      <c r="D264" s="309">
        <v>0.14299999999999999</v>
      </c>
      <c r="E264" s="309">
        <v>0.15</v>
      </c>
      <c r="F264" s="309">
        <v>0.14899999999999999</v>
      </c>
      <c r="G264" s="310">
        <v>0.14599999999999999</v>
      </c>
    </row>
    <row r="265" spans="1:7">
      <c r="A265" s="319" t="s">
        <v>311</v>
      </c>
      <c r="B265" s="308" t="s">
        <v>2644</v>
      </c>
      <c r="C265" s="320"/>
      <c r="D265" s="320"/>
      <c r="E265" s="320"/>
      <c r="F265" s="309">
        <v>0.05</v>
      </c>
      <c r="G265" s="326"/>
    </row>
    <row r="266" spans="1:7">
      <c r="A266" s="319" t="s">
        <v>311</v>
      </c>
      <c r="B266" s="308" t="s">
        <v>2645</v>
      </c>
      <c r="C266" s="320"/>
      <c r="D266" s="320"/>
      <c r="E266" s="320"/>
      <c r="F266" s="309">
        <v>0.05</v>
      </c>
      <c r="G266" s="326"/>
    </row>
    <row r="267" spans="1:7">
      <c r="A267" s="319" t="s">
        <v>311</v>
      </c>
      <c r="B267" s="308" t="s">
        <v>2646</v>
      </c>
      <c r="C267" s="320"/>
      <c r="D267" s="320"/>
      <c r="E267" s="320"/>
      <c r="F267" s="309">
        <v>0.05</v>
      </c>
      <c r="G267" s="326"/>
    </row>
    <row r="268" spans="1:7">
      <c r="A268" s="319" t="s">
        <v>311</v>
      </c>
      <c r="B268" s="308" t="s">
        <v>2647</v>
      </c>
      <c r="C268" s="320"/>
      <c r="D268" s="320"/>
      <c r="E268" s="320"/>
      <c r="F268" s="309">
        <v>0.05</v>
      </c>
      <c r="G268" s="326"/>
    </row>
    <row r="269" spans="1:7">
      <c r="A269" s="319" t="s">
        <v>311</v>
      </c>
      <c r="B269" s="308" t="s">
        <v>2648</v>
      </c>
      <c r="C269" s="320"/>
      <c r="D269" s="320"/>
      <c r="E269" s="320"/>
      <c r="F269" s="309">
        <v>0.05</v>
      </c>
      <c r="G269" s="326"/>
    </row>
    <row r="270" spans="1:7">
      <c r="A270" s="319" t="s">
        <v>311</v>
      </c>
      <c r="B270" s="308" t="s">
        <v>2649</v>
      </c>
      <c r="C270" s="320"/>
      <c r="D270" s="320"/>
      <c r="E270" s="320"/>
      <c r="F270" s="309">
        <v>0.05</v>
      </c>
      <c r="G270" s="326"/>
    </row>
    <row r="271" spans="1:7">
      <c r="A271" s="319" t="s">
        <v>311</v>
      </c>
      <c r="B271" s="308" t="s">
        <v>2650</v>
      </c>
      <c r="C271" s="320"/>
      <c r="D271" s="320"/>
      <c r="E271" s="320"/>
      <c r="F271" s="309">
        <v>0.05</v>
      </c>
      <c r="G271" s="326"/>
    </row>
    <row r="272" spans="1:7">
      <c r="A272" s="319" t="s">
        <v>311</v>
      </c>
      <c r="B272" s="308" t="s">
        <v>2651</v>
      </c>
      <c r="C272" s="320"/>
      <c r="D272" s="320"/>
      <c r="E272" s="320"/>
      <c r="F272" s="309">
        <v>0.05</v>
      </c>
      <c r="G272" s="326"/>
    </row>
    <row r="273" spans="1:7">
      <c r="A273" s="319" t="s">
        <v>311</v>
      </c>
      <c r="B273" s="308" t="s">
        <v>2652</v>
      </c>
      <c r="C273" s="320"/>
      <c r="D273" s="320"/>
      <c r="E273" s="320"/>
      <c r="F273" s="309">
        <v>0.05</v>
      </c>
      <c r="G273" s="326"/>
    </row>
    <row r="274" spans="1:7">
      <c r="A274" s="319" t="s">
        <v>311</v>
      </c>
      <c r="B274" s="308" t="s">
        <v>2653</v>
      </c>
      <c r="C274" s="320"/>
      <c r="D274" s="320"/>
      <c r="E274" s="320"/>
      <c r="F274" s="309">
        <v>0.05</v>
      </c>
      <c r="G274" s="326"/>
    </row>
    <row r="275" spans="1:7">
      <c r="A275" s="319" t="s">
        <v>311</v>
      </c>
      <c r="B275" s="308" t="s">
        <v>2654</v>
      </c>
      <c r="C275" s="320"/>
      <c r="D275" s="320"/>
      <c r="E275" s="320"/>
      <c r="F275" s="309">
        <v>0.05</v>
      </c>
      <c r="G275" s="326"/>
    </row>
    <row r="276" spans="1:7">
      <c r="A276" s="322" t="s">
        <v>311</v>
      </c>
      <c r="B276" s="312" t="s">
        <v>2655</v>
      </c>
      <c r="C276" s="314"/>
      <c r="D276" s="314"/>
      <c r="E276" s="314"/>
      <c r="F276" s="313">
        <v>0.05</v>
      </c>
      <c r="G276" s="327"/>
    </row>
    <row r="277" spans="1:7">
      <c r="A277" s="318" t="s">
        <v>318</v>
      </c>
      <c r="B277" s="304" t="s">
        <v>2656</v>
      </c>
      <c r="C277" s="305">
        <v>0.15</v>
      </c>
      <c r="D277" s="305">
        <v>0.15</v>
      </c>
      <c r="E277" s="305">
        <v>0.15</v>
      </c>
      <c r="F277" s="305">
        <v>0.15</v>
      </c>
      <c r="G277" s="306">
        <v>0.15</v>
      </c>
    </row>
    <row r="278" spans="1:7">
      <c r="A278" s="319" t="s">
        <v>318</v>
      </c>
      <c r="B278" s="308" t="s">
        <v>2657</v>
      </c>
      <c r="C278" s="309">
        <v>0.15</v>
      </c>
      <c r="D278" s="309">
        <v>0.15</v>
      </c>
      <c r="E278" s="309">
        <v>0.15</v>
      </c>
      <c r="F278" s="309">
        <v>0.15</v>
      </c>
      <c r="G278" s="310">
        <v>0.15</v>
      </c>
    </row>
    <row r="279" spans="1:7">
      <c r="A279" s="319" t="s">
        <v>318</v>
      </c>
      <c r="B279" s="308" t="s">
        <v>2658</v>
      </c>
      <c r="C279" s="309">
        <v>0.15</v>
      </c>
      <c r="D279" s="309">
        <v>0.15</v>
      </c>
      <c r="E279" s="309">
        <v>0.15</v>
      </c>
      <c r="F279" s="309">
        <v>0.15</v>
      </c>
      <c r="G279" s="310">
        <v>0.15</v>
      </c>
    </row>
    <row r="280" spans="1:7">
      <c r="A280" s="319" t="s">
        <v>318</v>
      </c>
      <c r="B280" s="308" t="s">
        <v>2659</v>
      </c>
      <c r="C280" s="309">
        <v>0.15</v>
      </c>
      <c r="D280" s="309">
        <v>0.15</v>
      </c>
      <c r="E280" s="309">
        <v>0.15</v>
      </c>
      <c r="F280" s="309">
        <v>0.15</v>
      </c>
      <c r="G280" s="310">
        <v>0.15</v>
      </c>
    </row>
    <row r="281" spans="1:7">
      <c r="A281" s="319" t="s">
        <v>318</v>
      </c>
      <c r="B281" s="308" t="s">
        <v>2660</v>
      </c>
      <c r="C281" s="309">
        <v>0.15</v>
      </c>
      <c r="D281" s="309">
        <v>0.15</v>
      </c>
      <c r="E281" s="309">
        <v>0.15</v>
      </c>
      <c r="F281" s="309">
        <v>0.15</v>
      </c>
      <c r="G281" s="310">
        <v>0.15</v>
      </c>
    </row>
    <row r="282" spans="1:7">
      <c r="A282" s="319" t="s">
        <v>318</v>
      </c>
      <c r="B282" s="308" t="s">
        <v>2661</v>
      </c>
      <c r="C282" s="309">
        <v>0.15</v>
      </c>
      <c r="D282" s="309">
        <v>0.15</v>
      </c>
      <c r="E282" s="309">
        <v>0.15</v>
      </c>
      <c r="F282" s="309">
        <v>0.14499999999999999</v>
      </c>
      <c r="G282" s="310">
        <v>0.15</v>
      </c>
    </row>
    <row r="283" spans="1:7">
      <c r="A283" s="319" t="s">
        <v>318</v>
      </c>
      <c r="B283" s="308" t="s">
        <v>2662</v>
      </c>
      <c r="C283" s="309">
        <v>0.15</v>
      </c>
      <c r="D283" s="309">
        <v>0.15</v>
      </c>
      <c r="E283" s="309">
        <v>0.15</v>
      </c>
      <c r="F283" s="309">
        <v>0.14199999999999999</v>
      </c>
      <c r="G283" s="310">
        <v>0.15</v>
      </c>
    </row>
    <row r="284" spans="1:7">
      <c r="A284" s="319" t="s">
        <v>318</v>
      </c>
      <c r="B284" s="308" t="s">
        <v>2663</v>
      </c>
      <c r="C284" s="309">
        <v>0.15</v>
      </c>
      <c r="D284" s="309">
        <v>0.15</v>
      </c>
      <c r="E284" s="309">
        <v>0.15</v>
      </c>
      <c r="F284" s="309">
        <v>0.15</v>
      </c>
      <c r="G284" s="310">
        <v>0.15</v>
      </c>
    </row>
    <row r="285" spans="1:7">
      <c r="A285" s="319" t="s">
        <v>318</v>
      </c>
      <c r="B285" s="308" t="s">
        <v>2664</v>
      </c>
      <c r="C285" s="309">
        <v>0.15</v>
      </c>
      <c r="D285" s="309">
        <v>0.15</v>
      </c>
      <c r="E285" s="309">
        <v>0.15</v>
      </c>
      <c r="F285" s="309">
        <v>0.15</v>
      </c>
      <c r="G285" s="310">
        <v>0.15</v>
      </c>
    </row>
    <row r="286" spans="1:7">
      <c r="A286" s="319" t="s">
        <v>318</v>
      </c>
      <c r="B286" s="308" t="s">
        <v>2665</v>
      </c>
      <c r="C286" s="309">
        <v>0.14499999999999999</v>
      </c>
      <c r="D286" s="309">
        <v>0.14499999999999999</v>
      </c>
      <c r="E286" s="309">
        <v>0.15</v>
      </c>
      <c r="F286" s="309">
        <v>0.14099999999999999</v>
      </c>
      <c r="G286" s="310">
        <v>0.14499999999999999</v>
      </c>
    </row>
    <row r="287" spans="1:7">
      <c r="A287" s="319" t="s">
        <v>318</v>
      </c>
      <c r="B287" s="308" t="s">
        <v>2666</v>
      </c>
      <c r="C287" s="309">
        <v>0.11</v>
      </c>
      <c r="D287" s="309">
        <v>0.111</v>
      </c>
      <c r="E287" s="309">
        <v>0.14099999999999999</v>
      </c>
      <c r="F287" s="309">
        <v>0.11</v>
      </c>
      <c r="G287" s="310">
        <v>0.12</v>
      </c>
    </row>
    <row r="288" spans="1:7">
      <c r="A288" s="319" t="s">
        <v>318</v>
      </c>
      <c r="B288" s="308" t="s">
        <v>2667</v>
      </c>
      <c r="C288" s="309">
        <v>0.14199999999999999</v>
      </c>
      <c r="D288" s="309">
        <v>0.14299999999999999</v>
      </c>
      <c r="E288" s="309">
        <v>0.15</v>
      </c>
      <c r="F288" s="309">
        <v>0.14199999999999999</v>
      </c>
      <c r="G288" s="310">
        <v>0.14399999999999999</v>
      </c>
    </row>
    <row r="289" spans="1:7">
      <c r="A289" s="319" t="s">
        <v>318</v>
      </c>
      <c r="B289" s="308" t="s">
        <v>2668</v>
      </c>
      <c r="C289" s="309">
        <v>0.14299999999999999</v>
      </c>
      <c r="D289" s="309">
        <v>0.14299999999999999</v>
      </c>
      <c r="E289" s="309">
        <v>0.14799999999999999</v>
      </c>
      <c r="F289" s="309">
        <v>0.14399999999999999</v>
      </c>
      <c r="G289" s="310">
        <v>0.14399999999999999</v>
      </c>
    </row>
    <row r="290" spans="1:7">
      <c r="A290" s="319" t="s">
        <v>318</v>
      </c>
      <c r="B290" s="308" t="s">
        <v>2669</v>
      </c>
      <c r="C290" s="309">
        <v>0.14799999999999999</v>
      </c>
      <c r="D290" s="309">
        <v>0.14899999999999999</v>
      </c>
      <c r="E290" s="309">
        <v>0.15</v>
      </c>
      <c r="F290" s="309">
        <v>0.127</v>
      </c>
      <c r="G290" s="310">
        <v>0.15</v>
      </c>
    </row>
    <row r="291" spans="1:7">
      <c r="A291" s="319" t="s">
        <v>318</v>
      </c>
      <c r="B291" s="308" t="s">
        <v>2670</v>
      </c>
      <c r="C291" s="309">
        <v>0.15</v>
      </c>
      <c r="D291" s="309">
        <v>0.15</v>
      </c>
      <c r="E291" s="309">
        <v>0.15</v>
      </c>
      <c r="F291" s="309">
        <v>0.14899999999999999</v>
      </c>
      <c r="G291" s="310">
        <v>0.15</v>
      </c>
    </row>
    <row r="292" spans="1:7">
      <c r="A292" s="319" t="s">
        <v>318</v>
      </c>
      <c r="B292" s="308" t="s">
        <v>2671</v>
      </c>
      <c r="C292" s="309">
        <v>0.15</v>
      </c>
      <c r="D292" s="309">
        <v>0.15</v>
      </c>
      <c r="E292" s="309">
        <v>0.15</v>
      </c>
      <c r="F292" s="309">
        <v>0.14399999999999999</v>
      </c>
      <c r="G292" s="310">
        <v>0.15</v>
      </c>
    </row>
    <row r="293" spans="1:7">
      <c r="A293" s="319" t="s">
        <v>318</v>
      </c>
      <c r="B293" s="308" t="s">
        <v>2672</v>
      </c>
      <c r="C293" s="309">
        <v>0.15</v>
      </c>
      <c r="D293" s="309">
        <v>0.15</v>
      </c>
      <c r="E293" s="309">
        <v>0.15</v>
      </c>
      <c r="F293" s="309">
        <v>0.14499999999999999</v>
      </c>
      <c r="G293" s="310">
        <v>0.15</v>
      </c>
    </row>
    <row r="294" spans="1:7">
      <c r="A294" s="319" t="s">
        <v>318</v>
      </c>
      <c r="B294" s="308" t="s">
        <v>2673</v>
      </c>
      <c r="C294" s="309">
        <v>0.15</v>
      </c>
      <c r="D294" s="309">
        <v>0.15</v>
      </c>
      <c r="E294" s="309">
        <v>0.15</v>
      </c>
      <c r="F294" s="309">
        <v>0.14899999999999999</v>
      </c>
      <c r="G294" s="310">
        <v>0.15</v>
      </c>
    </row>
    <row r="295" spans="1:7">
      <c r="A295" s="319" t="s">
        <v>318</v>
      </c>
      <c r="B295" s="308" t="s">
        <v>2674</v>
      </c>
      <c r="C295" s="309">
        <v>0.15</v>
      </c>
      <c r="D295" s="309">
        <v>0.15</v>
      </c>
      <c r="E295" s="309">
        <v>0.15</v>
      </c>
      <c r="F295" s="309">
        <v>0.14799999999999999</v>
      </c>
      <c r="G295" s="310">
        <v>0.15</v>
      </c>
    </row>
    <row r="296" spans="1:7">
      <c r="A296" s="319" t="s">
        <v>318</v>
      </c>
      <c r="B296" s="308" t="s">
        <v>2675</v>
      </c>
      <c r="C296" s="309">
        <v>0.15</v>
      </c>
      <c r="D296" s="309">
        <v>0.15</v>
      </c>
      <c r="E296" s="309">
        <v>0.15</v>
      </c>
      <c r="F296" s="309">
        <v>0.14399999999999999</v>
      </c>
      <c r="G296" s="310">
        <v>0.15</v>
      </c>
    </row>
    <row r="297" spans="1:7">
      <c r="A297" s="319" t="s">
        <v>318</v>
      </c>
      <c r="B297" s="308" t="s">
        <v>2676</v>
      </c>
      <c r="C297" s="309">
        <v>0.15</v>
      </c>
      <c r="D297" s="309">
        <v>0.15</v>
      </c>
      <c r="E297" s="309">
        <v>0.15</v>
      </c>
      <c r="F297" s="309">
        <v>0.14499999999999999</v>
      </c>
      <c r="G297" s="310">
        <v>0.15</v>
      </c>
    </row>
    <row r="298" spans="1:7">
      <c r="A298" s="319" t="s">
        <v>318</v>
      </c>
      <c r="B298" s="308" t="s">
        <v>2677</v>
      </c>
      <c r="C298" s="309">
        <v>0.15</v>
      </c>
      <c r="D298" s="309">
        <v>0.15</v>
      </c>
      <c r="E298" s="309">
        <v>0.15</v>
      </c>
      <c r="F298" s="309">
        <v>0.15</v>
      </c>
      <c r="G298" s="310">
        <v>0.15</v>
      </c>
    </row>
    <row r="299" spans="1:7">
      <c r="A299" s="319" t="s">
        <v>318</v>
      </c>
      <c r="B299" s="328" t="s">
        <v>2678</v>
      </c>
      <c r="C299" s="309">
        <v>0.15</v>
      </c>
      <c r="D299" s="309">
        <v>0.15</v>
      </c>
      <c r="E299" s="309">
        <v>0.15</v>
      </c>
      <c r="F299" s="309">
        <v>0.14499999999999999</v>
      </c>
      <c r="G299" s="310">
        <v>0.15</v>
      </c>
    </row>
    <row r="300" spans="1:7">
      <c r="A300" s="319" t="s">
        <v>318</v>
      </c>
      <c r="B300" s="328" t="s">
        <v>2679</v>
      </c>
      <c r="C300" s="309">
        <v>0.15</v>
      </c>
      <c r="D300" s="309">
        <v>0.15</v>
      </c>
      <c r="E300" s="309">
        <v>0.15</v>
      </c>
      <c r="F300" s="309">
        <v>0.14599999999999999</v>
      </c>
      <c r="G300" s="310">
        <v>0.15</v>
      </c>
    </row>
    <row r="301" spans="1:7">
      <c r="A301" s="319" t="s">
        <v>318</v>
      </c>
      <c r="B301" s="328" t="s">
        <v>2680</v>
      </c>
      <c r="C301" s="309">
        <v>0.126</v>
      </c>
      <c r="D301" s="309">
        <v>0.124</v>
      </c>
      <c r="E301" s="309">
        <v>0.14099999999999999</v>
      </c>
      <c r="F301" s="309">
        <v>0.14399999999999999</v>
      </c>
      <c r="G301" s="310">
        <v>0.13</v>
      </c>
    </row>
    <row r="302" spans="1:7">
      <c r="A302" s="319" t="s">
        <v>318</v>
      </c>
      <c r="B302" s="308" t="s">
        <v>2681</v>
      </c>
      <c r="C302" s="309">
        <v>0.15</v>
      </c>
      <c r="D302" s="309">
        <v>0.15</v>
      </c>
      <c r="E302" s="309">
        <v>0.15</v>
      </c>
      <c r="F302" s="309">
        <v>0.14699999999999999</v>
      </c>
      <c r="G302" s="310">
        <v>0.15</v>
      </c>
    </row>
    <row r="303" spans="1:7">
      <c r="A303" s="319" t="s">
        <v>318</v>
      </c>
      <c r="B303" s="308" t="s">
        <v>2682</v>
      </c>
      <c r="C303" s="309">
        <v>0.15</v>
      </c>
      <c r="D303" s="309">
        <v>0.15</v>
      </c>
      <c r="E303" s="309">
        <v>0.15</v>
      </c>
      <c r="F303" s="309">
        <v>0.14199999999999999</v>
      </c>
      <c r="G303" s="310">
        <v>0.15</v>
      </c>
    </row>
    <row r="304" spans="1:7">
      <c r="A304" s="319" t="s">
        <v>318</v>
      </c>
      <c r="B304" s="308" t="s">
        <v>2683</v>
      </c>
      <c r="C304" s="309">
        <v>0.15</v>
      </c>
      <c r="D304" s="309">
        <v>0.15</v>
      </c>
      <c r="E304" s="309">
        <v>0.15</v>
      </c>
      <c r="F304" s="309">
        <v>0.14499999999999999</v>
      </c>
      <c r="G304" s="310">
        <v>0.15</v>
      </c>
    </row>
    <row r="305" spans="1:7">
      <c r="A305" s="319" t="s">
        <v>318</v>
      </c>
      <c r="B305" s="308" t="s">
        <v>2684</v>
      </c>
      <c r="C305" s="309">
        <v>0.15</v>
      </c>
      <c r="D305" s="309">
        <v>0.15</v>
      </c>
      <c r="E305" s="309">
        <v>0.15</v>
      </c>
      <c r="F305" s="309">
        <v>0.111</v>
      </c>
      <c r="G305" s="310">
        <v>0.15</v>
      </c>
    </row>
    <row r="306" spans="1:7">
      <c r="A306" s="319" t="s">
        <v>318</v>
      </c>
      <c r="B306" s="308" t="s">
        <v>2685</v>
      </c>
      <c r="C306" s="309">
        <v>0.15</v>
      </c>
      <c r="D306" s="309">
        <v>0.15</v>
      </c>
      <c r="E306" s="309">
        <v>0.15</v>
      </c>
      <c r="F306" s="309">
        <v>0.126</v>
      </c>
      <c r="G306" s="310">
        <v>0.15</v>
      </c>
    </row>
    <row r="307" spans="1:7">
      <c r="A307" s="319" t="s">
        <v>318</v>
      </c>
      <c r="B307" s="308" t="s">
        <v>2686</v>
      </c>
      <c r="C307" s="309">
        <v>0.15</v>
      </c>
      <c r="D307" s="309">
        <v>0.15</v>
      </c>
      <c r="E307" s="309">
        <v>0.15</v>
      </c>
      <c r="F307" s="309">
        <v>0.12</v>
      </c>
      <c r="G307" s="310">
        <v>0.15</v>
      </c>
    </row>
    <row r="308" spans="1:7">
      <c r="A308" s="319" t="s">
        <v>318</v>
      </c>
      <c r="B308" s="308" t="s">
        <v>2687</v>
      </c>
      <c r="C308" s="309">
        <v>0.15</v>
      </c>
      <c r="D308" s="309">
        <v>0.15</v>
      </c>
      <c r="E308" s="309">
        <v>0.15</v>
      </c>
      <c r="F308" s="309">
        <v>0.13</v>
      </c>
      <c r="G308" s="310">
        <v>0.15</v>
      </c>
    </row>
    <row r="309" spans="1:7">
      <c r="A309" s="319" t="s">
        <v>318</v>
      </c>
      <c r="B309" s="308" t="s">
        <v>2688</v>
      </c>
      <c r="C309" s="309">
        <v>0.15</v>
      </c>
      <c r="D309" s="309">
        <v>0.15</v>
      </c>
      <c r="E309" s="309">
        <v>0.15</v>
      </c>
      <c r="F309" s="309">
        <v>0.14099999999999999</v>
      </c>
      <c r="G309" s="310">
        <v>0.15</v>
      </c>
    </row>
    <row r="310" spans="1:7">
      <c r="A310" s="319" t="s">
        <v>318</v>
      </c>
      <c r="B310" s="308" t="s">
        <v>2689</v>
      </c>
      <c r="C310" s="309">
        <v>0.15</v>
      </c>
      <c r="D310" s="309">
        <v>0.15</v>
      </c>
      <c r="E310" s="309">
        <v>0.15</v>
      </c>
      <c r="F310" s="309">
        <v>0.15</v>
      </c>
      <c r="G310" s="310">
        <v>0.15</v>
      </c>
    </row>
    <row r="311" spans="1:7">
      <c r="A311" s="319" t="s">
        <v>318</v>
      </c>
      <c r="B311" s="308" t="s">
        <v>2690</v>
      </c>
      <c r="C311" s="309">
        <v>0.13200000000000001</v>
      </c>
      <c r="D311" s="309">
        <v>0.13300000000000001</v>
      </c>
      <c r="E311" s="309">
        <v>0.14499999999999999</v>
      </c>
      <c r="F311" s="309">
        <v>0.14199999999999999</v>
      </c>
      <c r="G311" s="310">
        <v>0.14000000000000001</v>
      </c>
    </row>
    <row r="312" spans="1:7">
      <c r="A312" s="319" t="s">
        <v>318</v>
      </c>
      <c r="B312" s="308" t="s">
        <v>2691</v>
      </c>
      <c r="C312" s="309">
        <v>0.13800000000000001</v>
      </c>
      <c r="D312" s="309">
        <v>0.14000000000000001</v>
      </c>
      <c r="E312" s="309">
        <v>0.14599999999999999</v>
      </c>
      <c r="F312" s="309">
        <v>0.14899999999999999</v>
      </c>
      <c r="G312" s="310">
        <v>0.14199999999999999</v>
      </c>
    </row>
    <row r="313" spans="1:7">
      <c r="A313" s="319" t="s">
        <v>318</v>
      </c>
      <c r="B313" s="308" t="s">
        <v>2692</v>
      </c>
      <c r="C313" s="309">
        <v>0.125</v>
      </c>
      <c r="D313" s="309">
        <v>0.127</v>
      </c>
      <c r="E313" s="309">
        <v>0.14399999999999999</v>
      </c>
      <c r="F313" s="309">
        <v>0.115</v>
      </c>
      <c r="G313" s="310">
        <v>0.13600000000000001</v>
      </c>
    </row>
    <row r="314" spans="1:7">
      <c r="A314" s="319" t="s">
        <v>318</v>
      </c>
      <c r="B314" s="308" t="s">
        <v>2693</v>
      </c>
      <c r="C314" s="325"/>
      <c r="D314" s="325"/>
      <c r="E314" s="325"/>
      <c r="F314" s="309">
        <v>0.05</v>
      </c>
      <c r="G314" s="326"/>
    </row>
    <row r="315" spans="1:7">
      <c r="A315" s="319" t="s">
        <v>318</v>
      </c>
      <c r="B315" s="308" t="s">
        <v>2694</v>
      </c>
      <c r="C315" s="325"/>
      <c r="D315" s="325"/>
      <c r="E315" s="325"/>
      <c r="F315" s="309">
        <v>0.05</v>
      </c>
      <c r="G315" s="326"/>
    </row>
    <row r="316" spans="1:7">
      <c r="A316" s="319" t="s">
        <v>318</v>
      </c>
      <c r="B316" s="308" t="s">
        <v>2695</v>
      </c>
      <c r="C316" s="320"/>
      <c r="D316" s="320"/>
      <c r="E316" s="320"/>
      <c r="F316" s="309">
        <v>0.05</v>
      </c>
      <c r="G316" s="326"/>
    </row>
    <row r="317" spans="1:7">
      <c r="A317" s="319" t="s">
        <v>318</v>
      </c>
      <c r="B317" s="308" t="s">
        <v>2696</v>
      </c>
      <c r="C317" s="320"/>
      <c r="D317" s="320"/>
      <c r="E317" s="320"/>
      <c r="F317" s="309">
        <v>0.05</v>
      </c>
      <c r="G317" s="326"/>
    </row>
    <row r="318" spans="1:7">
      <c r="A318" s="319" t="s">
        <v>318</v>
      </c>
      <c r="B318" s="308" t="s">
        <v>2697</v>
      </c>
      <c r="C318" s="320"/>
      <c r="D318" s="320"/>
      <c r="E318" s="320"/>
      <c r="F318" s="309">
        <v>0.05</v>
      </c>
      <c r="G318" s="326"/>
    </row>
    <row r="319" spans="1:7">
      <c r="A319" s="319" t="s">
        <v>318</v>
      </c>
      <c r="B319" s="308" t="s">
        <v>2698</v>
      </c>
      <c r="C319" s="320"/>
      <c r="D319" s="320"/>
      <c r="E319" s="320"/>
      <c r="F319" s="309">
        <v>0.05</v>
      </c>
      <c r="G319" s="326"/>
    </row>
    <row r="320" spans="1:7">
      <c r="A320" s="319" t="s">
        <v>318</v>
      </c>
      <c r="B320" s="308" t="s">
        <v>2699</v>
      </c>
      <c r="C320" s="320"/>
      <c r="D320" s="320"/>
      <c r="E320" s="320"/>
      <c r="F320" s="309">
        <v>0.05</v>
      </c>
      <c r="G320" s="326"/>
    </row>
    <row r="321" spans="1:7">
      <c r="A321" s="319" t="s">
        <v>318</v>
      </c>
      <c r="B321" s="308" t="s">
        <v>2700</v>
      </c>
      <c r="C321" s="320"/>
      <c r="D321" s="320"/>
      <c r="E321" s="320"/>
      <c r="F321" s="309">
        <v>0.05</v>
      </c>
      <c r="G321" s="326"/>
    </row>
    <row r="322" spans="1:7">
      <c r="A322" s="319" t="s">
        <v>318</v>
      </c>
      <c r="B322" s="308" t="s">
        <v>2701</v>
      </c>
      <c r="C322" s="320"/>
      <c r="D322" s="320"/>
      <c r="E322" s="320"/>
      <c r="F322" s="309">
        <v>0.05</v>
      </c>
      <c r="G322" s="326"/>
    </row>
    <row r="323" spans="1:7">
      <c r="A323" s="319" t="s">
        <v>318</v>
      </c>
      <c r="B323" s="308" t="s">
        <v>2702</v>
      </c>
      <c r="C323" s="320"/>
      <c r="D323" s="320"/>
      <c r="E323" s="320"/>
      <c r="F323" s="309">
        <v>0.05</v>
      </c>
      <c r="G323" s="326"/>
    </row>
    <row r="324" spans="1:7">
      <c r="A324" s="319" t="s">
        <v>318</v>
      </c>
      <c r="B324" s="308" t="s">
        <v>2703</v>
      </c>
      <c r="C324" s="320"/>
      <c r="D324" s="320"/>
      <c r="E324" s="320"/>
      <c r="F324" s="309">
        <v>0.05</v>
      </c>
      <c r="G324" s="326"/>
    </row>
    <row r="325" spans="1:7">
      <c r="A325" s="319" t="s">
        <v>318</v>
      </c>
      <c r="B325" s="308" t="s">
        <v>2704</v>
      </c>
      <c r="C325" s="320"/>
      <c r="D325" s="320"/>
      <c r="E325" s="320"/>
      <c r="F325" s="309">
        <v>0.05</v>
      </c>
      <c r="G325" s="326"/>
    </row>
    <row r="326" spans="1:7">
      <c r="A326" s="322" t="s">
        <v>318</v>
      </c>
      <c r="B326" s="312" t="s">
        <v>2705</v>
      </c>
      <c r="C326" s="314"/>
      <c r="D326" s="314"/>
      <c r="E326" s="314"/>
      <c r="F326" s="313">
        <v>0.05</v>
      </c>
      <c r="G326" s="327"/>
    </row>
    <row r="327" spans="1:7">
      <c r="A327" s="318" t="s">
        <v>324</v>
      </c>
      <c r="B327" s="304" t="s">
        <v>2706</v>
      </c>
      <c r="C327" s="305">
        <v>0.15</v>
      </c>
      <c r="D327" s="305">
        <v>0.15</v>
      </c>
      <c r="E327" s="305">
        <v>0.15</v>
      </c>
      <c r="F327" s="305">
        <v>0.15</v>
      </c>
      <c r="G327" s="306">
        <v>0.15</v>
      </c>
    </row>
    <row r="328" spans="1:7">
      <c r="A328" s="319" t="s">
        <v>324</v>
      </c>
      <c r="B328" s="308" t="s">
        <v>2707</v>
      </c>
      <c r="C328" s="309">
        <v>0.15</v>
      </c>
      <c r="D328" s="309">
        <v>0.15</v>
      </c>
      <c r="E328" s="309">
        <v>0.15</v>
      </c>
      <c r="F328" s="309">
        <v>0.126</v>
      </c>
      <c r="G328" s="310">
        <v>0.15</v>
      </c>
    </row>
    <row r="329" spans="1:7">
      <c r="A329" s="319" t="s">
        <v>324</v>
      </c>
      <c r="B329" s="308" t="s">
        <v>2708</v>
      </c>
      <c r="C329" s="309">
        <v>0.15</v>
      </c>
      <c r="D329" s="309">
        <v>0.15</v>
      </c>
      <c r="E329" s="309">
        <v>0.15</v>
      </c>
      <c r="F329" s="309">
        <v>0.15</v>
      </c>
      <c r="G329" s="310">
        <v>0.15</v>
      </c>
    </row>
    <row r="330" spans="1:7">
      <c r="A330" s="319" t="s">
        <v>324</v>
      </c>
      <c r="B330" s="308" t="s">
        <v>2709</v>
      </c>
      <c r="C330" s="309">
        <v>0.15</v>
      </c>
      <c r="D330" s="309">
        <v>0.15</v>
      </c>
      <c r="E330" s="309">
        <v>0.15</v>
      </c>
      <c r="F330" s="309">
        <v>0.15</v>
      </c>
      <c r="G330" s="310">
        <v>0.15</v>
      </c>
    </row>
    <row r="331" spans="1:7">
      <c r="A331" s="319" t="s">
        <v>324</v>
      </c>
      <c r="B331" s="308" t="s">
        <v>2710</v>
      </c>
      <c r="C331" s="309">
        <v>0.15</v>
      </c>
      <c r="D331" s="309">
        <v>0.15</v>
      </c>
      <c r="E331" s="309">
        <v>0.15</v>
      </c>
      <c r="F331" s="309">
        <v>0.15</v>
      </c>
      <c r="G331" s="310">
        <v>0.15</v>
      </c>
    </row>
    <row r="332" spans="1:7">
      <c r="A332" s="319" t="s">
        <v>324</v>
      </c>
      <c r="B332" s="308" t="s">
        <v>2711</v>
      </c>
      <c r="C332" s="309">
        <v>0.15</v>
      </c>
      <c r="D332" s="309">
        <v>0.15</v>
      </c>
      <c r="E332" s="309">
        <v>0.15</v>
      </c>
      <c r="F332" s="309">
        <v>0.15</v>
      </c>
      <c r="G332" s="310">
        <v>0.15</v>
      </c>
    </row>
    <row r="333" spans="1:7">
      <c r="A333" s="319" t="s">
        <v>324</v>
      </c>
      <c r="B333" s="308" t="s">
        <v>2712</v>
      </c>
      <c r="C333" s="309">
        <v>0.14899999999999999</v>
      </c>
      <c r="D333" s="309">
        <v>0.14899999999999999</v>
      </c>
      <c r="E333" s="309">
        <v>0.15</v>
      </c>
      <c r="F333" s="309">
        <v>0.11600000000000001</v>
      </c>
      <c r="G333" s="310">
        <v>0.15</v>
      </c>
    </row>
    <row r="334" spans="1:7">
      <c r="A334" s="319" t="s">
        <v>324</v>
      </c>
      <c r="B334" s="308" t="s">
        <v>2713</v>
      </c>
      <c r="C334" s="309">
        <v>0.15</v>
      </c>
      <c r="D334" s="309">
        <v>0.15</v>
      </c>
      <c r="E334" s="309">
        <v>0.15</v>
      </c>
      <c r="F334" s="309">
        <v>0.13</v>
      </c>
      <c r="G334" s="310">
        <v>0.15</v>
      </c>
    </row>
    <row r="335" spans="1:7">
      <c r="A335" s="319" t="s">
        <v>324</v>
      </c>
      <c r="B335" s="308" t="s">
        <v>2714</v>
      </c>
      <c r="C335" s="309">
        <v>0.15</v>
      </c>
      <c r="D335" s="309">
        <v>0.15</v>
      </c>
      <c r="E335" s="309">
        <v>0.15</v>
      </c>
      <c r="F335" s="309">
        <v>0.14399999999999999</v>
      </c>
      <c r="G335" s="310">
        <v>0.15</v>
      </c>
    </row>
    <row r="336" spans="1:7">
      <c r="A336" s="319" t="s">
        <v>324</v>
      </c>
      <c r="B336" s="308" t="s">
        <v>2715</v>
      </c>
      <c r="C336" s="309">
        <v>0.15</v>
      </c>
      <c r="D336" s="309">
        <v>0.15</v>
      </c>
      <c r="E336" s="309">
        <v>0.15</v>
      </c>
      <c r="F336" s="309">
        <v>0.14199999999999999</v>
      </c>
      <c r="G336" s="310">
        <v>0.15</v>
      </c>
    </row>
    <row r="337" spans="1:7">
      <c r="A337" s="319" t="s">
        <v>324</v>
      </c>
      <c r="B337" s="308" t="s">
        <v>2716</v>
      </c>
      <c r="C337" s="309">
        <v>0.15</v>
      </c>
      <c r="D337" s="309">
        <v>0.15</v>
      </c>
      <c r="E337" s="309">
        <v>0.15</v>
      </c>
      <c r="F337" s="309">
        <v>0.14499999999999999</v>
      </c>
      <c r="G337" s="310">
        <v>0.15</v>
      </c>
    </row>
    <row r="338" spans="1:7">
      <c r="A338" s="319" t="s">
        <v>324</v>
      </c>
      <c r="B338" s="308" t="s">
        <v>2717</v>
      </c>
      <c r="C338" s="309">
        <v>0.15</v>
      </c>
      <c r="D338" s="309">
        <v>0.15</v>
      </c>
      <c r="E338" s="309">
        <v>0.15</v>
      </c>
      <c r="F338" s="309">
        <v>0.15</v>
      </c>
      <c r="G338" s="310">
        <v>0.15</v>
      </c>
    </row>
    <row r="339" spans="1:7">
      <c r="A339" s="319" t="s">
        <v>324</v>
      </c>
      <c r="B339" s="308" t="s">
        <v>2718</v>
      </c>
      <c r="C339" s="309">
        <v>0.15</v>
      </c>
      <c r="D339" s="309">
        <v>0.15</v>
      </c>
      <c r="E339" s="309">
        <v>0.15</v>
      </c>
      <c r="F339" s="309">
        <v>0.14699999999999999</v>
      </c>
      <c r="G339" s="310">
        <v>0.15</v>
      </c>
    </row>
    <row r="340" spans="1:7">
      <c r="A340" s="319" t="s">
        <v>324</v>
      </c>
      <c r="B340" s="308" t="s">
        <v>2719</v>
      </c>
      <c r="C340" s="309">
        <v>0.14599999999999999</v>
      </c>
      <c r="D340" s="309">
        <v>0.14599999999999999</v>
      </c>
      <c r="E340" s="309">
        <v>0.15</v>
      </c>
      <c r="F340" s="309">
        <v>0.14099999999999999</v>
      </c>
      <c r="G340" s="310">
        <v>0.14699999999999999</v>
      </c>
    </row>
    <row r="341" spans="1:7">
      <c r="A341" s="319" t="s">
        <v>324</v>
      </c>
      <c r="B341" s="308" t="s">
        <v>2720</v>
      </c>
      <c r="C341" s="309">
        <v>0.126</v>
      </c>
      <c r="D341" s="309">
        <v>0.124</v>
      </c>
      <c r="E341" s="309">
        <v>0.14099999999999999</v>
      </c>
      <c r="F341" s="309">
        <v>0.14399999999999999</v>
      </c>
      <c r="G341" s="310">
        <v>0.13</v>
      </c>
    </row>
    <row r="342" spans="1:7">
      <c r="A342" s="319" t="s">
        <v>324</v>
      </c>
      <c r="B342" s="308" t="s">
        <v>2721</v>
      </c>
      <c r="C342" s="309">
        <v>0.15</v>
      </c>
      <c r="D342" s="309">
        <v>0.15</v>
      </c>
      <c r="E342" s="309">
        <v>0.15</v>
      </c>
      <c r="F342" s="309">
        <v>0.14399999999999999</v>
      </c>
      <c r="G342" s="310">
        <v>0.15</v>
      </c>
    </row>
    <row r="343" spans="1:7">
      <c r="A343" s="319" t="s">
        <v>324</v>
      </c>
      <c r="B343" s="308" t="s">
        <v>2722</v>
      </c>
      <c r="C343" s="309">
        <v>0.15</v>
      </c>
      <c r="D343" s="309">
        <v>0.15</v>
      </c>
      <c r="E343" s="309">
        <v>0.15</v>
      </c>
      <c r="F343" s="309">
        <v>0.128</v>
      </c>
      <c r="G343" s="310">
        <v>0.15</v>
      </c>
    </row>
    <row r="344" spans="1:7">
      <c r="A344" s="319" t="s">
        <v>324</v>
      </c>
      <c r="B344" s="308" t="s">
        <v>2723</v>
      </c>
      <c r="C344" s="309">
        <v>0.15</v>
      </c>
      <c r="D344" s="309">
        <v>0.15</v>
      </c>
      <c r="E344" s="309">
        <v>0.15</v>
      </c>
      <c r="F344" s="309">
        <v>0.14799999999999999</v>
      </c>
      <c r="G344" s="310">
        <v>0.15</v>
      </c>
    </row>
    <row r="345" spans="1:7">
      <c r="A345" s="319" t="s">
        <v>324</v>
      </c>
      <c r="B345" s="308" t="s">
        <v>2724</v>
      </c>
      <c r="C345" s="309">
        <v>0.15</v>
      </c>
      <c r="D345" s="309">
        <v>0.15</v>
      </c>
      <c r="E345" s="309">
        <v>0.15</v>
      </c>
      <c r="F345" s="309">
        <v>0.13800000000000001</v>
      </c>
      <c r="G345" s="310">
        <v>0.15</v>
      </c>
    </row>
    <row r="346" spans="1:7">
      <c r="A346" s="319" t="s">
        <v>324</v>
      </c>
      <c r="B346" s="308" t="s">
        <v>2725</v>
      </c>
      <c r="C346" s="309">
        <v>0.15</v>
      </c>
      <c r="D346" s="309">
        <v>0.15</v>
      </c>
      <c r="E346" s="309">
        <v>0.15</v>
      </c>
      <c r="F346" s="309">
        <v>0.14399999999999999</v>
      </c>
      <c r="G346" s="310">
        <v>0.15</v>
      </c>
    </row>
    <row r="347" spans="1:7">
      <c r="A347" s="319" t="s">
        <v>324</v>
      </c>
      <c r="B347" s="308" t="s">
        <v>2726</v>
      </c>
      <c r="C347" s="309">
        <v>0.15</v>
      </c>
      <c r="D347" s="309">
        <v>0.15</v>
      </c>
      <c r="E347" s="309">
        <v>0.15</v>
      </c>
      <c r="F347" s="309">
        <v>0.14599999999999999</v>
      </c>
      <c r="G347" s="310">
        <v>0.15</v>
      </c>
    </row>
    <row r="348" spans="1:7">
      <c r="A348" s="319" t="s">
        <v>324</v>
      </c>
      <c r="B348" s="308" t="s">
        <v>2727</v>
      </c>
      <c r="C348" s="309">
        <v>0.15</v>
      </c>
      <c r="D348" s="309">
        <v>0.15</v>
      </c>
      <c r="E348" s="309">
        <v>0.15</v>
      </c>
      <c r="F348" s="309">
        <v>0.14399999999999999</v>
      </c>
      <c r="G348" s="310">
        <v>0.15</v>
      </c>
    </row>
    <row r="349" spans="1:7">
      <c r="A349" s="319" t="s">
        <v>324</v>
      </c>
      <c r="B349" s="308" t="s">
        <v>2728</v>
      </c>
      <c r="C349" s="309">
        <v>0.15</v>
      </c>
      <c r="D349" s="309">
        <v>0.15</v>
      </c>
      <c r="E349" s="309">
        <v>0.15</v>
      </c>
      <c r="F349" s="309">
        <v>0.15</v>
      </c>
      <c r="G349" s="310">
        <v>0.15</v>
      </c>
    </row>
    <row r="350" spans="1:7">
      <c r="A350" s="319" t="s">
        <v>324</v>
      </c>
      <c r="B350" s="308" t="s">
        <v>2729</v>
      </c>
      <c r="C350" s="309">
        <v>0.15</v>
      </c>
      <c r="D350" s="309">
        <v>0.15</v>
      </c>
      <c r="E350" s="309">
        <v>0.15</v>
      </c>
      <c r="F350" s="309">
        <v>0.14699999999999999</v>
      </c>
      <c r="G350" s="310">
        <v>0.15</v>
      </c>
    </row>
    <row r="351" spans="1:7">
      <c r="A351" s="319" t="s">
        <v>324</v>
      </c>
      <c r="B351" s="308" t="s">
        <v>2730</v>
      </c>
      <c r="C351" s="309">
        <v>0.15</v>
      </c>
      <c r="D351" s="309">
        <v>0.15</v>
      </c>
      <c r="E351" s="309">
        <v>0.15</v>
      </c>
      <c r="F351" s="309">
        <v>0.13</v>
      </c>
      <c r="G351" s="310">
        <v>0.15</v>
      </c>
    </row>
    <row r="352" spans="1:7">
      <c r="A352" s="319" t="s">
        <v>324</v>
      </c>
      <c r="B352" s="308" t="s">
        <v>2731</v>
      </c>
      <c r="C352" s="309">
        <v>0.15</v>
      </c>
      <c r="D352" s="309">
        <v>0.15</v>
      </c>
      <c r="E352" s="309">
        <v>0.15</v>
      </c>
      <c r="F352" s="309">
        <v>0.14599999999999999</v>
      </c>
      <c r="G352" s="310">
        <v>0.15</v>
      </c>
    </row>
    <row r="353" spans="1:7">
      <c r="A353" s="319" t="s">
        <v>324</v>
      </c>
      <c r="B353" s="308" t="s">
        <v>2732</v>
      </c>
      <c r="C353" s="309">
        <v>0.15</v>
      </c>
      <c r="D353" s="309">
        <v>0.15</v>
      </c>
      <c r="E353" s="309">
        <v>0.15</v>
      </c>
      <c r="F353" s="309">
        <v>0.14499999999999999</v>
      </c>
      <c r="G353" s="310">
        <v>0.15</v>
      </c>
    </row>
    <row r="354" spans="1:7">
      <c r="A354" s="319" t="s">
        <v>324</v>
      </c>
      <c r="B354" s="308" t="s">
        <v>2733</v>
      </c>
      <c r="C354" s="309">
        <v>0.15</v>
      </c>
      <c r="D354" s="309">
        <v>0.15</v>
      </c>
      <c r="E354" s="309">
        <v>0.15</v>
      </c>
      <c r="F354" s="309">
        <v>0.14099999999999999</v>
      </c>
      <c r="G354" s="310">
        <v>0.15</v>
      </c>
    </row>
    <row r="355" spans="1:7">
      <c r="A355" s="319" t="s">
        <v>324</v>
      </c>
      <c r="B355" s="308" t="s">
        <v>2734</v>
      </c>
      <c r="C355" s="309">
        <v>0.15</v>
      </c>
      <c r="D355" s="309">
        <v>0.15</v>
      </c>
      <c r="E355" s="309">
        <v>0.15</v>
      </c>
      <c r="F355" s="309">
        <v>0.15</v>
      </c>
      <c r="G355" s="310">
        <v>0.15</v>
      </c>
    </row>
    <row r="356" spans="1:7">
      <c r="A356" s="319" t="s">
        <v>324</v>
      </c>
      <c r="B356" s="308" t="s">
        <v>2735</v>
      </c>
      <c r="C356" s="309">
        <v>0.15</v>
      </c>
      <c r="D356" s="309">
        <v>0.15</v>
      </c>
      <c r="E356" s="309">
        <v>0.15</v>
      </c>
      <c r="F356" s="309">
        <v>0.15</v>
      </c>
      <c r="G356" s="310">
        <v>0.15</v>
      </c>
    </row>
    <row r="357" spans="1:7">
      <c r="A357" s="322" t="s">
        <v>324</v>
      </c>
      <c r="B357" s="312" t="s">
        <v>2736</v>
      </c>
      <c r="C357" s="313">
        <v>0.126</v>
      </c>
      <c r="D357" s="313">
        <v>0.127</v>
      </c>
      <c r="E357" s="313">
        <v>0.14299999999999999</v>
      </c>
      <c r="F357" s="313">
        <v>0.125</v>
      </c>
      <c r="G357" s="315">
        <v>0.129</v>
      </c>
    </row>
    <row r="358" spans="1:7">
      <c r="A358" s="318" t="s">
        <v>330</v>
      </c>
      <c r="B358" s="304" t="s">
        <v>2737</v>
      </c>
      <c r="C358" s="305">
        <v>0.15</v>
      </c>
      <c r="D358" s="305">
        <v>0.15</v>
      </c>
      <c r="E358" s="305">
        <v>0.15</v>
      </c>
      <c r="F358" s="305">
        <v>0.15</v>
      </c>
      <c r="G358" s="306">
        <v>0.15</v>
      </c>
    </row>
    <row r="359" spans="1:7">
      <c r="A359" s="319" t="s">
        <v>330</v>
      </c>
      <c r="B359" s="308" t="s">
        <v>2738</v>
      </c>
      <c r="C359" s="309">
        <v>0.1</v>
      </c>
      <c r="D359" s="309">
        <v>0.1</v>
      </c>
      <c r="E359" s="309">
        <v>0.1</v>
      </c>
      <c r="F359" s="309">
        <v>0.1</v>
      </c>
      <c r="G359" s="310">
        <v>0.1</v>
      </c>
    </row>
    <row r="360" spans="1:7">
      <c r="A360" s="319" t="s">
        <v>330</v>
      </c>
      <c r="B360" s="308" t="s">
        <v>2739</v>
      </c>
      <c r="C360" s="309">
        <v>0.15</v>
      </c>
      <c r="D360" s="309">
        <v>0.15</v>
      </c>
      <c r="E360" s="309">
        <v>0.15</v>
      </c>
      <c r="F360" s="309">
        <v>0.14899999999999999</v>
      </c>
      <c r="G360" s="310">
        <v>0.15</v>
      </c>
    </row>
    <row r="361" spans="1:7">
      <c r="A361" s="319" t="s">
        <v>330</v>
      </c>
      <c r="B361" s="308" t="s">
        <v>2740</v>
      </c>
      <c r="C361" s="309">
        <v>0.15</v>
      </c>
      <c r="D361" s="309">
        <v>0.15</v>
      </c>
      <c r="E361" s="309">
        <v>0.15</v>
      </c>
      <c r="F361" s="309">
        <v>0.115</v>
      </c>
      <c r="G361" s="310">
        <v>0.15</v>
      </c>
    </row>
    <row r="362" spans="1:7">
      <c r="A362" s="319" t="s">
        <v>330</v>
      </c>
      <c r="B362" s="308" t="s">
        <v>2741</v>
      </c>
      <c r="C362" s="309">
        <v>0.15</v>
      </c>
      <c r="D362" s="309">
        <v>0.15</v>
      </c>
      <c r="E362" s="309">
        <v>0.15</v>
      </c>
      <c r="F362" s="309">
        <v>0.106</v>
      </c>
      <c r="G362" s="310">
        <v>0.15</v>
      </c>
    </row>
    <row r="363" spans="1:7">
      <c r="A363" s="319" t="s">
        <v>330</v>
      </c>
      <c r="B363" s="308" t="s">
        <v>2742</v>
      </c>
      <c r="C363" s="309">
        <v>0.15</v>
      </c>
      <c r="D363" s="309">
        <v>0.15</v>
      </c>
      <c r="E363" s="309">
        <v>0.15</v>
      </c>
      <c r="F363" s="309">
        <v>0.14699999999999999</v>
      </c>
      <c r="G363" s="310">
        <v>0.15</v>
      </c>
    </row>
    <row r="364" spans="1:7">
      <c r="A364" s="319" t="s">
        <v>330</v>
      </c>
      <c r="B364" s="308" t="s">
        <v>2743</v>
      </c>
      <c r="C364" s="309">
        <v>0.15</v>
      </c>
      <c r="D364" s="309">
        <v>0.15</v>
      </c>
      <c r="E364" s="309">
        <v>0.15</v>
      </c>
      <c r="F364" s="309">
        <v>0.14799999999999999</v>
      </c>
      <c r="G364" s="310">
        <v>0.15</v>
      </c>
    </row>
    <row r="365" spans="1:7">
      <c r="A365" s="319" t="s">
        <v>330</v>
      </c>
      <c r="B365" s="308" t="s">
        <v>2744</v>
      </c>
      <c r="C365" s="309">
        <v>0.15</v>
      </c>
      <c r="D365" s="309">
        <v>0.15</v>
      </c>
      <c r="E365" s="309">
        <v>0.15</v>
      </c>
      <c r="F365" s="309">
        <v>0.15</v>
      </c>
      <c r="G365" s="310">
        <v>0.15</v>
      </c>
    </row>
    <row r="366" spans="1:7">
      <c r="A366" s="319" t="s">
        <v>330</v>
      </c>
      <c r="B366" s="308" t="s">
        <v>2745</v>
      </c>
      <c r="C366" s="309">
        <v>0.15</v>
      </c>
      <c r="D366" s="309">
        <v>0.15</v>
      </c>
      <c r="E366" s="309">
        <v>0.15</v>
      </c>
      <c r="F366" s="309">
        <v>0.15</v>
      </c>
      <c r="G366" s="310">
        <v>0.15</v>
      </c>
    </row>
    <row r="367" spans="1:7">
      <c r="A367" s="319" t="s">
        <v>330</v>
      </c>
      <c r="B367" s="308" t="s">
        <v>2746</v>
      </c>
      <c r="C367" s="309">
        <v>0.15</v>
      </c>
      <c r="D367" s="309">
        <v>0.15</v>
      </c>
      <c r="E367" s="309">
        <v>0.15</v>
      </c>
      <c r="F367" s="309">
        <v>0.14699999999999999</v>
      </c>
      <c r="G367" s="310">
        <v>0.15</v>
      </c>
    </row>
    <row r="368" spans="1:7">
      <c r="A368" s="319" t="s">
        <v>330</v>
      </c>
      <c r="B368" s="308" t="s">
        <v>2747</v>
      </c>
      <c r="C368" s="309">
        <v>0.15</v>
      </c>
      <c r="D368" s="309">
        <v>0.15</v>
      </c>
      <c r="E368" s="309">
        <v>0.15</v>
      </c>
      <c r="F368" s="309">
        <v>0.13600000000000001</v>
      </c>
      <c r="G368" s="310">
        <v>0.15</v>
      </c>
    </row>
    <row r="369" spans="1:7">
      <c r="A369" s="319" t="s">
        <v>330</v>
      </c>
      <c r="B369" s="308" t="s">
        <v>2748</v>
      </c>
      <c r="C369" s="309">
        <v>0.15</v>
      </c>
      <c r="D369" s="309">
        <v>0.15</v>
      </c>
      <c r="E369" s="309">
        <v>0.15</v>
      </c>
      <c r="F369" s="309">
        <v>0.14399999999999999</v>
      </c>
      <c r="G369" s="310">
        <v>0.15</v>
      </c>
    </row>
    <row r="370" spans="1:7">
      <c r="A370" s="319" t="s">
        <v>330</v>
      </c>
      <c r="B370" s="308" t="s">
        <v>2749</v>
      </c>
      <c r="C370" s="309">
        <v>0.15</v>
      </c>
      <c r="D370" s="309">
        <v>0.15</v>
      </c>
      <c r="E370" s="309">
        <v>0.15</v>
      </c>
      <c r="F370" s="309">
        <v>0.14599999999999999</v>
      </c>
      <c r="G370" s="310">
        <v>0.15</v>
      </c>
    </row>
    <row r="371" spans="1:7">
      <c r="A371" s="319" t="s">
        <v>330</v>
      </c>
      <c r="B371" s="308" t="s">
        <v>2750</v>
      </c>
      <c r="C371" s="309">
        <v>0.15</v>
      </c>
      <c r="D371" s="309">
        <v>0.15</v>
      </c>
      <c r="E371" s="309">
        <v>0.15</v>
      </c>
      <c r="F371" s="309">
        <v>0.12</v>
      </c>
      <c r="G371" s="310">
        <v>0.15</v>
      </c>
    </row>
    <row r="372" spans="1:7">
      <c r="A372" s="319" t="s">
        <v>330</v>
      </c>
      <c r="B372" s="308" t="s">
        <v>2751</v>
      </c>
      <c r="C372" s="309">
        <v>0.15</v>
      </c>
      <c r="D372" s="309">
        <v>0.15</v>
      </c>
      <c r="E372" s="309">
        <v>0.15</v>
      </c>
      <c r="F372" s="309">
        <v>0.14299999999999999</v>
      </c>
      <c r="G372" s="310">
        <v>0.15</v>
      </c>
    </row>
    <row r="373" spans="1:7">
      <c r="A373" s="319" t="s">
        <v>330</v>
      </c>
      <c r="B373" s="308" t="s">
        <v>2752</v>
      </c>
      <c r="C373" s="309">
        <v>0.15</v>
      </c>
      <c r="D373" s="309">
        <v>0.15</v>
      </c>
      <c r="E373" s="309">
        <v>0.15</v>
      </c>
      <c r="F373" s="309">
        <v>0.14599999999999999</v>
      </c>
      <c r="G373" s="310">
        <v>0.15</v>
      </c>
    </row>
    <row r="374" spans="1:7">
      <c r="A374" s="319" t="s">
        <v>330</v>
      </c>
      <c r="B374" s="308" t="s">
        <v>2753</v>
      </c>
      <c r="C374" s="309">
        <v>0.15</v>
      </c>
      <c r="D374" s="309">
        <v>0.15</v>
      </c>
      <c r="E374" s="309">
        <v>0.15</v>
      </c>
      <c r="F374" s="309">
        <v>0.14399999999999999</v>
      </c>
      <c r="G374" s="310">
        <v>0.15</v>
      </c>
    </row>
    <row r="375" spans="1:7">
      <c r="A375" s="319" t="s">
        <v>330</v>
      </c>
      <c r="B375" s="308" t="s">
        <v>2754</v>
      </c>
      <c r="C375" s="309">
        <v>0.15</v>
      </c>
      <c r="D375" s="309">
        <v>0.15</v>
      </c>
      <c r="E375" s="309">
        <v>0.15</v>
      </c>
      <c r="F375" s="309">
        <v>0.13</v>
      </c>
      <c r="G375" s="310">
        <v>0.15</v>
      </c>
    </row>
    <row r="376" spans="1:7">
      <c r="A376" s="319" t="s">
        <v>330</v>
      </c>
      <c r="B376" s="308" t="s">
        <v>2755</v>
      </c>
      <c r="C376" s="309">
        <v>0.15</v>
      </c>
      <c r="D376" s="309">
        <v>0.15</v>
      </c>
      <c r="E376" s="309">
        <v>0.15</v>
      </c>
      <c r="F376" s="309">
        <v>0.14199999999999999</v>
      </c>
      <c r="G376" s="310">
        <v>0.15</v>
      </c>
    </row>
    <row r="377" spans="1:7">
      <c r="A377" s="322" t="s">
        <v>330</v>
      </c>
      <c r="B377" s="312" t="s">
        <v>2756</v>
      </c>
      <c r="C377" s="313">
        <v>0.15</v>
      </c>
      <c r="D377" s="313">
        <v>0.15</v>
      </c>
      <c r="E377" s="313">
        <v>0.15</v>
      </c>
      <c r="F377" s="313">
        <v>0.14000000000000001</v>
      </c>
      <c r="G377" s="315">
        <v>0.15</v>
      </c>
    </row>
    <row r="378" spans="1:7">
      <c r="A378" s="318" t="s">
        <v>336</v>
      </c>
      <c r="B378" s="304" t="s">
        <v>2757</v>
      </c>
      <c r="C378" s="305">
        <v>0.15</v>
      </c>
      <c r="D378" s="305">
        <v>0.15</v>
      </c>
      <c r="E378" s="305">
        <v>0.15</v>
      </c>
      <c r="F378" s="305">
        <v>0.107</v>
      </c>
      <c r="G378" s="306">
        <v>0.15</v>
      </c>
    </row>
    <row r="379" spans="1:7">
      <c r="A379" s="319" t="s">
        <v>336</v>
      </c>
      <c r="B379" s="308" t="s">
        <v>2758</v>
      </c>
      <c r="C379" s="309">
        <v>0.15</v>
      </c>
      <c r="D379" s="309">
        <v>0.15</v>
      </c>
      <c r="E379" s="309">
        <v>0.15</v>
      </c>
      <c r="F379" s="309">
        <v>0.115</v>
      </c>
      <c r="G379" s="310">
        <v>0.14899999999999999</v>
      </c>
    </row>
    <row r="380" spans="1:7">
      <c r="A380" s="319" t="s">
        <v>336</v>
      </c>
      <c r="B380" s="308" t="s">
        <v>2759</v>
      </c>
      <c r="C380" s="309">
        <v>0.15</v>
      </c>
      <c r="D380" s="309">
        <v>0.15</v>
      </c>
      <c r="E380" s="309">
        <v>0.15</v>
      </c>
      <c r="F380" s="309">
        <v>0.1</v>
      </c>
      <c r="G380" s="310">
        <v>0.14799999999999999</v>
      </c>
    </row>
    <row r="381" spans="1:7">
      <c r="A381" s="319" t="s">
        <v>336</v>
      </c>
      <c r="B381" s="308" t="s">
        <v>2760</v>
      </c>
      <c r="C381" s="309">
        <v>0.15</v>
      </c>
      <c r="D381" s="309">
        <v>0.15</v>
      </c>
      <c r="E381" s="309">
        <v>0.15</v>
      </c>
      <c r="F381" s="309">
        <v>0.126</v>
      </c>
      <c r="G381" s="310">
        <v>0.15</v>
      </c>
    </row>
    <row r="382" spans="1:7">
      <c r="A382" s="319" t="s">
        <v>336</v>
      </c>
      <c r="B382" s="308" t="s">
        <v>2761</v>
      </c>
      <c r="C382" s="309">
        <v>0.15</v>
      </c>
      <c r="D382" s="309">
        <v>0.15</v>
      </c>
      <c r="E382" s="309">
        <v>0.15</v>
      </c>
      <c r="F382" s="309">
        <v>0.15</v>
      </c>
      <c r="G382" s="310">
        <v>0.15</v>
      </c>
    </row>
    <row r="383" spans="1:7">
      <c r="A383" s="319" t="s">
        <v>336</v>
      </c>
      <c r="B383" s="308" t="s">
        <v>2762</v>
      </c>
      <c r="C383" s="309">
        <v>0.15</v>
      </c>
      <c r="D383" s="309">
        <v>0.15</v>
      </c>
      <c r="E383" s="309">
        <v>0.15</v>
      </c>
      <c r="F383" s="309">
        <v>0.14699999999999999</v>
      </c>
      <c r="G383" s="310">
        <v>0.15</v>
      </c>
    </row>
    <row r="384" spans="1:7">
      <c r="A384" s="329" t="s">
        <v>336</v>
      </c>
      <c r="B384" s="330" t="s">
        <v>2763</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ht="14.25">
      <c r="A1" s="3498" t="s">
        <v>2764</v>
      </c>
      <c r="B1" s="3498"/>
      <c r="C1" s="3498"/>
      <c r="D1" s="3498"/>
      <c r="E1" s="3498"/>
      <c r="F1" s="3499"/>
    </row>
    <row r="2" spans="1:6" ht="14.25">
      <c r="A2" s="292" t="s">
        <v>2765</v>
      </c>
    </row>
    <row r="3" spans="1:6" ht="14.25">
      <c r="A3" s="292" t="s">
        <v>2766</v>
      </c>
      <c r="F3" s="293" t="s">
        <v>2767</v>
      </c>
    </row>
    <row r="4" spans="1:6">
      <c r="A4" s="294" t="s">
        <v>445</v>
      </c>
      <c r="B4" s="294" t="s">
        <v>229</v>
      </c>
      <c r="C4" s="294" t="s">
        <v>230</v>
      </c>
      <c r="D4" s="294" t="s">
        <v>2768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45980</v>
      </c>
      <c r="B1" s="227" t="s">
        <v>2769</v>
      </c>
      <c r="C1" s="228"/>
      <c r="D1" s="228"/>
      <c r="E1" s="228"/>
      <c r="F1" s="228"/>
      <c r="G1" s="228"/>
      <c r="H1" s="228"/>
      <c r="I1" s="228"/>
      <c r="J1" s="229"/>
      <c r="K1" s="228" t="s">
        <v>2770</v>
      </c>
      <c r="L1" s="228"/>
      <c r="M1" s="228"/>
      <c r="N1" s="228"/>
      <c r="O1" s="228"/>
      <c r="P1" s="228"/>
      <c r="Q1" s="229"/>
      <c r="R1" s="3500" t="s">
        <v>2771</v>
      </c>
      <c r="S1" s="3501"/>
      <c r="T1" s="3501"/>
      <c r="U1" s="3501"/>
      <c r="V1" s="3501"/>
      <c r="W1" s="3501"/>
      <c r="X1" s="229"/>
      <c r="Y1" s="3500" t="s">
        <v>2772</v>
      </c>
      <c r="Z1" s="3501"/>
      <c r="AA1" s="3501"/>
      <c r="AB1" s="3501"/>
      <c r="AC1" s="3501"/>
      <c r="AD1" s="3501"/>
    </row>
    <row r="2" spans="1:44" s="104" customFormat="1">
      <c r="B2" s="230"/>
      <c r="C2" s="231"/>
      <c r="D2" s="113" t="s">
        <v>2773</v>
      </c>
      <c r="E2" s="114" t="s">
        <v>229</v>
      </c>
      <c r="F2" s="114" t="s">
        <v>230</v>
      </c>
      <c r="G2" s="114" t="s">
        <v>232</v>
      </c>
      <c r="H2" s="114" t="s">
        <v>233</v>
      </c>
      <c r="I2" s="114" t="s">
        <v>231</v>
      </c>
      <c r="J2" s="232"/>
      <c r="K2" s="113" t="s">
        <v>2773</v>
      </c>
      <c r="L2" s="114" t="s">
        <v>229</v>
      </c>
      <c r="M2" s="114" t="s">
        <v>230</v>
      </c>
      <c r="N2" s="114" t="s">
        <v>232</v>
      </c>
      <c r="O2" s="114" t="s">
        <v>233</v>
      </c>
      <c r="P2" s="114" t="s">
        <v>231</v>
      </c>
      <c r="Q2" s="232"/>
      <c r="R2" s="113" t="s">
        <v>2773</v>
      </c>
      <c r="S2" s="114" t="s">
        <v>229</v>
      </c>
      <c r="T2" s="114" t="s">
        <v>230</v>
      </c>
      <c r="U2" s="114" t="s">
        <v>232</v>
      </c>
      <c r="V2" s="114" t="s">
        <v>233</v>
      </c>
      <c r="W2" s="114" t="s">
        <v>231</v>
      </c>
      <c r="X2" s="232"/>
      <c r="Y2" s="113" t="s">
        <v>2773</v>
      </c>
      <c r="Z2" s="114" t="s">
        <v>229</v>
      </c>
      <c r="AA2" s="114" t="s">
        <v>230</v>
      </c>
      <c r="AB2" s="114" t="s">
        <v>232</v>
      </c>
      <c r="AC2" s="114" t="s">
        <v>233</v>
      </c>
      <c r="AD2" s="114" t="s">
        <v>231</v>
      </c>
      <c r="AF2" t="s">
        <v>2773</v>
      </c>
      <c r="AG2" t="s">
        <v>229</v>
      </c>
      <c r="AH2" t="s">
        <v>230</v>
      </c>
      <c r="AI2" t="s">
        <v>232</v>
      </c>
      <c r="AJ2" t="s">
        <v>233</v>
      </c>
      <c r="AK2" t="s">
        <v>231</v>
      </c>
      <c r="AM2" t="s">
        <v>2773</v>
      </c>
      <c r="AN2" t="s">
        <v>229</v>
      </c>
      <c r="AO2" t="s">
        <v>230</v>
      </c>
      <c r="AP2" t="s">
        <v>232</v>
      </c>
      <c r="AQ2" t="s">
        <v>233</v>
      </c>
      <c r="AR2" t="s">
        <v>231</v>
      </c>
    </row>
    <row r="3" spans="1:44" s="223" customFormat="1" ht="12.75">
      <c r="A3" s="233" t="s">
        <v>2774</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2775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2776</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2777</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2778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2779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2780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2781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2782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2783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2784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2785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2786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2787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2788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2789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2790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2791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2792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2793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2794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2795</v>
      </c>
    </row>
    <row r="27" spans="1:44">
      <c r="I27" s="280" t="s">
        <v>1499</v>
      </c>
    </row>
    <row r="29" spans="1:44" s="103" customFormat="1" ht="12.75">
      <c r="B29" s="227" t="s">
        <v>2796</v>
      </c>
      <c r="C29" s="228"/>
      <c r="D29" s="228"/>
      <c r="E29" s="228"/>
      <c r="F29" s="228"/>
      <c r="G29" s="228"/>
      <c r="H29" s="228"/>
      <c r="I29" s="228"/>
      <c r="J29" s="229"/>
      <c r="K29" s="228" t="s">
        <v>2770</v>
      </c>
      <c r="L29" s="228"/>
      <c r="M29" s="228"/>
      <c r="N29" s="228"/>
      <c r="O29" s="228"/>
      <c r="P29" s="228"/>
      <c r="Q29" s="229"/>
      <c r="R29" s="3500" t="s">
        <v>2771</v>
      </c>
      <c r="S29" s="3501"/>
      <c r="T29" s="3501"/>
      <c r="U29" s="3501"/>
      <c r="V29" s="3501"/>
      <c r="W29" s="3501"/>
      <c r="X29" s="229"/>
      <c r="Y29" s="3500" t="s">
        <v>2772</v>
      </c>
      <c r="Z29" s="3501"/>
      <c r="AA29" s="3501"/>
      <c r="AB29" s="3501"/>
      <c r="AC29" s="3501"/>
      <c r="AD29" s="3501"/>
    </row>
    <row r="30" spans="1:44" s="104" customFormat="1">
      <c r="B30" s="230"/>
      <c r="C30" s="231"/>
      <c r="D30" s="113" t="s">
        <v>2773</v>
      </c>
      <c r="E30" s="114" t="s">
        <v>229</v>
      </c>
      <c r="F30" s="114" t="s">
        <v>230</v>
      </c>
      <c r="G30" s="114" t="s">
        <v>232</v>
      </c>
      <c r="H30" s="114"/>
      <c r="I30" s="114" t="s">
        <v>231</v>
      </c>
      <c r="J30" s="232"/>
      <c r="K30" s="113" t="s">
        <v>2773</v>
      </c>
      <c r="L30" s="114" t="s">
        <v>229</v>
      </c>
      <c r="M30" s="114" t="s">
        <v>230</v>
      </c>
      <c r="N30" s="114" t="s">
        <v>232</v>
      </c>
      <c r="O30" s="114"/>
      <c r="P30" s="114" t="s">
        <v>231</v>
      </c>
      <c r="Q30" s="232"/>
      <c r="R30" s="113" t="s">
        <v>2773</v>
      </c>
      <c r="S30" s="114" t="s">
        <v>229</v>
      </c>
      <c r="T30" s="114" t="s">
        <v>230</v>
      </c>
      <c r="U30" s="114" t="s">
        <v>232</v>
      </c>
      <c r="V30" s="114"/>
      <c r="W30" s="114" t="s">
        <v>231</v>
      </c>
      <c r="X30" s="232"/>
      <c r="Y30" s="113" t="s">
        <v>2773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2774</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2775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2776</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2777</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2778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2779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2780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2781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2782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2783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2784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2785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2786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2787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2788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2789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2790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2791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2792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2793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2794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2797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2798</v>
      </c>
      <c r="C1" s="3502"/>
      <c r="D1" s="3502"/>
      <c r="E1" s="3502"/>
      <c r="F1" s="3502"/>
      <c r="G1" s="3501" t="s">
        <v>2799</v>
      </c>
      <c r="H1" s="3501"/>
      <c r="I1" s="3501"/>
      <c r="J1" s="3501"/>
      <c r="K1" s="3501"/>
      <c r="L1" s="3501"/>
      <c r="N1" s="3501" t="s">
        <v>2770</v>
      </c>
      <c r="O1" s="3501"/>
      <c r="P1" s="3501"/>
      <c r="Q1" s="3501"/>
      <c r="S1" s="3501" t="s">
        <v>2800</v>
      </c>
      <c r="T1" s="3501"/>
      <c r="U1" s="3501"/>
      <c r="V1" s="3501"/>
      <c r="X1" s="3500" t="s">
        <v>2771</v>
      </c>
      <c r="Y1" s="3501"/>
      <c r="Z1" s="3501"/>
      <c r="AA1" s="3501"/>
      <c r="AB1" s="3501"/>
      <c r="AD1" s="3500" t="s">
        <v>2772</v>
      </c>
      <c r="AE1" s="3501"/>
      <c r="AF1" s="3501"/>
      <c r="AG1" s="3501"/>
      <c r="AH1" s="3501"/>
    </row>
    <row r="2" spans="1:34" s="104" customFormat="1" ht="13.5">
      <c r="B2" s="113" t="s">
        <v>474</v>
      </c>
      <c r="C2" s="113" t="s">
        <v>2801</v>
      </c>
      <c r="D2" s="114" t="s">
        <v>230</v>
      </c>
      <c r="E2" s="114" t="s">
        <v>232</v>
      </c>
      <c r="F2" s="113" t="s">
        <v>2802</v>
      </c>
      <c r="G2" s="115"/>
      <c r="I2" s="113" t="s">
        <v>474</v>
      </c>
      <c r="J2" s="114" t="s">
        <v>2099</v>
      </c>
      <c r="K2" s="114" t="s">
        <v>232</v>
      </c>
      <c r="L2" s="113" t="s">
        <v>2802</v>
      </c>
      <c r="N2" s="113" t="s">
        <v>474</v>
      </c>
      <c r="O2" s="114" t="s">
        <v>2099</v>
      </c>
      <c r="P2" s="114" t="s">
        <v>232</v>
      </c>
      <c r="Q2" s="113" t="s">
        <v>2802</v>
      </c>
      <c r="S2" s="113" t="s">
        <v>474</v>
      </c>
      <c r="T2" s="114" t="s">
        <v>2099</v>
      </c>
      <c r="U2" s="114" t="s">
        <v>232</v>
      </c>
      <c r="V2" s="113" t="s">
        <v>2802</v>
      </c>
      <c r="X2" s="113" t="s">
        <v>474</v>
      </c>
      <c r="Y2" s="113" t="s">
        <v>2801</v>
      </c>
      <c r="Z2" s="114" t="s">
        <v>230</v>
      </c>
      <c r="AA2" s="114" t="s">
        <v>232</v>
      </c>
      <c r="AB2" s="113" t="s">
        <v>2802</v>
      </c>
      <c r="AD2" s="113" t="s">
        <v>474</v>
      </c>
      <c r="AE2" s="113" t="s">
        <v>2801</v>
      </c>
      <c r="AF2" s="114" t="s">
        <v>230</v>
      </c>
      <c r="AG2" s="114" t="s">
        <v>232</v>
      </c>
      <c r="AH2" s="113" t="s">
        <v>2802</v>
      </c>
    </row>
    <row r="3" spans="1:34" s="105" customFormat="1" ht="14.25">
      <c r="A3" s="116" t="s">
        <v>2774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2787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2788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2803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2789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2790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2791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2792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2793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2794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2804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2805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2806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2807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2808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2809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2810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2811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2812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2813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2814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2815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2816</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2817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2818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2819</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2820</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2821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2822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2823</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2824</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2825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2826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2827</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2828</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2829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2830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2831</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2832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2833</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2834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2835</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2836</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2837</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2838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2839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2840</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2841</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2842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2843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2844</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2845</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2846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2847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2848</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2849</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2850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2851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2852</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2853</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2854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2855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2856</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2857</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2858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2859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2860</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2861</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2862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2863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2864</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2865</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2866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2867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2868</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2869</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2870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2871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2872</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2873</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2874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2875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2876</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2877</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2878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2879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2880</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2881</v>
      </c>
      <c r="G91" s="216"/>
      <c r="N91" s="216"/>
      <c r="S91" s="216"/>
    </row>
    <row r="92" spans="1:26" s="110" customFormat="1">
      <c r="A92" s="110" t="s">
        <v>2882</v>
      </c>
      <c r="G92" s="216"/>
      <c r="N92" s="216"/>
      <c r="S92" s="216"/>
    </row>
    <row r="93" spans="1:26" s="110" customFormat="1">
      <c r="A93" s="110" t="s">
        <v>2883</v>
      </c>
      <c r="G93" s="216"/>
      <c r="I93" s="217"/>
      <c r="J93" s="217"/>
      <c r="K93" s="217"/>
      <c r="L93" s="217"/>
      <c r="N93" s="218"/>
      <c r="O93" s="217"/>
      <c r="P93" s="217"/>
      <c r="Q93" s="217"/>
      <c r="S93" s="218"/>
      <c r="T93" s="217"/>
      <c r="U93" s="217"/>
      <c r="V93" s="217"/>
    </row>
    <row r="94" spans="1:26" s="110" customFormat="1">
      <c r="A94" s="110" t="s">
        <v>2884</v>
      </c>
      <c r="G94" s="216"/>
      <c r="N94" s="216"/>
      <c r="S94" s="216"/>
    </row>
    <row r="102" spans="7:22">
      <c r="G102" s="111"/>
      <c r="S102" s="219" t="s">
        <v>2885</v>
      </c>
      <c r="T102" s="161" t="s">
        <v>2886</v>
      </c>
      <c r="U102" s="161" t="s">
        <v>2887</v>
      </c>
      <c r="V102" s="161" t="s">
        <v>2888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2889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2890</v>
      </c>
      <c r="B2" s="78"/>
      <c r="C2" s="78"/>
      <c r="D2" s="78"/>
      <c r="E2" s="78"/>
      <c r="F2" s="78"/>
      <c r="G2" s="79" t="s">
        <v>2891</v>
      </c>
      <c r="I2" s="80" t="s">
        <v>2384</v>
      </c>
      <c r="J2" s="80" t="s">
        <v>2389</v>
      </c>
      <c r="K2" s="80" t="s">
        <v>2409</v>
      </c>
      <c r="L2" s="80" t="s">
        <v>2434</v>
      </c>
      <c r="M2" s="80" t="s">
        <v>2466</v>
      </c>
      <c r="N2" s="80" t="s">
        <v>2506</v>
      </c>
      <c r="O2" s="80" t="s">
        <v>2569</v>
      </c>
      <c r="P2" s="80" t="s">
        <v>2613</v>
      </c>
      <c r="Q2" s="80" t="s">
        <v>2656</v>
      </c>
      <c r="R2" s="80" t="s">
        <v>2706</v>
      </c>
      <c r="S2" s="80" t="s">
        <v>2737</v>
      </c>
      <c r="T2" s="80" t="s">
        <v>2757</v>
      </c>
    </row>
    <row r="3" spans="1:20" s="72" customFormat="1">
      <c r="A3" s="3513" t="s">
        <v>2382</v>
      </c>
      <c r="B3" s="81"/>
      <c r="C3" s="82" t="s">
        <v>229</v>
      </c>
      <c r="D3" s="82" t="s">
        <v>230</v>
      </c>
      <c r="E3" s="82" t="s">
        <v>232</v>
      </c>
      <c r="F3" s="82" t="s">
        <v>233</v>
      </c>
      <c r="G3" s="82" t="s">
        <v>231</v>
      </c>
      <c r="H3" s="83"/>
      <c r="I3" s="84" t="s">
        <v>2385</v>
      </c>
      <c r="J3" s="85" t="s">
        <v>2390</v>
      </c>
      <c r="K3" s="85" t="s">
        <v>2410</v>
      </c>
      <c r="L3" s="84" t="s">
        <v>2435</v>
      </c>
      <c r="M3" s="84" t="s">
        <v>2467</v>
      </c>
      <c r="N3" s="84" t="s">
        <v>2507</v>
      </c>
      <c r="O3" s="84" t="s">
        <v>2570</v>
      </c>
      <c r="P3" s="84" t="s">
        <v>2614</v>
      </c>
      <c r="Q3" s="84" t="s">
        <v>2657</v>
      </c>
      <c r="R3" s="84" t="s">
        <v>2707</v>
      </c>
      <c r="S3" s="84" t="s">
        <v>2738</v>
      </c>
      <c r="T3" s="84" t="s">
        <v>2758</v>
      </c>
    </row>
    <row r="4" spans="1:20" s="72" customFormat="1">
      <c r="A4" s="3514"/>
      <c r="B4" s="86" t="s">
        <v>2383</v>
      </c>
      <c r="C4" s="86" t="s">
        <v>2892</v>
      </c>
      <c r="D4" s="86" t="s">
        <v>2892</v>
      </c>
      <c r="E4" s="86" t="s">
        <v>2892</v>
      </c>
      <c r="F4" s="87" t="s">
        <v>2892</v>
      </c>
      <c r="G4" s="87" t="s">
        <v>2892</v>
      </c>
      <c r="H4" s="83"/>
      <c r="I4" s="85" t="s">
        <v>2386</v>
      </c>
      <c r="J4" s="85" t="s">
        <v>2391</v>
      </c>
      <c r="K4" s="85" t="s">
        <v>2411</v>
      </c>
      <c r="L4" s="84" t="s">
        <v>2436</v>
      </c>
      <c r="M4" s="84" t="s">
        <v>2468</v>
      </c>
      <c r="N4" s="84" t="s">
        <v>2508</v>
      </c>
      <c r="O4" s="84" t="s">
        <v>2571</v>
      </c>
      <c r="P4" s="84" t="s">
        <v>2615</v>
      </c>
      <c r="Q4" s="84" t="s">
        <v>2658</v>
      </c>
      <c r="R4" s="84" t="s">
        <v>2708</v>
      </c>
      <c r="S4" s="84" t="s">
        <v>2739</v>
      </c>
      <c r="T4" s="84" t="s">
        <v>2759</v>
      </c>
    </row>
    <row r="5" spans="1:20">
      <c r="A5" s="88" t="s">
        <v>235</v>
      </c>
      <c r="B5" s="80" t="s">
        <v>2384</v>
      </c>
      <c r="C5" s="80">
        <v>34550</v>
      </c>
      <c r="D5" s="80">
        <v>34470</v>
      </c>
      <c r="E5" s="80">
        <v>34330</v>
      </c>
      <c r="F5" s="80">
        <v>13400</v>
      </c>
      <c r="G5" s="80">
        <v>25450</v>
      </c>
      <c r="H5" s="83"/>
      <c r="I5" s="84" t="s">
        <v>2387</v>
      </c>
      <c r="J5" s="85" t="s">
        <v>2392</v>
      </c>
      <c r="K5" s="85" t="s">
        <v>2412</v>
      </c>
      <c r="L5" s="84" t="s">
        <v>2437</v>
      </c>
      <c r="M5" s="84" t="s">
        <v>2469</v>
      </c>
      <c r="N5" s="84" t="s">
        <v>2509</v>
      </c>
      <c r="O5" s="84" t="s">
        <v>2572</v>
      </c>
      <c r="P5" s="84" t="s">
        <v>2616</v>
      </c>
      <c r="Q5" s="84" t="s">
        <v>2659</v>
      </c>
      <c r="R5" s="84" t="s">
        <v>2709</v>
      </c>
      <c r="S5" s="84" t="s">
        <v>2740</v>
      </c>
      <c r="T5" s="84" t="s">
        <v>2760</v>
      </c>
    </row>
    <row r="6" spans="1:20">
      <c r="A6" s="84" t="s">
        <v>235</v>
      </c>
      <c r="B6" s="84" t="s">
        <v>2385</v>
      </c>
      <c r="C6" s="84">
        <v>36990</v>
      </c>
      <c r="D6" s="84">
        <v>36850</v>
      </c>
      <c r="E6" s="84">
        <v>36700</v>
      </c>
      <c r="F6" s="84">
        <v>14590</v>
      </c>
      <c r="G6" s="84">
        <v>27450</v>
      </c>
      <c r="H6" s="83"/>
      <c r="I6" s="89" t="s">
        <v>2388</v>
      </c>
      <c r="J6" s="85" t="s">
        <v>2393</v>
      </c>
      <c r="K6" s="85" t="s">
        <v>2413</v>
      </c>
      <c r="L6" s="84" t="s">
        <v>2438</v>
      </c>
      <c r="M6" s="84" t="s">
        <v>2470</v>
      </c>
      <c r="N6" s="84" t="s">
        <v>2510</v>
      </c>
      <c r="O6" s="84" t="s">
        <v>2573</v>
      </c>
      <c r="P6" s="84" t="s">
        <v>2617</v>
      </c>
      <c r="Q6" s="84" t="s">
        <v>2660</v>
      </c>
      <c r="R6" s="84" t="s">
        <v>2710</v>
      </c>
      <c r="S6" s="84" t="s">
        <v>2741</v>
      </c>
      <c r="T6" s="84" t="s">
        <v>2761</v>
      </c>
    </row>
    <row r="7" spans="1:20">
      <c r="A7" s="84" t="s">
        <v>235</v>
      </c>
      <c r="B7" s="85" t="s">
        <v>2386</v>
      </c>
      <c r="C7" s="84">
        <v>34850</v>
      </c>
      <c r="D7" s="84">
        <v>34690</v>
      </c>
      <c r="E7" s="84">
        <v>34550</v>
      </c>
      <c r="F7" s="84">
        <v>14360</v>
      </c>
      <c r="G7" s="84">
        <v>25620</v>
      </c>
      <c r="H7" s="83"/>
      <c r="J7" s="85" t="s">
        <v>2394</v>
      </c>
      <c r="K7" s="85" t="s">
        <v>2414</v>
      </c>
      <c r="L7" s="84" t="s">
        <v>2439</v>
      </c>
      <c r="M7" s="84" t="s">
        <v>2471</v>
      </c>
      <c r="N7" s="84" t="s">
        <v>2511</v>
      </c>
      <c r="O7" s="84" t="s">
        <v>2574</v>
      </c>
      <c r="P7" s="84" t="s">
        <v>2618</v>
      </c>
      <c r="Q7" s="84" t="s">
        <v>2661</v>
      </c>
      <c r="R7" s="84" t="s">
        <v>2711</v>
      </c>
      <c r="S7" s="84" t="s">
        <v>2742</v>
      </c>
      <c r="T7" s="84" t="s">
        <v>2762</v>
      </c>
    </row>
    <row r="8" spans="1:20">
      <c r="A8" s="84" t="s">
        <v>235</v>
      </c>
      <c r="B8" s="84" t="s">
        <v>2387</v>
      </c>
      <c r="C8" s="84">
        <v>32630</v>
      </c>
      <c r="D8" s="84">
        <v>32510</v>
      </c>
      <c r="E8" s="84">
        <v>32420</v>
      </c>
      <c r="F8" s="84">
        <v>13300</v>
      </c>
      <c r="G8" s="84">
        <v>24010</v>
      </c>
      <c r="H8" s="83"/>
      <c r="J8" s="85" t="s">
        <v>2395</v>
      </c>
      <c r="K8" s="85" t="s">
        <v>2415</v>
      </c>
      <c r="L8" s="84" t="s">
        <v>2440</v>
      </c>
      <c r="M8" s="84" t="s">
        <v>2472</v>
      </c>
      <c r="N8" s="84" t="s">
        <v>2512</v>
      </c>
      <c r="O8" s="84" t="s">
        <v>2575</v>
      </c>
      <c r="P8" s="84" t="s">
        <v>2619</v>
      </c>
      <c r="Q8" s="84" t="s">
        <v>2662</v>
      </c>
      <c r="R8" s="84" t="s">
        <v>2712</v>
      </c>
      <c r="S8" s="84" t="s">
        <v>2743</v>
      </c>
      <c r="T8" s="90" t="s">
        <v>2763</v>
      </c>
    </row>
    <row r="9" spans="1:20">
      <c r="A9" s="91" t="s">
        <v>235</v>
      </c>
      <c r="B9" s="89" t="s">
        <v>2388</v>
      </c>
      <c r="C9" s="90">
        <v>36370</v>
      </c>
      <c r="D9" s="90">
        <v>36210</v>
      </c>
      <c r="E9" s="90">
        <v>36050</v>
      </c>
      <c r="F9" s="90"/>
      <c r="G9" s="90">
        <v>26740</v>
      </c>
      <c r="H9" s="83"/>
      <c r="J9" s="85" t="s">
        <v>2396</v>
      </c>
      <c r="K9" s="85" t="s">
        <v>2416</v>
      </c>
      <c r="L9" s="84" t="s">
        <v>2441</v>
      </c>
      <c r="M9" s="84" t="s">
        <v>2473</v>
      </c>
      <c r="N9" s="84" t="s">
        <v>2513</v>
      </c>
      <c r="O9" s="84" t="s">
        <v>2576</v>
      </c>
      <c r="P9" s="84" t="s">
        <v>2620</v>
      </c>
      <c r="Q9" s="84" t="s">
        <v>2663</v>
      </c>
      <c r="R9" s="84" t="s">
        <v>2713</v>
      </c>
      <c r="S9" s="84" t="s">
        <v>2744</v>
      </c>
    </row>
    <row r="10" spans="1:20">
      <c r="A10" s="88" t="s">
        <v>251</v>
      </c>
      <c r="B10" s="80" t="s">
        <v>2389</v>
      </c>
      <c r="C10" s="84">
        <v>32350</v>
      </c>
      <c r="D10" s="84">
        <v>31430</v>
      </c>
      <c r="E10" s="84">
        <v>31320</v>
      </c>
      <c r="F10" s="84">
        <v>10850</v>
      </c>
      <c r="G10" s="84">
        <v>22860</v>
      </c>
      <c r="H10" s="83"/>
      <c r="J10" s="85" t="s">
        <v>2397</v>
      </c>
      <c r="K10" s="85" t="s">
        <v>2417</v>
      </c>
      <c r="L10" s="84" t="s">
        <v>2442</v>
      </c>
      <c r="M10" s="84" t="s">
        <v>2474</v>
      </c>
      <c r="N10" s="84" t="s">
        <v>2514</v>
      </c>
      <c r="O10" s="84" t="s">
        <v>2577</v>
      </c>
      <c r="P10" s="84" t="s">
        <v>2621</v>
      </c>
      <c r="Q10" s="84" t="s">
        <v>2664</v>
      </c>
      <c r="R10" s="84" t="s">
        <v>2714</v>
      </c>
      <c r="S10" s="84" t="s">
        <v>2745</v>
      </c>
    </row>
    <row r="11" spans="1:20">
      <c r="A11" s="84" t="s">
        <v>251</v>
      </c>
      <c r="B11" s="85" t="s">
        <v>2390</v>
      </c>
      <c r="C11" s="84">
        <v>31590</v>
      </c>
      <c r="D11" s="84">
        <v>29490</v>
      </c>
      <c r="E11" s="84">
        <v>28700</v>
      </c>
      <c r="F11" s="84">
        <v>10410</v>
      </c>
      <c r="G11" s="84">
        <v>21460</v>
      </c>
      <c r="H11" s="83"/>
      <c r="J11" s="85" t="s">
        <v>2398</v>
      </c>
      <c r="K11" s="85" t="s">
        <v>2418</v>
      </c>
      <c r="L11" s="84" t="s">
        <v>2443</v>
      </c>
      <c r="M11" s="84" t="s">
        <v>2475</v>
      </c>
      <c r="N11" s="84" t="s">
        <v>2515</v>
      </c>
      <c r="O11" s="84" t="s">
        <v>2578</v>
      </c>
      <c r="P11" s="84" t="s">
        <v>2622</v>
      </c>
      <c r="Q11" s="84" t="s">
        <v>2665</v>
      </c>
      <c r="R11" s="84" t="s">
        <v>2715</v>
      </c>
      <c r="S11" s="84" t="s">
        <v>2746</v>
      </c>
    </row>
    <row r="12" spans="1:20">
      <c r="A12" s="84" t="s">
        <v>251</v>
      </c>
      <c r="B12" s="85" t="s">
        <v>2391</v>
      </c>
      <c r="C12" s="84">
        <v>29640</v>
      </c>
      <c r="D12" s="84">
        <v>27550</v>
      </c>
      <c r="E12" s="84">
        <v>28010</v>
      </c>
      <c r="F12" s="84">
        <v>8730</v>
      </c>
      <c r="G12" s="84">
        <v>20050</v>
      </c>
      <c r="H12" s="83"/>
      <c r="J12" s="85" t="s">
        <v>2399</v>
      </c>
      <c r="K12" s="85" t="s">
        <v>2419</v>
      </c>
      <c r="L12" s="84" t="s">
        <v>2444</v>
      </c>
      <c r="M12" s="84" t="s">
        <v>2476</v>
      </c>
      <c r="N12" s="84" t="s">
        <v>2516</v>
      </c>
      <c r="O12" s="84" t="s">
        <v>2579</v>
      </c>
      <c r="P12" s="84" t="s">
        <v>2623</v>
      </c>
      <c r="Q12" s="84" t="s">
        <v>2666</v>
      </c>
      <c r="R12" s="84" t="s">
        <v>2716</v>
      </c>
      <c r="S12" s="84" t="s">
        <v>2747</v>
      </c>
    </row>
    <row r="13" spans="1:20">
      <c r="A13" s="84" t="s">
        <v>251</v>
      </c>
      <c r="B13" s="85" t="s">
        <v>2392</v>
      </c>
      <c r="C13" s="84">
        <v>29680</v>
      </c>
      <c r="D13" s="84">
        <v>27660</v>
      </c>
      <c r="E13" s="84">
        <v>28210</v>
      </c>
      <c r="F13" s="84">
        <v>9590</v>
      </c>
      <c r="G13" s="84">
        <v>20120</v>
      </c>
      <c r="H13" s="83"/>
      <c r="J13" s="85" t="s">
        <v>2400</v>
      </c>
      <c r="K13" s="85" t="s">
        <v>2420</v>
      </c>
      <c r="L13" s="84" t="s">
        <v>2445</v>
      </c>
      <c r="M13" s="84" t="s">
        <v>2477</v>
      </c>
      <c r="N13" s="84" t="s">
        <v>2517</v>
      </c>
      <c r="O13" s="84" t="s">
        <v>2580</v>
      </c>
      <c r="P13" s="84" t="s">
        <v>2624</v>
      </c>
      <c r="Q13" s="84" t="s">
        <v>2667</v>
      </c>
      <c r="R13" s="84" t="s">
        <v>2717</v>
      </c>
      <c r="S13" s="84" t="s">
        <v>2748</v>
      </c>
    </row>
    <row r="14" spans="1:20">
      <c r="A14" s="84" t="s">
        <v>251</v>
      </c>
      <c r="B14" s="85" t="s">
        <v>2393</v>
      </c>
      <c r="C14" s="84">
        <v>30520</v>
      </c>
      <c r="D14" s="84">
        <v>29510</v>
      </c>
      <c r="E14" s="84">
        <v>29400</v>
      </c>
      <c r="F14" s="84">
        <v>9630</v>
      </c>
      <c r="G14" s="84">
        <v>21480</v>
      </c>
      <c r="H14" s="83"/>
      <c r="J14" s="85" t="s">
        <v>2401</v>
      </c>
      <c r="K14" s="85" t="s">
        <v>2421</v>
      </c>
      <c r="L14" s="84" t="s">
        <v>2446</v>
      </c>
      <c r="M14" s="84" t="s">
        <v>2478</v>
      </c>
      <c r="N14" s="84" t="s">
        <v>2518</v>
      </c>
      <c r="O14" s="84" t="s">
        <v>2581</v>
      </c>
      <c r="P14" s="84" t="s">
        <v>2625</v>
      </c>
      <c r="Q14" s="84" t="s">
        <v>2668</v>
      </c>
      <c r="R14" s="84" t="s">
        <v>2718</v>
      </c>
      <c r="S14" s="84" t="s">
        <v>2749</v>
      </c>
    </row>
    <row r="15" spans="1:20">
      <c r="A15" s="84" t="s">
        <v>251</v>
      </c>
      <c r="B15" s="85" t="s">
        <v>2394</v>
      </c>
      <c r="C15" s="84">
        <v>29090</v>
      </c>
      <c r="D15" s="84">
        <v>27590</v>
      </c>
      <c r="E15" s="84">
        <v>28120</v>
      </c>
      <c r="F15" s="84">
        <v>9110</v>
      </c>
      <c r="G15" s="84">
        <v>20070</v>
      </c>
      <c r="H15" s="83"/>
      <c r="J15" s="85" t="s">
        <v>2402</v>
      </c>
      <c r="K15" s="85" t="s">
        <v>2422</v>
      </c>
      <c r="L15" s="84" t="s">
        <v>2447</v>
      </c>
      <c r="M15" s="84" t="s">
        <v>2479</v>
      </c>
      <c r="N15" s="84" t="s">
        <v>2519</v>
      </c>
      <c r="O15" s="84" t="s">
        <v>2582</v>
      </c>
      <c r="P15" s="84" t="s">
        <v>2626</v>
      </c>
      <c r="Q15" s="84" t="s">
        <v>2669</v>
      </c>
      <c r="R15" s="84" t="s">
        <v>2719</v>
      </c>
      <c r="S15" s="84" t="s">
        <v>2750</v>
      </c>
    </row>
    <row r="16" spans="1:20">
      <c r="A16" s="84" t="s">
        <v>251</v>
      </c>
      <c r="B16" s="85" t="s">
        <v>2395</v>
      </c>
      <c r="C16" s="84">
        <v>26790</v>
      </c>
      <c r="D16" s="84">
        <v>30370</v>
      </c>
      <c r="E16" s="84">
        <v>30240</v>
      </c>
      <c r="F16" s="84">
        <v>11590</v>
      </c>
      <c r="G16" s="84">
        <v>22090</v>
      </c>
      <c r="H16" s="83"/>
      <c r="J16" s="85" t="s">
        <v>2403</v>
      </c>
      <c r="K16" s="85" t="s">
        <v>2423</v>
      </c>
      <c r="L16" s="84" t="s">
        <v>2448</v>
      </c>
      <c r="M16" s="84" t="s">
        <v>2480</v>
      </c>
      <c r="N16" s="84" t="s">
        <v>2520</v>
      </c>
      <c r="O16" s="84" t="s">
        <v>2583</v>
      </c>
      <c r="P16" s="84" t="s">
        <v>2627</v>
      </c>
      <c r="Q16" s="84" t="s">
        <v>2670</v>
      </c>
      <c r="R16" s="84" t="s">
        <v>2720</v>
      </c>
      <c r="S16" s="84" t="s">
        <v>2751</v>
      </c>
    </row>
    <row r="17" spans="1:19" ht="14.25" customHeight="1">
      <c r="A17" s="84" t="s">
        <v>251</v>
      </c>
      <c r="B17" s="85" t="s">
        <v>2396</v>
      </c>
      <c r="C17" s="84">
        <v>29180</v>
      </c>
      <c r="D17" s="84">
        <v>27620</v>
      </c>
      <c r="E17" s="84">
        <v>28180</v>
      </c>
      <c r="F17" s="84">
        <v>10790</v>
      </c>
      <c r="G17" s="84">
        <v>20090</v>
      </c>
      <c r="H17" s="83"/>
      <c r="J17" s="85" t="s">
        <v>2404</v>
      </c>
      <c r="K17" s="85" t="s">
        <v>2424</v>
      </c>
      <c r="L17" s="84" t="s">
        <v>2449</v>
      </c>
      <c r="M17" s="84" t="s">
        <v>2481</v>
      </c>
      <c r="N17" s="84" t="s">
        <v>2521</v>
      </c>
      <c r="O17" s="84" t="s">
        <v>2584</v>
      </c>
      <c r="P17" s="84" t="s">
        <v>2628</v>
      </c>
      <c r="Q17" s="84" t="s">
        <v>2671</v>
      </c>
      <c r="R17" s="84" t="s">
        <v>2721</v>
      </c>
      <c r="S17" s="84" t="s">
        <v>2752</v>
      </c>
    </row>
    <row r="18" spans="1:19" ht="14.25" customHeight="1">
      <c r="A18" s="84" t="s">
        <v>251</v>
      </c>
      <c r="B18" s="85" t="s">
        <v>2397</v>
      </c>
      <c r="C18" s="84">
        <v>26840</v>
      </c>
      <c r="D18" s="84">
        <v>28930</v>
      </c>
      <c r="E18" s="84">
        <v>28820</v>
      </c>
      <c r="F18" s="84"/>
      <c r="G18" s="84">
        <v>21050</v>
      </c>
      <c r="H18" s="83"/>
      <c r="J18" s="85" t="s">
        <v>2405</v>
      </c>
      <c r="K18" s="85" t="s">
        <v>2425</v>
      </c>
      <c r="L18" s="84" t="s">
        <v>2450</v>
      </c>
      <c r="M18" s="84" t="s">
        <v>2482</v>
      </c>
      <c r="N18" s="84" t="s">
        <v>2522</v>
      </c>
      <c r="O18" s="84" t="s">
        <v>2585</v>
      </c>
      <c r="P18" s="84" t="s">
        <v>2629</v>
      </c>
      <c r="Q18" s="84" t="s">
        <v>2672</v>
      </c>
      <c r="R18" s="84" t="s">
        <v>2722</v>
      </c>
      <c r="S18" s="84" t="s">
        <v>2753</v>
      </c>
    </row>
    <row r="19" spans="1:19" ht="14.25" customHeight="1">
      <c r="A19" s="84" t="s">
        <v>251</v>
      </c>
      <c r="B19" s="85" t="s">
        <v>2398</v>
      </c>
      <c r="C19" s="84">
        <v>27750</v>
      </c>
      <c r="D19" s="84">
        <v>26680</v>
      </c>
      <c r="E19" s="84">
        <v>26590</v>
      </c>
      <c r="F19" s="84"/>
      <c r="G19" s="84">
        <v>19420</v>
      </c>
      <c r="H19" s="83"/>
      <c r="J19" s="85" t="s">
        <v>2406</v>
      </c>
      <c r="K19" s="85" t="s">
        <v>2426</v>
      </c>
      <c r="L19" s="84" t="s">
        <v>2451</v>
      </c>
      <c r="M19" s="84" t="s">
        <v>2483</v>
      </c>
      <c r="N19" s="84" t="s">
        <v>2523</v>
      </c>
      <c r="O19" s="84" t="s">
        <v>2586</v>
      </c>
      <c r="P19" s="84" t="s">
        <v>2630</v>
      </c>
      <c r="Q19" s="84" t="s">
        <v>2673</v>
      </c>
      <c r="R19" s="84" t="s">
        <v>2723</v>
      </c>
      <c r="S19" s="84" t="s">
        <v>2754</v>
      </c>
    </row>
    <row r="20" spans="1:19" ht="14.25" customHeight="1">
      <c r="A20" s="84" t="s">
        <v>251</v>
      </c>
      <c r="B20" s="85" t="s">
        <v>2399</v>
      </c>
      <c r="C20" s="84">
        <v>27050</v>
      </c>
      <c r="D20" s="84">
        <v>29010</v>
      </c>
      <c r="E20" s="84">
        <v>28910</v>
      </c>
      <c r="F20" s="84"/>
      <c r="G20" s="84">
        <v>21110</v>
      </c>
      <c r="J20" s="85" t="s">
        <v>2407</v>
      </c>
      <c r="K20" s="85" t="s">
        <v>2427</v>
      </c>
      <c r="L20" s="84" t="s">
        <v>2452</v>
      </c>
      <c r="M20" s="84" t="s">
        <v>2484</v>
      </c>
      <c r="N20" s="84" t="s">
        <v>2524</v>
      </c>
      <c r="O20" s="84" t="s">
        <v>2587</v>
      </c>
      <c r="P20" s="84" t="s">
        <v>2631</v>
      </c>
      <c r="Q20" s="84" t="s">
        <v>2674</v>
      </c>
      <c r="R20" s="84" t="s">
        <v>2724</v>
      </c>
      <c r="S20" s="84" t="s">
        <v>2755</v>
      </c>
    </row>
    <row r="21" spans="1:19" ht="14.25" customHeight="1">
      <c r="A21" s="84" t="s">
        <v>251</v>
      </c>
      <c r="B21" s="85" t="s">
        <v>2400</v>
      </c>
      <c r="C21" s="84">
        <v>32370</v>
      </c>
      <c r="D21" s="84">
        <v>26730</v>
      </c>
      <c r="E21" s="84">
        <v>26640</v>
      </c>
      <c r="F21" s="84"/>
      <c r="G21" s="84">
        <v>19440</v>
      </c>
      <c r="J21" s="90" t="s">
        <v>2408</v>
      </c>
      <c r="K21" s="85" t="s">
        <v>2428</v>
      </c>
      <c r="L21" s="84" t="s">
        <v>2453</v>
      </c>
      <c r="M21" s="84" t="s">
        <v>2485</v>
      </c>
      <c r="N21" s="84" t="s">
        <v>2525</v>
      </c>
      <c r="O21" s="84" t="s">
        <v>2588</v>
      </c>
      <c r="P21" s="84" t="s">
        <v>2632</v>
      </c>
      <c r="Q21" s="84" t="s">
        <v>2675</v>
      </c>
      <c r="R21" s="84" t="s">
        <v>2725</v>
      </c>
      <c r="S21" s="90" t="s">
        <v>2756</v>
      </c>
    </row>
    <row r="22" spans="1:19" ht="14.25" customHeight="1">
      <c r="A22" s="84" t="s">
        <v>251</v>
      </c>
      <c r="B22" s="85" t="s">
        <v>2401</v>
      </c>
      <c r="C22" s="84">
        <v>29830</v>
      </c>
      <c r="D22" s="84">
        <v>27600</v>
      </c>
      <c r="E22" s="84">
        <v>28150</v>
      </c>
      <c r="F22" s="84"/>
      <c r="G22" s="84">
        <v>20080</v>
      </c>
      <c r="K22" s="85" t="s">
        <v>2429</v>
      </c>
      <c r="L22" s="84" t="s">
        <v>2454</v>
      </c>
      <c r="M22" s="84" t="s">
        <v>2486</v>
      </c>
      <c r="N22" s="84" t="s">
        <v>2526</v>
      </c>
      <c r="O22" s="84" t="s">
        <v>2589</v>
      </c>
      <c r="P22" s="84" t="s">
        <v>2633</v>
      </c>
      <c r="Q22" s="84" t="s">
        <v>2676</v>
      </c>
      <c r="R22" s="84" t="s">
        <v>2726</v>
      </c>
    </row>
    <row r="23" spans="1:19" ht="14.25" customHeight="1">
      <c r="A23" s="84" t="s">
        <v>251</v>
      </c>
      <c r="B23" s="85" t="s">
        <v>2402</v>
      </c>
      <c r="C23" s="84">
        <v>27800</v>
      </c>
      <c r="D23" s="84">
        <v>26900</v>
      </c>
      <c r="E23" s="84">
        <v>27170</v>
      </c>
      <c r="F23" s="84"/>
      <c r="G23" s="84">
        <v>19570</v>
      </c>
      <c r="K23" s="85" t="s">
        <v>2430</v>
      </c>
      <c r="L23" s="84" t="s">
        <v>2455</v>
      </c>
      <c r="M23" s="84" t="s">
        <v>2487</v>
      </c>
      <c r="N23" s="84" t="s">
        <v>2527</v>
      </c>
      <c r="O23" s="84" t="s">
        <v>2590</v>
      </c>
      <c r="P23" s="84" t="s">
        <v>2634</v>
      </c>
      <c r="Q23" s="84" t="s">
        <v>2677</v>
      </c>
      <c r="R23" s="84" t="s">
        <v>2727</v>
      </c>
    </row>
    <row r="24" spans="1:19" ht="14.25" customHeight="1">
      <c r="A24" s="84" t="s">
        <v>251</v>
      </c>
      <c r="B24" s="85" t="s">
        <v>2403</v>
      </c>
      <c r="C24" s="84">
        <v>27930</v>
      </c>
      <c r="D24" s="84">
        <v>32260</v>
      </c>
      <c r="E24" s="84">
        <v>32120</v>
      </c>
      <c r="F24" s="84"/>
      <c r="G24" s="84">
        <v>23470</v>
      </c>
      <c r="K24" s="85" t="s">
        <v>2431</v>
      </c>
      <c r="L24" s="84" t="s">
        <v>2456</v>
      </c>
      <c r="M24" s="84" t="s">
        <v>2488</v>
      </c>
      <c r="N24" s="84" t="s">
        <v>2528</v>
      </c>
      <c r="O24" s="84" t="s">
        <v>2591</v>
      </c>
      <c r="P24" s="84" t="s">
        <v>2635</v>
      </c>
      <c r="Q24" s="92" t="s">
        <v>2678</v>
      </c>
      <c r="R24" s="84" t="s">
        <v>2728</v>
      </c>
    </row>
    <row r="25" spans="1:19" ht="14.25" customHeight="1">
      <c r="A25" s="84" t="s">
        <v>251</v>
      </c>
      <c r="B25" s="85" t="s">
        <v>2404</v>
      </c>
      <c r="C25" s="84">
        <v>32230</v>
      </c>
      <c r="D25" s="84">
        <v>29640</v>
      </c>
      <c r="E25" s="84">
        <v>29510</v>
      </c>
      <c r="F25" s="84"/>
      <c r="G25" s="84">
        <v>21560</v>
      </c>
      <c r="K25" s="85" t="s">
        <v>2432</v>
      </c>
      <c r="L25" s="84" t="s">
        <v>2457</v>
      </c>
      <c r="M25" s="84" t="s">
        <v>2489</v>
      </c>
      <c r="N25" s="84" t="s">
        <v>2529</v>
      </c>
      <c r="O25" s="84" t="s">
        <v>2592</v>
      </c>
      <c r="P25" s="84" t="s">
        <v>2636</v>
      </c>
      <c r="Q25" s="92" t="s">
        <v>2679</v>
      </c>
      <c r="R25" s="84" t="s">
        <v>2729</v>
      </c>
    </row>
    <row r="26" spans="1:19" ht="14.25" customHeight="1">
      <c r="A26" s="84" t="s">
        <v>251</v>
      </c>
      <c r="B26" s="85" t="s">
        <v>2405</v>
      </c>
      <c r="C26" s="84">
        <v>31690</v>
      </c>
      <c r="D26" s="84">
        <v>27650</v>
      </c>
      <c r="E26" s="84">
        <v>28200</v>
      </c>
      <c r="F26" s="84"/>
      <c r="G26" s="84">
        <v>20110</v>
      </c>
      <c r="K26" s="89" t="s">
        <v>2433</v>
      </c>
      <c r="L26" s="84" t="s">
        <v>2458</v>
      </c>
      <c r="M26" s="84" t="s">
        <v>2490</v>
      </c>
      <c r="N26" s="84" t="s">
        <v>2530</v>
      </c>
      <c r="O26" s="84" t="s">
        <v>2593</v>
      </c>
      <c r="P26" s="84" t="s">
        <v>2637</v>
      </c>
      <c r="Q26" s="92" t="s">
        <v>2680</v>
      </c>
      <c r="R26" s="84" t="s">
        <v>2730</v>
      </c>
    </row>
    <row r="27" spans="1:19" ht="14.25" customHeight="1">
      <c r="A27" s="84" t="s">
        <v>251</v>
      </c>
      <c r="B27" s="85" t="s">
        <v>2406</v>
      </c>
      <c r="C27" s="84">
        <v>29610</v>
      </c>
      <c r="D27" s="84">
        <v>27770</v>
      </c>
      <c r="E27" s="84">
        <v>28300</v>
      </c>
      <c r="F27" s="84"/>
      <c r="G27" s="84">
        <v>20210</v>
      </c>
      <c r="L27" s="84" t="s">
        <v>2459</v>
      </c>
      <c r="M27" s="84" t="s">
        <v>2491</v>
      </c>
      <c r="N27" s="84" t="s">
        <v>2531</v>
      </c>
      <c r="O27" s="84" t="s">
        <v>2594</v>
      </c>
      <c r="P27" s="84" t="s">
        <v>2638</v>
      </c>
      <c r="Q27" s="84" t="s">
        <v>2681</v>
      </c>
      <c r="R27" s="84" t="s">
        <v>2731</v>
      </c>
    </row>
    <row r="28" spans="1:19" ht="14.25" customHeight="1">
      <c r="A28" s="84" t="s">
        <v>251</v>
      </c>
      <c r="B28" s="85" t="s">
        <v>2407</v>
      </c>
      <c r="C28" s="84"/>
      <c r="D28" s="84">
        <v>31520</v>
      </c>
      <c r="E28" s="84">
        <v>31410</v>
      </c>
      <c r="F28" s="84"/>
      <c r="G28" s="84">
        <v>22940</v>
      </c>
      <c r="L28" s="84" t="s">
        <v>2460</v>
      </c>
      <c r="M28" s="84" t="s">
        <v>2492</v>
      </c>
      <c r="N28" s="84" t="s">
        <v>2532</v>
      </c>
      <c r="O28" s="84" t="s">
        <v>2595</v>
      </c>
      <c r="P28" s="84" t="s">
        <v>2639</v>
      </c>
      <c r="Q28" s="84" t="s">
        <v>2682</v>
      </c>
      <c r="R28" s="84" t="s">
        <v>2732</v>
      </c>
    </row>
    <row r="29" spans="1:19" ht="14.25" customHeight="1">
      <c r="A29" s="91" t="s">
        <v>251</v>
      </c>
      <c r="B29" s="93" t="s">
        <v>2408</v>
      </c>
      <c r="C29" s="94"/>
      <c r="D29" s="94">
        <v>29460</v>
      </c>
      <c r="E29" s="94">
        <v>28640</v>
      </c>
      <c r="F29" s="94"/>
      <c r="G29" s="94">
        <v>21430</v>
      </c>
      <c r="L29" s="84" t="s">
        <v>2461</v>
      </c>
      <c r="M29" s="84" t="s">
        <v>2493</v>
      </c>
      <c r="N29" s="84" t="s">
        <v>2533</v>
      </c>
      <c r="O29" s="84" t="s">
        <v>2596</v>
      </c>
      <c r="P29" s="84" t="s">
        <v>2640</v>
      </c>
      <c r="Q29" s="84" t="s">
        <v>2683</v>
      </c>
      <c r="R29" s="84" t="s">
        <v>2733</v>
      </c>
    </row>
    <row r="30" spans="1:19" ht="14.25" customHeight="1">
      <c r="A30" s="88" t="s">
        <v>264</v>
      </c>
      <c r="B30" s="80" t="s">
        <v>2409</v>
      </c>
      <c r="C30" s="80">
        <v>26890</v>
      </c>
      <c r="D30" s="80">
        <v>26770</v>
      </c>
      <c r="E30" s="80">
        <v>25700</v>
      </c>
      <c r="F30" s="80">
        <v>8180</v>
      </c>
      <c r="G30" s="95">
        <v>18740</v>
      </c>
      <c r="L30" s="84" t="s">
        <v>2462</v>
      </c>
      <c r="M30" s="84" t="s">
        <v>2494</v>
      </c>
      <c r="N30" s="84" t="s">
        <v>2534</v>
      </c>
      <c r="O30" s="84" t="s">
        <v>2597</v>
      </c>
      <c r="P30" s="84" t="s">
        <v>2641</v>
      </c>
      <c r="Q30" s="84" t="s">
        <v>2684</v>
      </c>
      <c r="R30" s="84" t="s">
        <v>2734</v>
      </c>
    </row>
    <row r="31" spans="1:19" ht="14.25" customHeight="1">
      <c r="A31" s="84" t="s">
        <v>264</v>
      </c>
      <c r="B31" s="85" t="s">
        <v>2410</v>
      </c>
      <c r="C31" s="84">
        <v>24550</v>
      </c>
      <c r="D31" s="84">
        <v>23990</v>
      </c>
      <c r="E31" s="84">
        <v>22930</v>
      </c>
      <c r="F31" s="84">
        <v>7470</v>
      </c>
      <c r="G31" s="96">
        <v>16790</v>
      </c>
      <c r="L31" s="84" t="s">
        <v>2463</v>
      </c>
      <c r="M31" s="84" t="s">
        <v>2495</v>
      </c>
      <c r="N31" s="84" t="s">
        <v>2535</v>
      </c>
      <c r="O31" s="84" t="s">
        <v>2598</v>
      </c>
      <c r="P31" s="84" t="s">
        <v>2642</v>
      </c>
      <c r="Q31" s="84" t="s">
        <v>2685</v>
      </c>
      <c r="R31" s="84" t="s">
        <v>2735</v>
      </c>
    </row>
    <row r="32" spans="1:19" ht="14.25" customHeight="1">
      <c r="A32" s="84" t="s">
        <v>264</v>
      </c>
      <c r="B32" s="85" t="s">
        <v>2411</v>
      </c>
      <c r="C32" s="84">
        <v>27210</v>
      </c>
      <c r="D32" s="84">
        <v>23240</v>
      </c>
      <c r="E32" s="84">
        <v>23260</v>
      </c>
      <c r="F32" s="84">
        <v>7130</v>
      </c>
      <c r="G32" s="96">
        <v>16270</v>
      </c>
      <c r="L32" s="84" t="s">
        <v>2464</v>
      </c>
      <c r="M32" s="84" t="s">
        <v>2496</v>
      </c>
      <c r="N32" s="84" t="s">
        <v>2536</v>
      </c>
      <c r="O32" s="84" t="s">
        <v>2599</v>
      </c>
      <c r="P32" s="84" t="s">
        <v>2643</v>
      </c>
      <c r="Q32" s="84" t="s">
        <v>2686</v>
      </c>
      <c r="R32" s="90" t="s">
        <v>2736</v>
      </c>
    </row>
    <row r="33" spans="1:17" ht="14.25" customHeight="1">
      <c r="A33" s="84" t="s">
        <v>264</v>
      </c>
      <c r="B33" s="85" t="s">
        <v>2412</v>
      </c>
      <c r="C33" s="84">
        <v>27300</v>
      </c>
      <c r="D33" s="84">
        <v>22980</v>
      </c>
      <c r="E33" s="84">
        <v>24260</v>
      </c>
      <c r="F33" s="84">
        <v>5860</v>
      </c>
      <c r="G33" s="96">
        <v>16090</v>
      </c>
      <c r="L33" s="90" t="s">
        <v>2465</v>
      </c>
      <c r="M33" s="84" t="s">
        <v>2497</v>
      </c>
      <c r="N33" s="84" t="s">
        <v>2537</v>
      </c>
      <c r="O33" s="84" t="s">
        <v>2600</v>
      </c>
      <c r="P33" s="84" t="s">
        <v>2644</v>
      </c>
      <c r="Q33" s="84" t="s">
        <v>2687</v>
      </c>
    </row>
    <row r="34" spans="1:17" ht="14.25" customHeight="1">
      <c r="A34" s="84" t="s">
        <v>264</v>
      </c>
      <c r="B34" s="85" t="s">
        <v>2413</v>
      </c>
      <c r="C34" s="84">
        <v>23090</v>
      </c>
      <c r="D34" s="84">
        <v>23390</v>
      </c>
      <c r="E34" s="84">
        <v>23510</v>
      </c>
      <c r="F34" s="84">
        <v>6700</v>
      </c>
      <c r="G34" s="96">
        <v>16370</v>
      </c>
      <c r="M34" s="84" t="s">
        <v>2498</v>
      </c>
      <c r="N34" s="84" t="s">
        <v>2538</v>
      </c>
      <c r="O34" s="84" t="s">
        <v>2601</v>
      </c>
      <c r="P34" s="84" t="s">
        <v>2645</v>
      </c>
      <c r="Q34" s="84" t="s">
        <v>2688</v>
      </c>
    </row>
    <row r="35" spans="1:17" ht="14.25" customHeight="1">
      <c r="A35" s="84" t="s">
        <v>264</v>
      </c>
      <c r="B35" s="85" t="s">
        <v>2414</v>
      </c>
      <c r="C35" s="84">
        <v>27270</v>
      </c>
      <c r="D35" s="84">
        <v>24270</v>
      </c>
      <c r="E35" s="84">
        <v>24950</v>
      </c>
      <c r="F35" s="84">
        <v>6600</v>
      </c>
      <c r="G35" s="96">
        <v>16990</v>
      </c>
      <c r="M35" s="84" t="s">
        <v>2499</v>
      </c>
      <c r="N35" s="84" t="s">
        <v>2539</v>
      </c>
      <c r="O35" s="84" t="s">
        <v>2602</v>
      </c>
      <c r="P35" s="84" t="s">
        <v>2646</v>
      </c>
      <c r="Q35" s="84" t="s">
        <v>2689</v>
      </c>
    </row>
    <row r="36" spans="1:17" ht="14.25" customHeight="1">
      <c r="A36" s="84" t="s">
        <v>264</v>
      </c>
      <c r="B36" s="85" t="s">
        <v>2415</v>
      </c>
      <c r="C36" s="84">
        <v>23490</v>
      </c>
      <c r="D36" s="84">
        <v>23020</v>
      </c>
      <c r="E36" s="84">
        <v>25230</v>
      </c>
      <c r="F36" s="84">
        <v>6780</v>
      </c>
      <c r="G36" s="96">
        <v>16120</v>
      </c>
      <c r="M36" s="84" t="s">
        <v>2500</v>
      </c>
      <c r="N36" s="84" t="s">
        <v>2540</v>
      </c>
      <c r="O36" s="84" t="s">
        <v>2603</v>
      </c>
      <c r="P36" s="84" t="s">
        <v>2647</v>
      </c>
      <c r="Q36" s="84" t="s">
        <v>2690</v>
      </c>
    </row>
    <row r="37" spans="1:17" ht="14.25" customHeight="1">
      <c r="A37" s="84" t="s">
        <v>264</v>
      </c>
      <c r="B37" s="85" t="s">
        <v>2416</v>
      </c>
      <c r="C37" s="84">
        <v>24380</v>
      </c>
      <c r="D37" s="84">
        <v>22240</v>
      </c>
      <c r="E37" s="84">
        <v>25980</v>
      </c>
      <c r="F37" s="84">
        <v>8160</v>
      </c>
      <c r="G37" s="96">
        <v>15570</v>
      </c>
      <c r="M37" s="84" t="s">
        <v>2501</v>
      </c>
      <c r="N37" s="84" t="s">
        <v>2541</v>
      </c>
      <c r="O37" s="84" t="s">
        <v>2604</v>
      </c>
      <c r="P37" s="84" t="s">
        <v>2648</v>
      </c>
      <c r="Q37" s="84" t="s">
        <v>2691</v>
      </c>
    </row>
    <row r="38" spans="1:17" ht="14.25" customHeight="1">
      <c r="A38" s="84" t="s">
        <v>264</v>
      </c>
      <c r="B38" s="85" t="s">
        <v>2417</v>
      </c>
      <c r="C38" s="84">
        <v>23120</v>
      </c>
      <c r="D38" s="84">
        <v>24630</v>
      </c>
      <c r="E38" s="84">
        <v>25030</v>
      </c>
      <c r="F38" s="84">
        <v>7710</v>
      </c>
      <c r="G38" s="96">
        <v>17240</v>
      </c>
      <c r="M38" s="84" t="s">
        <v>2502</v>
      </c>
      <c r="N38" s="84" t="s">
        <v>2542</v>
      </c>
      <c r="O38" s="84" t="s">
        <v>2605</v>
      </c>
      <c r="P38" s="84" t="s">
        <v>2649</v>
      </c>
      <c r="Q38" s="84" t="s">
        <v>2692</v>
      </c>
    </row>
    <row r="39" spans="1:17" ht="14.25" customHeight="1">
      <c r="A39" s="84" t="s">
        <v>264</v>
      </c>
      <c r="B39" s="85" t="s">
        <v>2418</v>
      </c>
      <c r="C39" s="84">
        <v>22330</v>
      </c>
      <c r="D39" s="84">
        <v>21140</v>
      </c>
      <c r="E39" s="84">
        <v>23970</v>
      </c>
      <c r="F39" s="84">
        <v>7940</v>
      </c>
      <c r="G39" s="96">
        <v>14790</v>
      </c>
      <c r="M39" s="84" t="s">
        <v>2503</v>
      </c>
      <c r="N39" s="84" t="s">
        <v>2543</v>
      </c>
      <c r="O39" s="84" t="s">
        <v>2893</v>
      </c>
      <c r="P39" s="84" t="s">
        <v>2650</v>
      </c>
      <c r="Q39" s="84" t="s">
        <v>2693</v>
      </c>
    </row>
    <row r="40" spans="1:17" ht="14.25" customHeight="1">
      <c r="A40" s="84" t="s">
        <v>264</v>
      </c>
      <c r="B40" s="85" t="s">
        <v>2419</v>
      </c>
      <c r="C40" s="84">
        <v>24740</v>
      </c>
      <c r="D40" s="84">
        <v>24690</v>
      </c>
      <c r="E40" s="84">
        <v>22610</v>
      </c>
      <c r="F40" s="84"/>
      <c r="G40" s="96">
        <v>17280</v>
      </c>
      <c r="M40" s="84" t="s">
        <v>2504</v>
      </c>
      <c r="N40" s="84" t="s">
        <v>2544</v>
      </c>
      <c r="O40" s="84" t="s">
        <v>2894</v>
      </c>
      <c r="P40" s="84" t="s">
        <v>2651</v>
      </c>
      <c r="Q40" s="84" t="s">
        <v>2694</v>
      </c>
    </row>
    <row r="41" spans="1:17" ht="14.25" customHeight="1">
      <c r="A41" s="84" t="s">
        <v>264</v>
      </c>
      <c r="B41" s="85" t="s">
        <v>2420</v>
      </c>
      <c r="C41" s="84">
        <v>21220</v>
      </c>
      <c r="D41" s="84">
        <v>21120</v>
      </c>
      <c r="E41" s="84">
        <v>22590</v>
      </c>
      <c r="F41" s="84"/>
      <c r="G41" s="96">
        <v>14780</v>
      </c>
      <c r="M41" s="90" t="s">
        <v>2505</v>
      </c>
      <c r="N41" s="84" t="s">
        <v>2545</v>
      </c>
      <c r="O41" s="84" t="s">
        <v>2895</v>
      </c>
      <c r="P41" s="84" t="s">
        <v>2652</v>
      </c>
      <c r="Q41" s="84" t="s">
        <v>2695</v>
      </c>
    </row>
    <row r="42" spans="1:17" ht="14.25" customHeight="1">
      <c r="A42" s="84" t="s">
        <v>264</v>
      </c>
      <c r="B42" s="85" t="s">
        <v>2421</v>
      </c>
      <c r="C42" s="84">
        <v>24800</v>
      </c>
      <c r="D42" s="84">
        <v>22280</v>
      </c>
      <c r="E42" s="84">
        <v>24350</v>
      </c>
      <c r="F42" s="84"/>
      <c r="G42" s="96">
        <v>15590</v>
      </c>
      <c r="N42" s="84" t="s">
        <v>2546</v>
      </c>
      <c r="O42" s="84" t="s">
        <v>2609</v>
      </c>
      <c r="P42" s="84" t="s">
        <v>2653</v>
      </c>
      <c r="Q42" s="84" t="s">
        <v>2696</v>
      </c>
    </row>
    <row r="43" spans="1:17" ht="14.25" customHeight="1">
      <c r="A43" s="84" t="s">
        <v>264</v>
      </c>
      <c r="B43" s="85" t="s">
        <v>2422</v>
      </c>
      <c r="C43" s="84">
        <v>21210</v>
      </c>
      <c r="D43" s="84">
        <v>21160</v>
      </c>
      <c r="E43" s="84">
        <v>22650</v>
      </c>
      <c r="F43" s="84"/>
      <c r="G43" s="96">
        <v>14800</v>
      </c>
      <c r="N43" s="84" t="s">
        <v>2547</v>
      </c>
      <c r="O43" s="84" t="s">
        <v>2610</v>
      </c>
      <c r="P43" s="84" t="s">
        <v>2654</v>
      </c>
      <c r="Q43" s="84" t="s">
        <v>2697</v>
      </c>
    </row>
    <row r="44" spans="1:17" ht="14.25" customHeight="1">
      <c r="A44" s="84" t="s">
        <v>264</v>
      </c>
      <c r="B44" s="85" t="s">
        <v>2423</v>
      </c>
      <c r="C44" s="84">
        <v>22370</v>
      </c>
      <c r="D44" s="84">
        <v>23140</v>
      </c>
      <c r="E44" s="84">
        <v>25090</v>
      </c>
      <c r="F44" s="84"/>
      <c r="G44" s="96">
        <v>16190</v>
      </c>
      <c r="N44" s="84" t="s">
        <v>2548</v>
      </c>
      <c r="O44" s="84" t="s">
        <v>2896</v>
      </c>
      <c r="P44" s="90" t="s">
        <v>2655</v>
      </c>
      <c r="Q44" s="84" t="s">
        <v>2698</v>
      </c>
    </row>
    <row r="45" spans="1:17" ht="14.25" customHeight="1">
      <c r="A45" s="84" t="s">
        <v>264</v>
      </c>
      <c r="B45" s="85" t="s">
        <v>2424</v>
      </c>
      <c r="C45" s="84">
        <v>21240</v>
      </c>
      <c r="D45" s="84">
        <v>27050</v>
      </c>
      <c r="E45" s="84">
        <v>28000</v>
      </c>
      <c r="F45" s="84"/>
      <c r="G45" s="96">
        <v>18940</v>
      </c>
      <c r="N45" s="84" t="s">
        <v>2549</v>
      </c>
      <c r="O45" s="90" t="s">
        <v>2612</v>
      </c>
      <c r="Q45" s="84" t="s">
        <v>2699</v>
      </c>
    </row>
    <row r="46" spans="1:17" ht="14.25" customHeight="1">
      <c r="A46" s="84" t="s">
        <v>264</v>
      </c>
      <c r="B46" s="85" t="s">
        <v>2425</v>
      </c>
      <c r="C46" s="84">
        <v>23240</v>
      </c>
      <c r="D46" s="84">
        <v>23000</v>
      </c>
      <c r="E46" s="84">
        <v>24980</v>
      </c>
      <c r="F46" s="84"/>
      <c r="G46" s="96">
        <v>16100</v>
      </c>
      <c r="N46" s="84" t="s">
        <v>2550</v>
      </c>
      <c r="Q46" s="84" t="s">
        <v>2700</v>
      </c>
    </row>
    <row r="47" spans="1:17" ht="14.25" customHeight="1">
      <c r="A47" s="84" t="s">
        <v>264</v>
      </c>
      <c r="B47" s="85" t="s">
        <v>2426</v>
      </c>
      <c r="C47" s="84">
        <v>27150</v>
      </c>
      <c r="D47" s="84">
        <v>23310</v>
      </c>
      <c r="E47" s="84">
        <v>25150</v>
      </c>
      <c r="F47" s="84"/>
      <c r="G47" s="96">
        <v>16310</v>
      </c>
      <c r="N47" s="84" t="s">
        <v>2551</v>
      </c>
      <c r="Q47" s="84" t="s">
        <v>2701</v>
      </c>
    </row>
    <row r="48" spans="1:17" ht="14.25" customHeight="1">
      <c r="A48" s="84" t="s">
        <v>264</v>
      </c>
      <c r="B48" s="85" t="s">
        <v>2427</v>
      </c>
      <c r="C48" s="84">
        <v>23100</v>
      </c>
      <c r="D48" s="84">
        <v>21110</v>
      </c>
      <c r="E48" s="84">
        <v>23080</v>
      </c>
      <c r="F48" s="84"/>
      <c r="G48" s="96">
        <v>14780</v>
      </c>
      <c r="N48" s="84" t="s">
        <v>2552</v>
      </c>
      <c r="Q48" s="84" t="s">
        <v>2702</v>
      </c>
    </row>
    <row r="49" spans="1:17" ht="14.25" customHeight="1">
      <c r="A49" s="84" t="s">
        <v>264</v>
      </c>
      <c r="B49" s="85" t="s">
        <v>2428</v>
      </c>
      <c r="C49" s="84">
        <v>23400</v>
      </c>
      <c r="D49" s="84">
        <v>22920</v>
      </c>
      <c r="E49" s="84">
        <v>24900</v>
      </c>
      <c r="F49" s="84"/>
      <c r="G49" s="96">
        <v>16040</v>
      </c>
      <c r="N49" s="84" t="s">
        <v>2553</v>
      </c>
      <c r="Q49" s="84" t="s">
        <v>2703</v>
      </c>
    </row>
    <row r="50" spans="1:17" ht="14.25" customHeight="1">
      <c r="A50" s="84" t="s">
        <v>264</v>
      </c>
      <c r="B50" s="85" t="s">
        <v>2429</v>
      </c>
      <c r="C50" s="84">
        <v>21200</v>
      </c>
      <c r="D50" s="84">
        <v>26540</v>
      </c>
      <c r="E50" s="84">
        <v>23200</v>
      </c>
      <c r="F50" s="84"/>
      <c r="G50" s="96">
        <v>18580</v>
      </c>
      <c r="N50" s="84" t="s">
        <v>2554</v>
      </c>
      <c r="Q50" s="85" t="s">
        <v>2704</v>
      </c>
    </row>
    <row r="51" spans="1:17" ht="14.25" customHeight="1">
      <c r="A51" s="84" t="s">
        <v>264</v>
      </c>
      <c r="B51" s="85" t="s">
        <v>2430</v>
      </c>
      <c r="C51" s="84">
        <v>23000</v>
      </c>
      <c r="D51" s="84">
        <v>23460</v>
      </c>
      <c r="E51" s="84">
        <v>25290</v>
      </c>
      <c r="F51" s="84"/>
      <c r="G51" s="96">
        <v>16420</v>
      </c>
      <c r="N51" s="84" t="s">
        <v>2555</v>
      </c>
      <c r="Q51" s="90" t="s">
        <v>2705</v>
      </c>
    </row>
    <row r="52" spans="1:17" ht="14.25" customHeight="1">
      <c r="A52" s="84" t="s">
        <v>264</v>
      </c>
      <c r="B52" s="85" t="s">
        <v>2431</v>
      </c>
      <c r="C52" s="84">
        <v>26660</v>
      </c>
      <c r="D52" s="84">
        <v>22350</v>
      </c>
      <c r="E52" s="84">
        <v>22920</v>
      </c>
      <c r="F52" s="84"/>
      <c r="G52" s="96">
        <v>15640</v>
      </c>
      <c r="N52" s="84" t="s">
        <v>2556</v>
      </c>
    </row>
    <row r="53" spans="1:17" ht="14.25" customHeight="1">
      <c r="A53" s="84" t="s">
        <v>264</v>
      </c>
      <c r="B53" s="85" t="s">
        <v>2432</v>
      </c>
      <c r="C53" s="84">
        <v>23580</v>
      </c>
      <c r="D53" s="84"/>
      <c r="E53" s="84">
        <v>24280</v>
      </c>
      <c r="F53" s="84"/>
      <c r="G53" s="96"/>
      <c r="N53" s="84" t="s">
        <v>2557</v>
      </c>
    </row>
    <row r="54" spans="1:17" ht="14.25" customHeight="1">
      <c r="A54" s="97" t="s">
        <v>264</v>
      </c>
      <c r="B54" s="89" t="s">
        <v>2433</v>
      </c>
      <c r="C54" s="90">
        <v>22460</v>
      </c>
      <c r="D54" s="90"/>
      <c r="E54" s="90"/>
      <c r="F54" s="90"/>
      <c r="G54" s="98"/>
      <c r="N54" s="84" t="s">
        <v>2558</v>
      </c>
    </row>
    <row r="55" spans="1:17" ht="14.25" customHeight="1">
      <c r="A55" s="88" t="s">
        <v>275</v>
      </c>
      <c r="B55" s="80" t="s">
        <v>2434</v>
      </c>
      <c r="C55" s="84">
        <v>21970</v>
      </c>
      <c r="D55" s="84">
        <v>20370</v>
      </c>
      <c r="E55" s="84">
        <v>20180</v>
      </c>
      <c r="F55" s="84">
        <v>5730</v>
      </c>
      <c r="G55" s="84">
        <v>13820</v>
      </c>
      <c r="N55" s="84" t="s">
        <v>2559</v>
      </c>
    </row>
    <row r="56" spans="1:17" ht="14.25" customHeight="1">
      <c r="A56" s="84" t="s">
        <v>275</v>
      </c>
      <c r="B56" s="84" t="s">
        <v>2435</v>
      </c>
      <c r="C56" s="84">
        <v>20470</v>
      </c>
      <c r="D56" s="84">
        <v>20700</v>
      </c>
      <c r="E56" s="84">
        <v>20380</v>
      </c>
      <c r="F56" s="84">
        <v>4760</v>
      </c>
      <c r="G56" s="84">
        <v>14050</v>
      </c>
      <c r="N56" s="84" t="s">
        <v>2560</v>
      </c>
    </row>
    <row r="57" spans="1:17" ht="14.25" customHeight="1">
      <c r="A57" s="84" t="s">
        <v>275</v>
      </c>
      <c r="B57" s="84" t="s">
        <v>2436</v>
      </c>
      <c r="C57" s="84">
        <v>20790</v>
      </c>
      <c r="D57" s="84">
        <v>21370</v>
      </c>
      <c r="E57" s="84">
        <v>20890</v>
      </c>
      <c r="F57" s="84">
        <v>4910</v>
      </c>
      <c r="G57" s="84">
        <v>14510</v>
      </c>
      <c r="N57" s="84" t="s">
        <v>2561</v>
      </c>
    </row>
    <row r="58" spans="1:17" ht="14.25" customHeight="1">
      <c r="A58" s="84" t="s">
        <v>275</v>
      </c>
      <c r="B58" s="84" t="s">
        <v>2437</v>
      </c>
      <c r="C58" s="84">
        <v>21460</v>
      </c>
      <c r="D58" s="84">
        <v>20920</v>
      </c>
      <c r="E58" s="84">
        <v>23410</v>
      </c>
      <c r="F58" s="84">
        <v>5100</v>
      </c>
      <c r="G58" s="84">
        <v>14200</v>
      </c>
      <c r="N58" s="84" t="s">
        <v>2562</v>
      </c>
    </row>
    <row r="59" spans="1:17" ht="14.25" customHeight="1">
      <c r="A59" s="84" t="s">
        <v>275</v>
      </c>
      <c r="B59" s="84" t="s">
        <v>2438</v>
      </c>
      <c r="C59" s="84">
        <v>21000</v>
      </c>
      <c r="D59" s="84">
        <v>21550</v>
      </c>
      <c r="E59" s="84">
        <v>21150</v>
      </c>
      <c r="F59" s="84">
        <v>5250</v>
      </c>
      <c r="G59" s="84">
        <v>14630</v>
      </c>
      <c r="N59" s="84" t="s">
        <v>2563</v>
      </c>
    </row>
    <row r="60" spans="1:17" ht="14.25" customHeight="1">
      <c r="A60" s="84" t="s">
        <v>275</v>
      </c>
      <c r="B60" s="84" t="s">
        <v>2439</v>
      </c>
      <c r="C60" s="84">
        <v>21640</v>
      </c>
      <c r="D60" s="84">
        <v>21260</v>
      </c>
      <c r="E60" s="84">
        <v>24040</v>
      </c>
      <c r="F60" s="84">
        <v>4470</v>
      </c>
      <c r="G60" s="84">
        <v>14430</v>
      </c>
      <c r="N60" s="84" t="s">
        <v>2564</v>
      </c>
    </row>
    <row r="61" spans="1:17" ht="14.25" customHeight="1">
      <c r="A61" s="84" t="s">
        <v>275</v>
      </c>
      <c r="B61" s="84" t="s">
        <v>2440</v>
      </c>
      <c r="C61" s="84">
        <v>21330</v>
      </c>
      <c r="D61" s="84">
        <v>18640</v>
      </c>
      <c r="E61" s="84">
        <v>21190</v>
      </c>
      <c r="F61" s="84">
        <v>4180</v>
      </c>
      <c r="G61" s="84">
        <v>12650</v>
      </c>
      <c r="N61" s="84" t="s">
        <v>2565</v>
      </c>
    </row>
    <row r="62" spans="1:17" ht="14.25" customHeight="1">
      <c r="A62" s="84" t="s">
        <v>275</v>
      </c>
      <c r="B62" s="84" t="s">
        <v>2441</v>
      </c>
      <c r="C62" s="84">
        <v>18710</v>
      </c>
      <c r="D62" s="84">
        <v>19400</v>
      </c>
      <c r="E62" s="84">
        <v>23750</v>
      </c>
      <c r="F62" s="84">
        <v>4860</v>
      </c>
      <c r="G62" s="84">
        <v>13170</v>
      </c>
      <c r="N62" s="84" t="s">
        <v>2566</v>
      </c>
    </row>
    <row r="63" spans="1:17" ht="14.25" customHeight="1">
      <c r="A63" s="84" t="s">
        <v>275</v>
      </c>
      <c r="B63" s="84" t="s">
        <v>2442</v>
      </c>
      <c r="C63" s="84">
        <v>19480</v>
      </c>
      <c r="D63" s="84">
        <v>16830</v>
      </c>
      <c r="E63" s="84">
        <v>21590</v>
      </c>
      <c r="F63" s="84">
        <v>4560</v>
      </c>
      <c r="G63" s="84">
        <v>11420</v>
      </c>
      <c r="N63" s="84" t="s">
        <v>2567</v>
      </c>
    </row>
    <row r="64" spans="1:17" ht="14.25" customHeight="1">
      <c r="A64" s="84" t="s">
        <v>275</v>
      </c>
      <c r="B64" s="84" t="s">
        <v>2443</v>
      </c>
      <c r="C64" s="84">
        <v>16920</v>
      </c>
      <c r="D64" s="84">
        <v>19190</v>
      </c>
      <c r="E64" s="84">
        <v>22200</v>
      </c>
      <c r="F64" s="84">
        <v>4390</v>
      </c>
      <c r="G64" s="84">
        <v>13030</v>
      </c>
      <c r="N64" s="90" t="s">
        <v>2568</v>
      </c>
    </row>
    <row r="65" spans="1:7" s="73" customFormat="1" ht="14.25" customHeight="1">
      <c r="A65" s="84" t="s">
        <v>275</v>
      </c>
      <c r="B65" s="84" t="s">
        <v>2444</v>
      </c>
      <c r="C65" s="84">
        <v>19290</v>
      </c>
      <c r="D65" s="84">
        <v>17020</v>
      </c>
      <c r="E65" s="84">
        <v>19880</v>
      </c>
      <c r="F65" s="84">
        <v>4070</v>
      </c>
      <c r="G65" s="84">
        <v>11550</v>
      </c>
    </row>
    <row r="66" spans="1:7" s="73" customFormat="1" ht="14.25" customHeight="1">
      <c r="A66" s="84" t="s">
        <v>275</v>
      </c>
      <c r="B66" s="84" t="s">
        <v>2445</v>
      </c>
      <c r="C66" s="84">
        <v>17090</v>
      </c>
      <c r="D66" s="84">
        <v>18340</v>
      </c>
      <c r="E66" s="84">
        <v>21830</v>
      </c>
      <c r="F66" s="84">
        <v>4690</v>
      </c>
      <c r="G66" s="84">
        <v>12450</v>
      </c>
    </row>
    <row r="67" spans="1:7" s="73" customFormat="1" ht="14.25" customHeight="1">
      <c r="A67" s="84" t="s">
        <v>275</v>
      </c>
      <c r="B67" s="84" t="s">
        <v>2446</v>
      </c>
      <c r="C67" s="84">
        <v>18420</v>
      </c>
      <c r="D67" s="84">
        <v>16360</v>
      </c>
      <c r="E67" s="84">
        <v>20020</v>
      </c>
      <c r="F67" s="84">
        <v>5150</v>
      </c>
      <c r="G67" s="84">
        <v>11110</v>
      </c>
    </row>
    <row r="68" spans="1:7" s="73" customFormat="1" ht="14.25" customHeight="1">
      <c r="A68" s="84" t="s">
        <v>275</v>
      </c>
      <c r="B68" s="84" t="s">
        <v>2447</v>
      </c>
      <c r="C68" s="84">
        <v>16450</v>
      </c>
      <c r="D68" s="84">
        <v>18430</v>
      </c>
      <c r="E68" s="84">
        <v>21010</v>
      </c>
      <c r="F68" s="84">
        <v>4720</v>
      </c>
      <c r="G68" s="84">
        <v>12510</v>
      </c>
    </row>
    <row r="69" spans="1:7" s="73" customFormat="1" ht="14.25" customHeight="1">
      <c r="A69" s="84" t="s">
        <v>275</v>
      </c>
      <c r="B69" s="84" t="s">
        <v>2448</v>
      </c>
      <c r="C69" s="84">
        <v>18510</v>
      </c>
      <c r="D69" s="84">
        <v>16300</v>
      </c>
      <c r="E69" s="84">
        <v>18830</v>
      </c>
      <c r="F69" s="84">
        <v>5400</v>
      </c>
      <c r="G69" s="84">
        <v>11070</v>
      </c>
    </row>
    <row r="70" spans="1:7" s="73" customFormat="1" ht="14.25" customHeight="1">
      <c r="A70" s="84" t="s">
        <v>275</v>
      </c>
      <c r="B70" s="84" t="s">
        <v>2449</v>
      </c>
      <c r="C70" s="84">
        <v>16370</v>
      </c>
      <c r="D70" s="84">
        <v>18620</v>
      </c>
      <c r="E70" s="84">
        <v>21100</v>
      </c>
      <c r="F70" s="84">
        <v>5700</v>
      </c>
      <c r="G70" s="84">
        <v>12640</v>
      </c>
    </row>
    <row r="71" spans="1:7" s="73" customFormat="1" ht="14.25" customHeight="1">
      <c r="A71" s="84" t="s">
        <v>275</v>
      </c>
      <c r="B71" s="84" t="s">
        <v>2450</v>
      </c>
      <c r="C71" s="84">
        <v>18700</v>
      </c>
      <c r="D71" s="84">
        <v>16290</v>
      </c>
      <c r="E71" s="84">
        <v>18760</v>
      </c>
      <c r="F71" s="84">
        <v>4780</v>
      </c>
      <c r="G71" s="84">
        <v>11050</v>
      </c>
    </row>
    <row r="72" spans="1:7" s="73" customFormat="1" ht="14.25" customHeight="1">
      <c r="A72" s="84" t="s">
        <v>275</v>
      </c>
      <c r="B72" s="84" t="s">
        <v>2451</v>
      </c>
      <c r="C72" s="84">
        <v>16340</v>
      </c>
      <c r="D72" s="84">
        <v>17520</v>
      </c>
      <c r="E72" s="84">
        <v>21170</v>
      </c>
      <c r="F72" s="84"/>
      <c r="G72" s="84">
        <v>11900</v>
      </c>
    </row>
    <row r="73" spans="1:7" s="73" customFormat="1" ht="14.25" customHeight="1">
      <c r="A73" s="84" t="s">
        <v>275</v>
      </c>
      <c r="B73" s="84" t="s">
        <v>2452</v>
      </c>
      <c r="C73" s="84">
        <v>17610</v>
      </c>
      <c r="D73" s="84">
        <v>18520</v>
      </c>
      <c r="E73" s="84">
        <v>18720</v>
      </c>
      <c r="F73" s="84"/>
      <c r="G73" s="84">
        <v>12570</v>
      </c>
    </row>
    <row r="74" spans="1:7" s="73" customFormat="1" ht="14.25" customHeight="1">
      <c r="A74" s="84" t="s">
        <v>275</v>
      </c>
      <c r="B74" s="84" t="s">
        <v>2453</v>
      </c>
      <c r="C74" s="84">
        <v>18600</v>
      </c>
      <c r="D74" s="84">
        <v>16480</v>
      </c>
      <c r="E74" s="84">
        <v>20100</v>
      </c>
      <c r="F74" s="84"/>
      <c r="G74" s="84">
        <v>11190</v>
      </c>
    </row>
    <row r="75" spans="1:7" s="73" customFormat="1" ht="14.25" customHeight="1">
      <c r="A75" s="84" t="s">
        <v>275</v>
      </c>
      <c r="B75" s="84" t="s">
        <v>2454</v>
      </c>
      <c r="C75" s="84">
        <v>16570</v>
      </c>
      <c r="D75" s="84">
        <v>17530</v>
      </c>
      <c r="E75" s="84">
        <v>21030</v>
      </c>
      <c r="F75" s="84"/>
      <c r="G75" s="84">
        <v>11900</v>
      </c>
    </row>
    <row r="76" spans="1:7" s="73" customFormat="1" ht="14.25" customHeight="1">
      <c r="A76" s="84" t="s">
        <v>275</v>
      </c>
      <c r="B76" s="84" t="s">
        <v>2455</v>
      </c>
      <c r="C76" s="84">
        <v>17610</v>
      </c>
      <c r="D76" s="84">
        <v>20800</v>
      </c>
      <c r="E76" s="84">
        <v>18920</v>
      </c>
      <c r="F76" s="84"/>
      <c r="G76" s="84">
        <v>14120</v>
      </c>
    </row>
    <row r="77" spans="1:7" s="73" customFormat="1" ht="14.25" customHeight="1">
      <c r="A77" s="84" t="s">
        <v>275</v>
      </c>
      <c r="B77" s="84" t="s">
        <v>2456</v>
      </c>
      <c r="C77" s="84">
        <v>20890</v>
      </c>
      <c r="D77" s="84">
        <v>19740</v>
      </c>
      <c r="E77" s="84">
        <v>20110</v>
      </c>
      <c r="F77" s="84"/>
      <c r="G77" s="84">
        <v>13400</v>
      </c>
    </row>
    <row r="78" spans="1:7" s="73" customFormat="1" ht="14.25" customHeight="1">
      <c r="A78" s="84" t="s">
        <v>275</v>
      </c>
      <c r="B78" s="84" t="s">
        <v>2457</v>
      </c>
      <c r="C78" s="84">
        <v>19820</v>
      </c>
      <c r="D78" s="84">
        <v>19780</v>
      </c>
      <c r="E78" s="84">
        <v>18560</v>
      </c>
      <c r="F78" s="84"/>
      <c r="G78" s="84">
        <v>13430</v>
      </c>
    </row>
    <row r="79" spans="1:7" s="73" customFormat="1" ht="14.25" customHeight="1">
      <c r="A79" s="84" t="s">
        <v>275</v>
      </c>
      <c r="B79" s="84" t="s">
        <v>2458</v>
      </c>
      <c r="C79" s="84">
        <v>21660</v>
      </c>
      <c r="D79" s="84">
        <v>18000</v>
      </c>
      <c r="E79" s="84">
        <v>22570</v>
      </c>
      <c r="F79" s="84"/>
      <c r="G79" s="84">
        <v>12220</v>
      </c>
    </row>
    <row r="80" spans="1:7" s="73" customFormat="1" ht="14.25" customHeight="1">
      <c r="A80" s="84" t="s">
        <v>275</v>
      </c>
      <c r="B80" s="84" t="s">
        <v>2459</v>
      </c>
      <c r="C80" s="84">
        <v>19850</v>
      </c>
      <c r="D80" s="84"/>
      <c r="E80" s="84">
        <v>21700</v>
      </c>
      <c r="F80" s="84"/>
      <c r="G80" s="84"/>
    </row>
    <row r="81" spans="1:7" s="73" customFormat="1" ht="14.25" customHeight="1">
      <c r="A81" s="84" t="s">
        <v>275</v>
      </c>
      <c r="B81" s="84" t="s">
        <v>2460</v>
      </c>
      <c r="C81" s="84">
        <v>18080</v>
      </c>
      <c r="D81" s="84"/>
      <c r="E81" s="84">
        <v>20900</v>
      </c>
      <c r="F81" s="84"/>
      <c r="G81" s="84"/>
    </row>
    <row r="82" spans="1:7" s="73" customFormat="1" ht="14.25" customHeight="1">
      <c r="A82" s="84" t="s">
        <v>275</v>
      </c>
      <c r="B82" s="84" t="s">
        <v>2461</v>
      </c>
      <c r="C82" s="84"/>
      <c r="D82" s="84"/>
      <c r="E82" s="84">
        <v>20840</v>
      </c>
      <c r="F82" s="84"/>
      <c r="G82" s="84"/>
    </row>
    <row r="83" spans="1:7" s="73" customFormat="1" ht="14.25" customHeight="1">
      <c r="A83" s="84" t="s">
        <v>275</v>
      </c>
      <c r="B83" s="84" t="s">
        <v>2462</v>
      </c>
      <c r="C83" s="84"/>
      <c r="D83" s="84"/>
      <c r="E83" s="84"/>
      <c r="F83" s="84">
        <v>4770</v>
      </c>
      <c r="G83" s="84"/>
    </row>
    <row r="84" spans="1:7" s="73" customFormat="1" ht="14.25" customHeight="1">
      <c r="A84" s="84" t="s">
        <v>275</v>
      </c>
      <c r="B84" s="84" t="s">
        <v>2463</v>
      </c>
      <c r="C84" s="84"/>
      <c r="D84" s="84"/>
      <c r="E84" s="84"/>
      <c r="F84" s="84">
        <v>4600</v>
      </c>
      <c r="G84" s="84"/>
    </row>
    <row r="85" spans="1:7" s="73" customFormat="1" ht="14.25" customHeight="1">
      <c r="A85" s="84" t="s">
        <v>275</v>
      </c>
      <c r="B85" s="84" t="s">
        <v>2464</v>
      </c>
      <c r="C85" s="84"/>
      <c r="D85" s="84"/>
      <c r="E85" s="84"/>
      <c r="F85" s="84">
        <v>4680</v>
      </c>
      <c r="G85" s="84"/>
    </row>
    <row r="86" spans="1:7" s="73" customFormat="1" ht="14.25" customHeight="1">
      <c r="A86" s="91" t="s">
        <v>275</v>
      </c>
      <c r="B86" s="93" t="s">
        <v>2465</v>
      </c>
      <c r="C86" s="94">
        <v>16610</v>
      </c>
      <c r="D86" s="94">
        <v>16540</v>
      </c>
      <c r="E86" s="94">
        <v>18850</v>
      </c>
      <c r="F86" s="94"/>
      <c r="G86" s="94">
        <v>11220</v>
      </c>
    </row>
    <row r="87" spans="1:7" s="73" customFormat="1" ht="14.25" customHeight="1">
      <c r="A87" s="88" t="s">
        <v>286</v>
      </c>
      <c r="B87" s="80" t="s">
        <v>2466</v>
      </c>
      <c r="C87" s="80">
        <v>15240</v>
      </c>
      <c r="D87" s="80">
        <v>15170</v>
      </c>
      <c r="E87" s="80">
        <v>18260</v>
      </c>
      <c r="F87" s="80">
        <v>3830</v>
      </c>
      <c r="G87" s="95">
        <v>10020</v>
      </c>
    </row>
    <row r="88" spans="1:7" s="73" customFormat="1" ht="14.25" customHeight="1">
      <c r="A88" s="84" t="s">
        <v>286</v>
      </c>
      <c r="B88" s="84" t="s">
        <v>2467</v>
      </c>
      <c r="C88" s="84">
        <v>17310</v>
      </c>
      <c r="D88" s="84">
        <v>17220</v>
      </c>
      <c r="E88" s="84">
        <v>18610</v>
      </c>
      <c r="F88" s="84">
        <v>3990</v>
      </c>
      <c r="G88" s="96">
        <v>11380</v>
      </c>
    </row>
    <row r="89" spans="1:7" s="73" customFormat="1" ht="14.25" customHeight="1">
      <c r="A89" s="84" t="s">
        <v>286</v>
      </c>
      <c r="B89" s="84" t="s">
        <v>2468</v>
      </c>
      <c r="C89" s="84">
        <v>15600</v>
      </c>
      <c r="D89" s="84">
        <v>15550</v>
      </c>
      <c r="E89" s="84">
        <v>19200</v>
      </c>
      <c r="F89" s="84">
        <v>4110</v>
      </c>
      <c r="G89" s="96">
        <v>10270</v>
      </c>
    </row>
    <row r="90" spans="1:7" s="73" customFormat="1" ht="14.25" customHeight="1">
      <c r="A90" s="84" t="s">
        <v>286</v>
      </c>
      <c r="B90" s="84" t="s">
        <v>2469</v>
      </c>
      <c r="C90" s="84">
        <v>17330</v>
      </c>
      <c r="D90" s="84">
        <v>17240</v>
      </c>
      <c r="E90" s="84">
        <v>18570</v>
      </c>
      <c r="F90" s="84">
        <v>4070</v>
      </c>
      <c r="G90" s="96">
        <v>11390</v>
      </c>
    </row>
    <row r="91" spans="1:7" s="73" customFormat="1" ht="14.25" customHeight="1">
      <c r="A91" s="84" t="s">
        <v>286</v>
      </c>
      <c r="B91" s="84" t="s">
        <v>2470</v>
      </c>
      <c r="C91" s="84">
        <v>16330</v>
      </c>
      <c r="D91" s="84">
        <v>16260</v>
      </c>
      <c r="E91" s="84">
        <v>16800</v>
      </c>
      <c r="F91" s="84">
        <v>3410</v>
      </c>
      <c r="G91" s="96">
        <v>10740</v>
      </c>
    </row>
    <row r="92" spans="1:7" s="73" customFormat="1" ht="14.25" customHeight="1">
      <c r="A92" s="84" t="s">
        <v>286</v>
      </c>
      <c r="B92" s="84" t="s">
        <v>2471</v>
      </c>
      <c r="C92" s="84">
        <v>15570</v>
      </c>
      <c r="D92" s="84">
        <v>15500</v>
      </c>
      <c r="E92" s="84">
        <v>17360</v>
      </c>
      <c r="F92" s="84">
        <v>3510</v>
      </c>
      <c r="G92" s="96">
        <v>10240</v>
      </c>
    </row>
    <row r="93" spans="1:7" s="73" customFormat="1" ht="14.25" customHeight="1">
      <c r="A93" s="84" t="s">
        <v>286</v>
      </c>
      <c r="B93" s="84" t="s">
        <v>2472</v>
      </c>
      <c r="C93" s="84">
        <v>14000</v>
      </c>
      <c r="D93" s="84">
        <v>13930</v>
      </c>
      <c r="E93" s="84">
        <v>18200</v>
      </c>
      <c r="F93" s="84">
        <v>3640</v>
      </c>
      <c r="G93" s="96">
        <v>9210</v>
      </c>
    </row>
    <row r="94" spans="1:7" s="73" customFormat="1" ht="14.25" customHeight="1">
      <c r="A94" s="84" t="s">
        <v>286</v>
      </c>
      <c r="B94" s="84" t="s">
        <v>2473</v>
      </c>
      <c r="C94" s="84">
        <v>14530</v>
      </c>
      <c r="D94" s="84">
        <v>14470</v>
      </c>
      <c r="E94" s="84">
        <v>18240</v>
      </c>
      <c r="F94" s="84">
        <v>3180</v>
      </c>
      <c r="G94" s="96">
        <v>9560</v>
      </c>
    </row>
    <row r="95" spans="1:7" s="73" customFormat="1" ht="14.25" customHeight="1">
      <c r="A95" s="84" t="s">
        <v>286</v>
      </c>
      <c r="B95" s="84" t="s">
        <v>2474</v>
      </c>
      <c r="C95" s="84">
        <v>17330</v>
      </c>
      <c r="D95" s="84">
        <v>17260</v>
      </c>
      <c r="E95" s="84">
        <v>18420</v>
      </c>
      <c r="F95" s="84">
        <v>3060</v>
      </c>
      <c r="G95" s="96">
        <v>11410</v>
      </c>
    </row>
    <row r="96" spans="1:7" s="73" customFormat="1" ht="14.25" customHeight="1">
      <c r="A96" s="84" t="s">
        <v>286</v>
      </c>
      <c r="B96" s="84" t="s">
        <v>2475</v>
      </c>
      <c r="C96" s="84">
        <v>15030</v>
      </c>
      <c r="D96" s="84">
        <v>14970</v>
      </c>
      <c r="E96" s="84">
        <v>17580</v>
      </c>
      <c r="F96" s="84">
        <v>2970</v>
      </c>
      <c r="G96" s="96">
        <v>9890</v>
      </c>
    </row>
    <row r="97" spans="1:7" s="73" customFormat="1" ht="14.25" customHeight="1">
      <c r="A97" s="84" t="s">
        <v>286</v>
      </c>
      <c r="B97" s="84" t="s">
        <v>2476</v>
      </c>
      <c r="C97" s="84">
        <v>17400</v>
      </c>
      <c r="D97" s="84">
        <v>17330</v>
      </c>
      <c r="E97" s="84">
        <v>16430</v>
      </c>
      <c r="F97" s="84">
        <v>2950</v>
      </c>
      <c r="G97" s="96">
        <v>11450</v>
      </c>
    </row>
    <row r="98" spans="1:7" s="73" customFormat="1" ht="14.25" customHeight="1">
      <c r="A98" s="84" t="s">
        <v>286</v>
      </c>
      <c r="B98" s="84" t="s">
        <v>2477</v>
      </c>
      <c r="C98" s="84">
        <v>15200</v>
      </c>
      <c r="D98" s="84">
        <v>15120</v>
      </c>
      <c r="E98" s="84">
        <v>17550</v>
      </c>
      <c r="F98" s="84">
        <v>3080</v>
      </c>
      <c r="G98" s="96">
        <v>9990</v>
      </c>
    </row>
    <row r="99" spans="1:7" s="73" customFormat="1" ht="14.25" customHeight="1">
      <c r="A99" s="84" t="s">
        <v>286</v>
      </c>
      <c r="B99" s="84" t="s">
        <v>2478</v>
      </c>
      <c r="C99" s="84">
        <v>17520</v>
      </c>
      <c r="D99" s="84">
        <v>17430</v>
      </c>
      <c r="E99" s="84">
        <v>16350</v>
      </c>
      <c r="F99" s="84">
        <v>3260</v>
      </c>
      <c r="G99" s="96">
        <v>11510</v>
      </c>
    </row>
    <row r="100" spans="1:7" s="73" customFormat="1" ht="14.25" customHeight="1">
      <c r="A100" s="84" t="s">
        <v>286</v>
      </c>
      <c r="B100" s="84" t="s">
        <v>2479</v>
      </c>
      <c r="C100" s="84">
        <v>15340</v>
      </c>
      <c r="D100" s="84">
        <v>15260</v>
      </c>
      <c r="E100" s="84">
        <v>15930</v>
      </c>
      <c r="F100" s="84">
        <v>2740</v>
      </c>
      <c r="G100" s="96">
        <v>10080</v>
      </c>
    </row>
    <row r="101" spans="1:7" s="73" customFormat="1" ht="14.25" customHeight="1">
      <c r="A101" s="84" t="s">
        <v>286</v>
      </c>
      <c r="B101" s="84" t="s">
        <v>2480</v>
      </c>
      <c r="C101" s="84">
        <v>14620</v>
      </c>
      <c r="D101" s="84">
        <v>14560</v>
      </c>
      <c r="E101" s="84">
        <v>15570</v>
      </c>
      <c r="F101" s="84">
        <v>3500</v>
      </c>
      <c r="G101" s="96">
        <v>9630</v>
      </c>
    </row>
    <row r="102" spans="1:7" s="73" customFormat="1" ht="14.25" customHeight="1">
      <c r="A102" s="84" t="s">
        <v>286</v>
      </c>
      <c r="B102" s="84" t="s">
        <v>2481</v>
      </c>
      <c r="C102" s="84">
        <v>13680</v>
      </c>
      <c r="D102" s="84">
        <v>13610</v>
      </c>
      <c r="E102" s="84">
        <v>15690</v>
      </c>
      <c r="F102" s="84">
        <v>2870</v>
      </c>
      <c r="G102" s="96">
        <v>8990</v>
      </c>
    </row>
    <row r="103" spans="1:7" s="73" customFormat="1" ht="14.25" customHeight="1">
      <c r="A103" s="84" t="s">
        <v>286</v>
      </c>
      <c r="B103" s="84" t="s">
        <v>2482</v>
      </c>
      <c r="C103" s="84">
        <v>14620</v>
      </c>
      <c r="D103" s="84">
        <v>14540</v>
      </c>
      <c r="E103" s="84">
        <v>15240</v>
      </c>
      <c r="F103" s="84">
        <v>2840</v>
      </c>
      <c r="G103" s="96">
        <v>9610</v>
      </c>
    </row>
    <row r="104" spans="1:7" s="73" customFormat="1" ht="14.25" customHeight="1">
      <c r="A104" s="84" t="s">
        <v>286</v>
      </c>
      <c r="B104" s="84" t="s">
        <v>2483</v>
      </c>
      <c r="C104" s="84">
        <v>13610</v>
      </c>
      <c r="D104" s="84">
        <v>13540</v>
      </c>
      <c r="E104" s="84">
        <v>15750</v>
      </c>
      <c r="F104" s="84">
        <v>2770</v>
      </c>
      <c r="G104" s="96">
        <v>8940</v>
      </c>
    </row>
    <row r="105" spans="1:7" s="73" customFormat="1" ht="14.25" customHeight="1">
      <c r="A105" s="84" t="s">
        <v>286</v>
      </c>
      <c r="B105" s="84" t="s">
        <v>2484</v>
      </c>
      <c r="C105" s="84">
        <v>13310</v>
      </c>
      <c r="D105" s="84">
        <v>13240</v>
      </c>
      <c r="E105" s="84">
        <v>16280</v>
      </c>
      <c r="F105" s="84">
        <v>3210</v>
      </c>
      <c r="G105" s="96">
        <v>8750</v>
      </c>
    </row>
    <row r="106" spans="1:7" s="73" customFormat="1" ht="14.25" customHeight="1">
      <c r="A106" s="84" t="s">
        <v>286</v>
      </c>
      <c r="B106" s="84" t="s">
        <v>2485</v>
      </c>
      <c r="C106" s="84">
        <v>13010</v>
      </c>
      <c r="D106" s="84">
        <v>12930</v>
      </c>
      <c r="E106" s="84">
        <v>14960</v>
      </c>
      <c r="F106" s="84">
        <v>3530</v>
      </c>
      <c r="G106" s="96">
        <v>8550</v>
      </c>
    </row>
    <row r="107" spans="1:7" s="73" customFormat="1" ht="14.25" customHeight="1">
      <c r="A107" s="84" t="s">
        <v>286</v>
      </c>
      <c r="B107" s="84" t="s">
        <v>2486</v>
      </c>
      <c r="C107" s="84">
        <v>13070</v>
      </c>
      <c r="D107" s="84">
        <v>13000</v>
      </c>
      <c r="E107" s="84">
        <v>15910</v>
      </c>
      <c r="F107" s="84">
        <v>3990</v>
      </c>
      <c r="G107" s="96">
        <v>8580</v>
      </c>
    </row>
    <row r="108" spans="1:7" s="73" customFormat="1" ht="14.25" customHeight="1">
      <c r="A108" s="84" t="s">
        <v>286</v>
      </c>
      <c r="B108" s="84" t="s">
        <v>2487</v>
      </c>
      <c r="C108" s="84">
        <v>12640</v>
      </c>
      <c r="D108" s="84">
        <v>12580</v>
      </c>
      <c r="E108" s="84">
        <v>15730</v>
      </c>
      <c r="F108" s="84"/>
      <c r="G108" s="96">
        <v>8310</v>
      </c>
    </row>
    <row r="109" spans="1:7" s="73" customFormat="1" ht="14.25" customHeight="1">
      <c r="A109" s="84" t="s">
        <v>286</v>
      </c>
      <c r="B109" s="84" t="s">
        <v>2488</v>
      </c>
      <c r="C109" s="84">
        <v>13130</v>
      </c>
      <c r="D109" s="84">
        <v>13070</v>
      </c>
      <c r="E109" s="84">
        <v>15000</v>
      </c>
      <c r="F109" s="84"/>
      <c r="G109" s="96">
        <v>8630</v>
      </c>
    </row>
    <row r="110" spans="1:7" s="73" customFormat="1" ht="14.25" customHeight="1">
      <c r="A110" s="84" t="s">
        <v>286</v>
      </c>
      <c r="B110" s="84" t="s">
        <v>2489</v>
      </c>
      <c r="C110" s="84">
        <v>13560</v>
      </c>
      <c r="D110" s="84">
        <v>13490</v>
      </c>
      <c r="E110" s="84">
        <v>16300</v>
      </c>
      <c r="F110" s="84"/>
      <c r="G110" s="96">
        <v>8920</v>
      </c>
    </row>
    <row r="111" spans="1:7" s="73" customFormat="1" ht="14.25" customHeight="1">
      <c r="A111" s="84" t="s">
        <v>286</v>
      </c>
      <c r="B111" s="84" t="s">
        <v>2490</v>
      </c>
      <c r="C111" s="84">
        <v>12440</v>
      </c>
      <c r="D111" s="84">
        <v>12380</v>
      </c>
      <c r="E111" s="84">
        <v>17850</v>
      </c>
      <c r="F111" s="84"/>
      <c r="G111" s="96">
        <v>8180</v>
      </c>
    </row>
    <row r="112" spans="1:7" s="73" customFormat="1" ht="14.25" customHeight="1">
      <c r="A112" s="84" t="s">
        <v>286</v>
      </c>
      <c r="B112" s="84" t="s">
        <v>2491</v>
      </c>
      <c r="C112" s="84">
        <v>13260</v>
      </c>
      <c r="D112" s="84">
        <v>13180</v>
      </c>
      <c r="E112" s="84">
        <v>19740</v>
      </c>
      <c r="F112" s="84"/>
      <c r="G112" s="96">
        <v>8710</v>
      </c>
    </row>
    <row r="113" spans="1:7" s="73" customFormat="1" ht="14.25" customHeight="1">
      <c r="A113" s="84" t="s">
        <v>286</v>
      </c>
      <c r="B113" s="84" t="s">
        <v>2492</v>
      </c>
      <c r="C113" s="84">
        <v>15520</v>
      </c>
      <c r="D113" s="84">
        <v>15450</v>
      </c>
      <c r="E113" s="84"/>
      <c r="F113" s="84"/>
      <c r="G113" s="96">
        <v>10210</v>
      </c>
    </row>
    <row r="114" spans="1:7" s="73" customFormat="1" ht="14.25" customHeight="1">
      <c r="A114" s="84" t="s">
        <v>286</v>
      </c>
      <c r="B114" s="84" t="s">
        <v>2493</v>
      </c>
      <c r="C114" s="84">
        <v>13110</v>
      </c>
      <c r="D114" s="84">
        <v>13050</v>
      </c>
      <c r="E114" s="84"/>
      <c r="F114" s="84"/>
      <c r="G114" s="96">
        <v>8620</v>
      </c>
    </row>
    <row r="115" spans="1:7" s="73" customFormat="1" ht="14.25" customHeight="1">
      <c r="A115" s="84" t="s">
        <v>286</v>
      </c>
      <c r="B115" s="84" t="s">
        <v>2494</v>
      </c>
      <c r="C115" s="84">
        <v>12460</v>
      </c>
      <c r="D115" s="84">
        <v>12390</v>
      </c>
      <c r="E115" s="84"/>
      <c r="F115" s="84"/>
      <c r="G115" s="96">
        <v>8190</v>
      </c>
    </row>
    <row r="116" spans="1:7" s="73" customFormat="1" ht="14.25" customHeight="1">
      <c r="A116" s="84" t="s">
        <v>286</v>
      </c>
      <c r="B116" s="84" t="s">
        <v>2495</v>
      </c>
      <c r="C116" s="84">
        <v>13580</v>
      </c>
      <c r="D116" s="84">
        <v>13520</v>
      </c>
      <c r="E116" s="84"/>
      <c r="F116" s="84"/>
      <c r="G116" s="96">
        <v>8930</v>
      </c>
    </row>
    <row r="117" spans="1:7" s="73" customFormat="1" ht="14.25" customHeight="1">
      <c r="A117" s="84" t="s">
        <v>286</v>
      </c>
      <c r="B117" s="84" t="s">
        <v>2496</v>
      </c>
      <c r="C117" s="84">
        <v>17120</v>
      </c>
      <c r="D117" s="84">
        <v>17040</v>
      </c>
      <c r="E117" s="84"/>
      <c r="F117" s="84"/>
      <c r="G117" s="96">
        <v>11260</v>
      </c>
    </row>
    <row r="118" spans="1:7" s="73" customFormat="1" ht="14.25" customHeight="1">
      <c r="A118" s="84" t="s">
        <v>286</v>
      </c>
      <c r="B118" s="84" t="s">
        <v>2497</v>
      </c>
      <c r="C118" s="84">
        <v>14860</v>
      </c>
      <c r="D118" s="84">
        <v>14790</v>
      </c>
      <c r="E118" s="84"/>
      <c r="F118" s="84"/>
      <c r="G118" s="96">
        <v>9780</v>
      </c>
    </row>
    <row r="119" spans="1:7" s="73" customFormat="1" ht="14.25" customHeight="1">
      <c r="A119" s="84" t="s">
        <v>286</v>
      </c>
      <c r="B119" s="84" t="s">
        <v>2498</v>
      </c>
      <c r="C119" s="84">
        <v>16470</v>
      </c>
      <c r="D119" s="84">
        <v>16400</v>
      </c>
      <c r="E119" s="84"/>
      <c r="F119" s="84"/>
      <c r="G119" s="96">
        <v>10840</v>
      </c>
    </row>
    <row r="120" spans="1:7" s="73" customFormat="1" ht="14.25" customHeight="1">
      <c r="A120" s="84" t="s">
        <v>286</v>
      </c>
      <c r="B120" s="84" t="s">
        <v>2499</v>
      </c>
      <c r="C120" s="84"/>
      <c r="D120" s="84"/>
      <c r="E120" s="84"/>
      <c r="F120" s="84">
        <v>4160</v>
      </c>
      <c r="G120" s="96"/>
    </row>
    <row r="121" spans="1:7" s="73" customFormat="1" ht="14.25" customHeight="1">
      <c r="A121" s="84" t="s">
        <v>286</v>
      </c>
      <c r="B121" s="84" t="s">
        <v>2500</v>
      </c>
      <c r="C121" s="84"/>
      <c r="D121" s="84"/>
      <c r="E121" s="84"/>
      <c r="F121" s="84">
        <v>3880</v>
      </c>
      <c r="G121" s="96"/>
    </row>
    <row r="122" spans="1:7" s="73" customFormat="1" ht="14.25" customHeight="1">
      <c r="A122" s="84" t="s">
        <v>286</v>
      </c>
      <c r="B122" s="84" t="s">
        <v>2501</v>
      </c>
      <c r="C122" s="84">
        <v>13750</v>
      </c>
      <c r="D122" s="84">
        <v>13680</v>
      </c>
      <c r="E122" s="84">
        <v>16460</v>
      </c>
      <c r="F122" s="84">
        <v>2880</v>
      </c>
      <c r="G122" s="96">
        <v>9040</v>
      </c>
    </row>
    <row r="123" spans="1:7" s="73" customFormat="1" ht="14.25" customHeight="1">
      <c r="A123" s="84" t="s">
        <v>286</v>
      </c>
      <c r="B123" s="84" t="s">
        <v>2502</v>
      </c>
      <c r="C123" s="84">
        <v>13590</v>
      </c>
      <c r="D123" s="84">
        <v>13520</v>
      </c>
      <c r="E123" s="84">
        <v>16290</v>
      </c>
      <c r="F123" s="84">
        <v>2790</v>
      </c>
      <c r="G123" s="96">
        <v>8930</v>
      </c>
    </row>
    <row r="124" spans="1:7" s="73" customFormat="1" ht="14.25" customHeight="1">
      <c r="A124" s="84" t="s">
        <v>286</v>
      </c>
      <c r="B124" s="84" t="s">
        <v>2503</v>
      </c>
      <c r="C124" s="84">
        <v>13400</v>
      </c>
      <c r="D124" s="84">
        <v>13320</v>
      </c>
      <c r="E124" s="84">
        <v>16100</v>
      </c>
      <c r="F124" s="84">
        <v>2320</v>
      </c>
      <c r="G124" s="96">
        <v>8800</v>
      </c>
    </row>
    <row r="125" spans="1:7" s="73" customFormat="1" ht="14.25" customHeight="1">
      <c r="A125" s="84" t="s">
        <v>286</v>
      </c>
      <c r="B125" s="84" t="s">
        <v>2504</v>
      </c>
      <c r="C125" s="84">
        <v>12860</v>
      </c>
      <c r="D125" s="84">
        <v>12790</v>
      </c>
      <c r="E125" s="84">
        <v>15370</v>
      </c>
      <c r="F125" s="84">
        <v>2280</v>
      </c>
      <c r="G125" s="96">
        <v>8450</v>
      </c>
    </row>
    <row r="126" spans="1:7" s="73" customFormat="1" ht="14.25" customHeight="1">
      <c r="A126" s="97" t="s">
        <v>286</v>
      </c>
      <c r="B126" s="90" t="s">
        <v>2505</v>
      </c>
      <c r="C126" s="90">
        <v>12960</v>
      </c>
      <c r="D126" s="90">
        <v>12890</v>
      </c>
      <c r="E126" s="90">
        <v>15530</v>
      </c>
      <c r="F126" s="90">
        <v>2910</v>
      </c>
      <c r="G126" s="98">
        <v>8520</v>
      </c>
    </row>
    <row r="127" spans="1:7" s="73" customFormat="1" ht="14.25" customHeight="1">
      <c r="A127" s="88" t="s">
        <v>295</v>
      </c>
      <c r="B127" s="80" t="s">
        <v>2506</v>
      </c>
      <c r="C127" s="84">
        <v>12280</v>
      </c>
      <c r="D127" s="84">
        <v>12250</v>
      </c>
      <c r="E127" s="84">
        <v>15130</v>
      </c>
      <c r="F127" s="84">
        <v>2710</v>
      </c>
      <c r="G127" s="84">
        <v>7870</v>
      </c>
    </row>
    <row r="128" spans="1:7" s="73" customFormat="1" ht="14.25" customHeight="1">
      <c r="A128" s="84" t="s">
        <v>295</v>
      </c>
      <c r="B128" s="84" t="s">
        <v>2507</v>
      </c>
      <c r="C128" s="84">
        <v>13180</v>
      </c>
      <c r="D128" s="84">
        <v>13150</v>
      </c>
      <c r="E128" s="84">
        <v>16190</v>
      </c>
      <c r="F128" s="84">
        <v>2820</v>
      </c>
      <c r="G128" s="84">
        <v>8460</v>
      </c>
    </row>
    <row r="129" spans="1:7" s="73" customFormat="1" ht="14.25" customHeight="1">
      <c r="A129" s="84" t="s">
        <v>295</v>
      </c>
      <c r="B129" s="84" t="s">
        <v>2508</v>
      </c>
      <c r="C129" s="84">
        <v>10950</v>
      </c>
      <c r="D129" s="84">
        <v>10920</v>
      </c>
      <c r="E129" s="84">
        <v>13820</v>
      </c>
      <c r="F129" s="84">
        <v>2500</v>
      </c>
      <c r="G129" s="84">
        <v>7020</v>
      </c>
    </row>
    <row r="130" spans="1:7" s="73" customFormat="1" ht="14.25" customHeight="1">
      <c r="A130" s="84" t="s">
        <v>295</v>
      </c>
      <c r="B130" s="84" t="s">
        <v>2509</v>
      </c>
      <c r="C130" s="84">
        <v>10910</v>
      </c>
      <c r="D130" s="84">
        <v>10860</v>
      </c>
      <c r="E130" s="84">
        <v>13730</v>
      </c>
      <c r="F130" s="84">
        <v>2760</v>
      </c>
      <c r="G130" s="84">
        <v>6990</v>
      </c>
    </row>
    <row r="131" spans="1:7" s="73" customFormat="1" ht="14.25" customHeight="1">
      <c r="A131" s="84" t="s">
        <v>295</v>
      </c>
      <c r="B131" s="84" t="s">
        <v>2510</v>
      </c>
      <c r="C131" s="84">
        <v>12910</v>
      </c>
      <c r="D131" s="84">
        <v>12870</v>
      </c>
      <c r="E131" s="84">
        <v>15720</v>
      </c>
      <c r="F131" s="84">
        <v>2750</v>
      </c>
      <c r="G131" s="84">
        <v>8280</v>
      </c>
    </row>
    <row r="132" spans="1:7" s="73" customFormat="1" ht="14.25" customHeight="1">
      <c r="A132" s="84" t="s">
        <v>295</v>
      </c>
      <c r="B132" s="84" t="s">
        <v>2511</v>
      </c>
      <c r="C132" s="84">
        <v>11910</v>
      </c>
      <c r="D132" s="84">
        <v>11860</v>
      </c>
      <c r="E132" s="84">
        <v>14730</v>
      </c>
      <c r="F132" s="84">
        <v>2360</v>
      </c>
      <c r="G132" s="84">
        <v>7630</v>
      </c>
    </row>
    <row r="133" spans="1:7" s="73" customFormat="1" ht="14.25" customHeight="1">
      <c r="A133" s="84" t="s">
        <v>295</v>
      </c>
      <c r="B133" s="84" t="s">
        <v>2512</v>
      </c>
      <c r="C133" s="84">
        <v>12270</v>
      </c>
      <c r="D133" s="84">
        <v>12210</v>
      </c>
      <c r="E133" s="84">
        <v>15010</v>
      </c>
      <c r="F133" s="84">
        <v>2580</v>
      </c>
      <c r="G133" s="84">
        <v>7860</v>
      </c>
    </row>
    <row r="134" spans="1:7" s="73" customFormat="1" ht="14.25" customHeight="1">
      <c r="A134" s="84" t="s">
        <v>295</v>
      </c>
      <c r="B134" s="84" t="s">
        <v>2513</v>
      </c>
      <c r="C134" s="84">
        <v>10800</v>
      </c>
      <c r="D134" s="84">
        <v>10780</v>
      </c>
      <c r="E134" s="84">
        <v>13640</v>
      </c>
      <c r="F134" s="84">
        <v>2110</v>
      </c>
      <c r="G134" s="84">
        <v>6930</v>
      </c>
    </row>
    <row r="135" spans="1:7" s="73" customFormat="1" ht="14.25" customHeight="1">
      <c r="A135" s="84" t="s">
        <v>295</v>
      </c>
      <c r="B135" s="84" t="s">
        <v>2514</v>
      </c>
      <c r="C135" s="84">
        <v>10430</v>
      </c>
      <c r="D135" s="84">
        <v>10390</v>
      </c>
      <c r="E135" s="84">
        <v>13140</v>
      </c>
      <c r="F135" s="84">
        <v>2240</v>
      </c>
      <c r="G135" s="84">
        <v>6680</v>
      </c>
    </row>
    <row r="136" spans="1:7" s="73" customFormat="1" ht="14.25" customHeight="1">
      <c r="A136" s="84" t="s">
        <v>295</v>
      </c>
      <c r="B136" s="84" t="s">
        <v>2515</v>
      </c>
      <c r="C136" s="84">
        <v>11930</v>
      </c>
      <c r="D136" s="84">
        <v>11880</v>
      </c>
      <c r="E136" s="84">
        <v>14770</v>
      </c>
      <c r="F136" s="84">
        <v>1970</v>
      </c>
      <c r="G136" s="84">
        <v>7640</v>
      </c>
    </row>
    <row r="137" spans="1:7" s="73" customFormat="1" ht="14.25" customHeight="1">
      <c r="A137" s="84" t="s">
        <v>295</v>
      </c>
      <c r="B137" s="84" t="s">
        <v>2516</v>
      </c>
      <c r="C137" s="84">
        <v>10470</v>
      </c>
      <c r="D137" s="84">
        <v>10430</v>
      </c>
      <c r="E137" s="84">
        <v>13190</v>
      </c>
      <c r="F137" s="84">
        <v>1990</v>
      </c>
      <c r="G137" s="84">
        <v>6710</v>
      </c>
    </row>
    <row r="138" spans="1:7" s="73" customFormat="1" ht="14.25" customHeight="1">
      <c r="A138" s="84" t="s">
        <v>295</v>
      </c>
      <c r="B138" s="84" t="s">
        <v>2517</v>
      </c>
      <c r="C138" s="84">
        <v>10410</v>
      </c>
      <c r="D138" s="84">
        <v>10380</v>
      </c>
      <c r="E138" s="84">
        <v>13130</v>
      </c>
      <c r="F138" s="84">
        <v>2030</v>
      </c>
      <c r="G138" s="84">
        <v>6680</v>
      </c>
    </row>
    <row r="139" spans="1:7" s="73" customFormat="1" ht="14.25" customHeight="1">
      <c r="A139" s="84" t="s">
        <v>295</v>
      </c>
      <c r="B139" s="84" t="s">
        <v>2518</v>
      </c>
      <c r="C139" s="84">
        <v>9460</v>
      </c>
      <c r="D139" s="84">
        <v>9410</v>
      </c>
      <c r="E139" s="84">
        <v>12050</v>
      </c>
      <c r="F139" s="84">
        <v>2140</v>
      </c>
      <c r="G139" s="84">
        <v>6050</v>
      </c>
    </row>
    <row r="140" spans="1:7" s="73" customFormat="1" ht="14.25" customHeight="1">
      <c r="A140" s="84" t="s">
        <v>295</v>
      </c>
      <c r="B140" s="84" t="s">
        <v>2519</v>
      </c>
      <c r="C140" s="84">
        <v>11030</v>
      </c>
      <c r="D140" s="84">
        <v>10980</v>
      </c>
      <c r="E140" s="84">
        <v>13880</v>
      </c>
      <c r="F140" s="84">
        <v>2210</v>
      </c>
      <c r="G140" s="84">
        <v>7060</v>
      </c>
    </row>
    <row r="141" spans="1:7" s="73" customFormat="1" ht="14.25" customHeight="1">
      <c r="A141" s="84" t="s">
        <v>295</v>
      </c>
      <c r="B141" s="84" t="s">
        <v>2520</v>
      </c>
      <c r="C141" s="84">
        <v>11200</v>
      </c>
      <c r="D141" s="84">
        <v>11150</v>
      </c>
      <c r="E141" s="84">
        <v>14100</v>
      </c>
      <c r="F141" s="84">
        <v>2470</v>
      </c>
      <c r="G141" s="84">
        <v>7170</v>
      </c>
    </row>
    <row r="142" spans="1:7" s="73" customFormat="1" ht="14.25" customHeight="1">
      <c r="A142" s="84" t="s">
        <v>295</v>
      </c>
      <c r="B142" s="84" t="s">
        <v>2521</v>
      </c>
      <c r="C142" s="84">
        <v>10780</v>
      </c>
      <c r="D142" s="84">
        <v>10730</v>
      </c>
      <c r="E142" s="84">
        <v>13540</v>
      </c>
      <c r="F142" s="84">
        <v>2280</v>
      </c>
      <c r="G142" s="84">
        <v>6900</v>
      </c>
    </row>
    <row r="143" spans="1:7" s="73" customFormat="1" ht="14.25" customHeight="1">
      <c r="A143" s="84" t="s">
        <v>295</v>
      </c>
      <c r="B143" s="84" t="s">
        <v>2522</v>
      </c>
      <c r="C143" s="84">
        <v>11550</v>
      </c>
      <c r="D143" s="84">
        <v>11490</v>
      </c>
      <c r="E143" s="84">
        <v>14480</v>
      </c>
      <c r="F143" s="84">
        <v>2070</v>
      </c>
      <c r="G143" s="84">
        <v>7390</v>
      </c>
    </row>
    <row r="144" spans="1:7" s="73" customFormat="1" ht="14.25" customHeight="1">
      <c r="A144" s="84" t="s">
        <v>295</v>
      </c>
      <c r="B144" s="84" t="s">
        <v>2523</v>
      </c>
      <c r="C144" s="84">
        <v>10720</v>
      </c>
      <c r="D144" s="84">
        <v>10680</v>
      </c>
      <c r="E144" s="84">
        <v>13480</v>
      </c>
      <c r="F144" s="84">
        <v>2440</v>
      </c>
      <c r="G144" s="84">
        <v>6870</v>
      </c>
    </row>
    <row r="145" spans="1:7" s="73" customFormat="1" ht="14.25" customHeight="1">
      <c r="A145" s="84" t="s">
        <v>295</v>
      </c>
      <c r="B145" s="84" t="s">
        <v>2524</v>
      </c>
      <c r="C145" s="84">
        <v>10340</v>
      </c>
      <c r="D145" s="84">
        <v>10290</v>
      </c>
      <c r="E145" s="84">
        <v>12880</v>
      </c>
      <c r="F145" s="84">
        <v>2650</v>
      </c>
      <c r="G145" s="84">
        <v>6620</v>
      </c>
    </row>
    <row r="146" spans="1:7" s="73" customFormat="1" ht="14.25" customHeight="1">
      <c r="A146" s="84" t="s">
        <v>295</v>
      </c>
      <c r="B146" s="84" t="s">
        <v>2525</v>
      </c>
      <c r="C146" s="84">
        <v>11890</v>
      </c>
      <c r="D146" s="84">
        <v>11830</v>
      </c>
      <c r="E146" s="84">
        <v>14670</v>
      </c>
      <c r="F146" s="84"/>
      <c r="G146" s="84">
        <v>7610</v>
      </c>
    </row>
    <row r="147" spans="1:7" s="73" customFormat="1" ht="14.25" customHeight="1">
      <c r="A147" s="84" t="s">
        <v>295</v>
      </c>
      <c r="B147" s="84" t="s">
        <v>2526</v>
      </c>
      <c r="C147" s="84">
        <v>12650</v>
      </c>
      <c r="D147" s="84">
        <v>12600</v>
      </c>
      <c r="E147" s="84">
        <v>15440</v>
      </c>
      <c r="F147" s="84"/>
      <c r="G147" s="84">
        <v>8110</v>
      </c>
    </row>
    <row r="148" spans="1:7" s="73" customFormat="1" ht="14.25" customHeight="1">
      <c r="A148" s="84" t="s">
        <v>295</v>
      </c>
      <c r="B148" s="84" t="s">
        <v>2527</v>
      </c>
      <c r="C148" s="84">
        <v>10370</v>
      </c>
      <c r="D148" s="84">
        <v>10310</v>
      </c>
      <c r="E148" s="84">
        <v>12970</v>
      </c>
      <c r="F148" s="84"/>
      <c r="G148" s="84">
        <v>6630</v>
      </c>
    </row>
    <row r="149" spans="1:7" s="73" customFormat="1" ht="14.25" customHeight="1">
      <c r="A149" s="84" t="s">
        <v>295</v>
      </c>
      <c r="B149" s="84" t="s">
        <v>2528</v>
      </c>
      <c r="C149" s="84">
        <v>11600</v>
      </c>
      <c r="D149" s="84">
        <v>11560</v>
      </c>
      <c r="E149" s="84">
        <v>14540</v>
      </c>
      <c r="F149" s="84">
        <v>2390</v>
      </c>
      <c r="G149" s="84">
        <v>7430</v>
      </c>
    </row>
    <row r="150" spans="1:7" s="73" customFormat="1" ht="14.25" customHeight="1">
      <c r="A150" s="84" t="s">
        <v>295</v>
      </c>
      <c r="B150" s="84" t="s">
        <v>2529</v>
      </c>
      <c r="C150" s="84">
        <v>9950</v>
      </c>
      <c r="D150" s="84">
        <v>9890</v>
      </c>
      <c r="E150" s="84">
        <v>12590</v>
      </c>
      <c r="F150" s="84">
        <v>1970</v>
      </c>
      <c r="G150" s="84">
        <v>6360</v>
      </c>
    </row>
    <row r="151" spans="1:7" s="73" customFormat="1" ht="14.25" customHeight="1">
      <c r="A151" s="84" t="s">
        <v>295</v>
      </c>
      <c r="B151" s="84" t="s">
        <v>2530</v>
      </c>
      <c r="C151" s="84">
        <v>10700</v>
      </c>
      <c r="D151" s="84">
        <v>10650</v>
      </c>
      <c r="E151" s="84">
        <v>13420</v>
      </c>
      <c r="F151" s="84">
        <v>2020</v>
      </c>
      <c r="G151" s="84">
        <v>6850</v>
      </c>
    </row>
    <row r="152" spans="1:7" s="73" customFormat="1" ht="14.25" customHeight="1">
      <c r="A152" s="84" t="s">
        <v>295</v>
      </c>
      <c r="B152" s="84" t="s">
        <v>2531</v>
      </c>
      <c r="C152" s="84">
        <v>10310</v>
      </c>
      <c r="D152" s="84">
        <v>10260</v>
      </c>
      <c r="E152" s="84">
        <v>12820</v>
      </c>
      <c r="F152" s="84">
        <v>1980</v>
      </c>
      <c r="G152" s="84">
        <v>6600</v>
      </c>
    </row>
    <row r="153" spans="1:7" s="73" customFormat="1" ht="14.25" customHeight="1">
      <c r="A153" s="84" t="s">
        <v>295</v>
      </c>
      <c r="B153" s="84" t="s">
        <v>2532</v>
      </c>
      <c r="C153" s="84">
        <v>10880</v>
      </c>
      <c r="D153" s="84">
        <v>10820</v>
      </c>
      <c r="E153" s="84">
        <v>13660</v>
      </c>
      <c r="F153" s="84">
        <v>2260</v>
      </c>
      <c r="G153" s="84">
        <v>6970</v>
      </c>
    </row>
    <row r="154" spans="1:7" s="73" customFormat="1" ht="14.25" customHeight="1">
      <c r="A154" s="84" t="s">
        <v>295</v>
      </c>
      <c r="B154" s="84" t="s">
        <v>2533</v>
      </c>
      <c r="C154" s="84">
        <v>11220</v>
      </c>
      <c r="D154" s="84">
        <v>11160</v>
      </c>
      <c r="E154" s="84">
        <v>14130</v>
      </c>
      <c r="F154" s="84">
        <v>2230</v>
      </c>
      <c r="G154" s="84">
        <v>7180</v>
      </c>
    </row>
    <row r="155" spans="1:7" s="73" customFormat="1" ht="14.25" customHeight="1">
      <c r="A155" s="84" t="s">
        <v>295</v>
      </c>
      <c r="B155" s="84" t="s">
        <v>2534</v>
      </c>
      <c r="C155" s="84">
        <v>10430</v>
      </c>
      <c r="D155" s="84">
        <v>10380</v>
      </c>
      <c r="E155" s="84">
        <v>13140</v>
      </c>
      <c r="F155" s="84">
        <v>2080</v>
      </c>
      <c r="G155" s="84">
        <v>6650</v>
      </c>
    </row>
    <row r="156" spans="1:7" s="73" customFormat="1" ht="14.25" customHeight="1">
      <c r="A156" s="84" t="s">
        <v>295</v>
      </c>
      <c r="B156" s="84" t="s">
        <v>2535</v>
      </c>
      <c r="C156" s="84">
        <v>10440</v>
      </c>
      <c r="D156" s="84">
        <v>10400</v>
      </c>
      <c r="E156" s="84">
        <v>13150</v>
      </c>
      <c r="F156" s="84">
        <v>2490</v>
      </c>
      <c r="G156" s="84">
        <v>6690</v>
      </c>
    </row>
    <row r="157" spans="1:7" s="73" customFormat="1" ht="14.25" customHeight="1">
      <c r="A157" s="84" t="s">
        <v>295</v>
      </c>
      <c r="B157" s="84" t="s">
        <v>2536</v>
      </c>
      <c r="C157" s="84">
        <v>10970</v>
      </c>
      <c r="D157" s="84">
        <v>10920</v>
      </c>
      <c r="E157" s="84">
        <v>13840</v>
      </c>
      <c r="F157" s="84">
        <v>2420</v>
      </c>
      <c r="G157" s="84">
        <v>7020</v>
      </c>
    </row>
    <row r="158" spans="1:7" s="73" customFormat="1" ht="14.25" customHeight="1">
      <c r="A158" s="84" t="s">
        <v>295</v>
      </c>
      <c r="B158" s="84" t="s">
        <v>2537</v>
      </c>
      <c r="C158" s="84">
        <v>9590</v>
      </c>
      <c r="D158" s="84">
        <v>9540</v>
      </c>
      <c r="E158" s="84">
        <v>12210</v>
      </c>
      <c r="F158" s="84">
        <v>2100</v>
      </c>
      <c r="G158" s="84">
        <v>6130</v>
      </c>
    </row>
    <row r="159" spans="1:7" s="73" customFormat="1" ht="14.25" customHeight="1">
      <c r="A159" s="84" t="s">
        <v>295</v>
      </c>
      <c r="B159" s="84" t="s">
        <v>2538</v>
      </c>
      <c r="C159" s="84">
        <v>11190</v>
      </c>
      <c r="D159" s="84">
        <v>11140</v>
      </c>
      <c r="E159" s="84">
        <v>14090</v>
      </c>
      <c r="F159" s="84">
        <v>2470</v>
      </c>
      <c r="G159" s="84">
        <v>7170</v>
      </c>
    </row>
    <row r="160" spans="1:7" s="73" customFormat="1" ht="14.25" customHeight="1">
      <c r="A160" s="84" t="s">
        <v>295</v>
      </c>
      <c r="B160" s="84" t="s">
        <v>2539</v>
      </c>
      <c r="C160" s="84">
        <v>11180</v>
      </c>
      <c r="D160" s="84">
        <v>11140</v>
      </c>
      <c r="E160" s="84">
        <v>14050</v>
      </c>
      <c r="F160" s="84">
        <v>2270</v>
      </c>
      <c r="G160" s="84">
        <v>7170</v>
      </c>
    </row>
    <row r="161" spans="1:7" s="73" customFormat="1" ht="14.25" customHeight="1">
      <c r="A161" s="84" t="s">
        <v>295</v>
      </c>
      <c r="B161" s="84" t="s">
        <v>2540</v>
      </c>
      <c r="C161" s="84">
        <v>11160</v>
      </c>
      <c r="D161" s="84">
        <v>11120</v>
      </c>
      <c r="E161" s="84">
        <v>14020</v>
      </c>
      <c r="F161" s="84">
        <v>2150</v>
      </c>
      <c r="G161" s="84">
        <v>7160</v>
      </c>
    </row>
    <row r="162" spans="1:7" s="73" customFormat="1" ht="14.25" customHeight="1">
      <c r="A162" s="84" t="s">
        <v>295</v>
      </c>
      <c r="B162" s="84" t="s">
        <v>2541</v>
      </c>
      <c r="C162" s="84">
        <v>9620</v>
      </c>
      <c r="D162" s="84">
        <v>9570</v>
      </c>
      <c r="E162" s="84">
        <v>12320</v>
      </c>
      <c r="F162" s="84">
        <v>2010</v>
      </c>
      <c r="G162" s="84">
        <v>6160</v>
      </c>
    </row>
    <row r="163" spans="1:7" s="73" customFormat="1" ht="14.25" customHeight="1">
      <c r="A163" s="84" t="s">
        <v>295</v>
      </c>
      <c r="B163" s="84" t="s">
        <v>2542</v>
      </c>
      <c r="C163" s="84">
        <v>9320</v>
      </c>
      <c r="D163" s="84">
        <v>9270</v>
      </c>
      <c r="E163" s="84">
        <v>11790</v>
      </c>
      <c r="F163" s="84">
        <v>1920</v>
      </c>
      <c r="G163" s="84">
        <v>5960</v>
      </c>
    </row>
    <row r="164" spans="1:7" s="73" customFormat="1" ht="14.25" customHeight="1">
      <c r="A164" s="84" t="s">
        <v>295</v>
      </c>
      <c r="B164" s="84" t="s">
        <v>2543</v>
      </c>
      <c r="C164" s="84"/>
      <c r="D164" s="84"/>
      <c r="E164" s="84"/>
      <c r="F164" s="84">
        <v>1980</v>
      </c>
      <c r="G164" s="84"/>
    </row>
    <row r="165" spans="1:7" s="73" customFormat="1" ht="14.25" customHeight="1">
      <c r="A165" s="84" t="s">
        <v>295</v>
      </c>
      <c r="B165" s="84" t="s">
        <v>2544</v>
      </c>
      <c r="C165" s="84">
        <v>11060</v>
      </c>
      <c r="D165" s="84">
        <v>11030</v>
      </c>
      <c r="E165" s="84">
        <v>13850</v>
      </c>
      <c r="F165" s="84">
        <v>2170</v>
      </c>
      <c r="G165" s="84">
        <v>7090</v>
      </c>
    </row>
    <row r="166" spans="1:7" s="73" customFormat="1" ht="14.25" customHeight="1">
      <c r="A166" s="84" t="s">
        <v>295</v>
      </c>
      <c r="B166" s="84" t="s">
        <v>2545</v>
      </c>
      <c r="C166" s="84">
        <v>11050</v>
      </c>
      <c r="D166" s="84">
        <v>11010</v>
      </c>
      <c r="E166" s="84">
        <v>13920</v>
      </c>
      <c r="F166" s="84">
        <v>2140</v>
      </c>
      <c r="G166" s="84">
        <v>7080</v>
      </c>
    </row>
    <row r="167" spans="1:7" s="73" customFormat="1" ht="14.25" customHeight="1">
      <c r="A167" s="84" t="s">
        <v>295</v>
      </c>
      <c r="B167" s="84" t="s">
        <v>2546</v>
      </c>
      <c r="C167" s="84">
        <v>10930</v>
      </c>
      <c r="D167" s="84">
        <v>10890</v>
      </c>
      <c r="E167" s="84">
        <v>13790</v>
      </c>
      <c r="F167" s="84">
        <v>2010</v>
      </c>
      <c r="G167" s="84">
        <v>7000</v>
      </c>
    </row>
    <row r="168" spans="1:7" s="73" customFormat="1" ht="14.25" customHeight="1">
      <c r="A168" s="84" t="s">
        <v>295</v>
      </c>
      <c r="B168" s="84" t="s">
        <v>2547</v>
      </c>
      <c r="C168" s="84">
        <v>9420</v>
      </c>
      <c r="D168" s="84">
        <v>9380</v>
      </c>
      <c r="E168" s="84">
        <v>11970</v>
      </c>
      <c r="F168" s="84"/>
      <c r="G168" s="84">
        <v>6040</v>
      </c>
    </row>
    <row r="169" spans="1:7" s="73" customFormat="1" ht="14.25" customHeight="1">
      <c r="A169" s="84" t="s">
        <v>295</v>
      </c>
      <c r="B169" s="84" t="s">
        <v>2548</v>
      </c>
      <c r="C169" s="84"/>
      <c r="D169" s="84"/>
      <c r="E169" s="84"/>
      <c r="F169" s="84">
        <v>2880</v>
      </c>
      <c r="G169" s="84"/>
    </row>
    <row r="170" spans="1:7" s="73" customFormat="1" ht="14.25" customHeight="1">
      <c r="A170" s="84" t="s">
        <v>295</v>
      </c>
      <c r="B170" s="84" t="s">
        <v>2549</v>
      </c>
      <c r="C170" s="84"/>
      <c r="D170" s="84"/>
      <c r="E170" s="84"/>
      <c r="F170" s="84">
        <v>2880</v>
      </c>
      <c r="G170" s="84"/>
    </row>
    <row r="171" spans="1:7" s="73" customFormat="1" ht="14.25" customHeight="1">
      <c r="A171" s="84" t="s">
        <v>295</v>
      </c>
      <c r="B171" s="84" t="s">
        <v>2550</v>
      </c>
      <c r="C171" s="84"/>
      <c r="D171" s="84"/>
      <c r="E171" s="84"/>
      <c r="F171" s="84">
        <v>2880</v>
      </c>
      <c r="G171" s="84"/>
    </row>
    <row r="172" spans="1:7" s="73" customFormat="1" ht="14.25" customHeight="1">
      <c r="A172" s="84" t="s">
        <v>295</v>
      </c>
      <c r="B172" s="84" t="s">
        <v>2551</v>
      </c>
      <c r="C172" s="84"/>
      <c r="D172" s="84"/>
      <c r="E172" s="84"/>
      <c r="F172" s="84">
        <v>2880</v>
      </c>
      <c r="G172" s="84"/>
    </row>
    <row r="173" spans="1:7" s="73" customFormat="1" ht="14.25" customHeight="1">
      <c r="A173" s="84" t="s">
        <v>295</v>
      </c>
      <c r="B173" s="84" t="s">
        <v>2552</v>
      </c>
      <c r="C173" s="84"/>
      <c r="D173" s="84"/>
      <c r="E173" s="84"/>
      <c r="F173" s="84">
        <v>2150</v>
      </c>
      <c r="G173" s="84"/>
    </row>
    <row r="174" spans="1:7" s="73" customFormat="1" ht="14.25" customHeight="1">
      <c r="A174" s="84" t="s">
        <v>295</v>
      </c>
      <c r="B174" s="84" t="s">
        <v>2553</v>
      </c>
      <c r="C174" s="84"/>
      <c r="D174" s="84"/>
      <c r="E174" s="84"/>
      <c r="F174" s="84">
        <v>2030</v>
      </c>
      <c r="G174" s="84"/>
    </row>
    <row r="175" spans="1:7" s="73" customFormat="1" ht="14.25" customHeight="1">
      <c r="A175" s="84" t="s">
        <v>295</v>
      </c>
      <c r="B175" s="84" t="s">
        <v>2554</v>
      </c>
      <c r="C175" s="84"/>
      <c r="D175" s="84"/>
      <c r="E175" s="84"/>
      <c r="F175" s="84">
        <v>2780</v>
      </c>
      <c r="G175" s="84"/>
    </row>
    <row r="176" spans="1:7" s="73" customFormat="1" ht="14.25" customHeight="1">
      <c r="A176" s="84" t="s">
        <v>295</v>
      </c>
      <c r="B176" s="84" t="s">
        <v>2555</v>
      </c>
      <c r="C176" s="84"/>
      <c r="D176" s="84"/>
      <c r="E176" s="84"/>
      <c r="F176" s="84">
        <v>2780</v>
      </c>
      <c r="G176" s="84"/>
    </row>
    <row r="177" spans="1:7" s="73" customFormat="1" ht="14.25" customHeight="1">
      <c r="A177" s="84" t="s">
        <v>295</v>
      </c>
      <c r="B177" s="84" t="s">
        <v>2556</v>
      </c>
      <c r="C177" s="84"/>
      <c r="D177" s="84"/>
      <c r="E177" s="84"/>
      <c r="F177" s="84">
        <v>2780</v>
      </c>
      <c r="G177" s="84"/>
    </row>
    <row r="178" spans="1:7" s="73" customFormat="1" ht="14.25" customHeight="1">
      <c r="A178" s="84" t="s">
        <v>295</v>
      </c>
      <c r="B178" s="84" t="s">
        <v>2557</v>
      </c>
      <c r="C178" s="84"/>
      <c r="D178" s="84"/>
      <c r="E178" s="84"/>
      <c r="F178" s="84">
        <v>2060</v>
      </c>
      <c r="G178" s="84"/>
    </row>
    <row r="179" spans="1:7" s="73" customFormat="1" ht="14.25" customHeight="1">
      <c r="A179" s="84" t="s">
        <v>295</v>
      </c>
      <c r="B179" s="84" t="s">
        <v>2558</v>
      </c>
      <c r="C179" s="84"/>
      <c r="D179" s="84"/>
      <c r="E179" s="84"/>
      <c r="F179" s="84">
        <v>2120</v>
      </c>
      <c r="G179" s="84"/>
    </row>
    <row r="180" spans="1:7" s="73" customFormat="1" ht="14.25" customHeight="1">
      <c r="A180" s="84" t="s">
        <v>295</v>
      </c>
      <c r="B180" s="84" t="s">
        <v>2559</v>
      </c>
      <c r="C180" s="84"/>
      <c r="D180" s="84"/>
      <c r="E180" s="84"/>
      <c r="F180" s="84">
        <v>2340</v>
      </c>
      <c r="G180" s="84"/>
    </row>
    <row r="181" spans="1:7" s="73" customFormat="1" ht="14.25" customHeight="1">
      <c r="A181" s="84" t="s">
        <v>295</v>
      </c>
      <c r="B181" s="84" t="s">
        <v>2560</v>
      </c>
      <c r="C181" s="84"/>
      <c r="D181" s="84"/>
      <c r="E181" s="84"/>
      <c r="F181" s="84">
        <v>2340</v>
      </c>
      <c r="G181" s="84"/>
    </row>
    <row r="182" spans="1:7" s="73" customFormat="1" ht="14.25" customHeight="1">
      <c r="A182" s="84" t="s">
        <v>295</v>
      </c>
      <c r="B182" s="84" t="s">
        <v>2561</v>
      </c>
      <c r="C182" s="84"/>
      <c r="D182" s="84"/>
      <c r="E182" s="84"/>
      <c r="F182" s="84">
        <v>2340</v>
      </c>
      <c r="G182" s="84"/>
    </row>
    <row r="183" spans="1:7" s="73" customFormat="1" ht="14.25" customHeight="1">
      <c r="A183" s="84" t="s">
        <v>295</v>
      </c>
      <c r="B183" s="84" t="s">
        <v>2562</v>
      </c>
      <c r="C183" s="84"/>
      <c r="D183" s="84"/>
      <c r="E183" s="84"/>
      <c r="F183" s="84">
        <v>2340</v>
      </c>
      <c r="G183" s="84"/>
    </row>
    <row r="184" spans="1:7" s="73" customFormat="1" ht="14.25" customHeight="1">
      <c r="A184" s="84" t="s">
        <v>295</v>
      </c>
      <c r="B184" s="84" t="s">
        <v>2563</v>
      </c>
      <c r="C184" s="84"/>
      <c r="D184" s="84"/>
      <c r="E184" s="84"/>
      <c r="F184" s="84">
        <v>2340</v>
      </c>
      <c r="G184" s="84"/>
    </row>
    <row r="185" spans="1:7" s="73" customFormat="1" ht="14.25" customHeight="1">
      <c r="A185" s="84" t="s">
        <v>295</v>
      </c>
      <c r="B185" s="84" t="s">
        <v>2564</v>
      </c>
      <c r="C185" s="84"/>
      <c r="D185" s="84"/>
      <c r="E185" s="84"/>
      <c r="F185" s="84">
        <v>2530</v>
      </c>
      <c r="G185" s="84"/>
    </row>
    <row r="186" spans="1:7" s="73" customFormat="1" ht="14.25" customHeight="1">
      <c r="A186" s="84" t="s">
        <v>295</v>
      </c>
      <c r="B186" s="84" t="s">
        <v>2565</v>
      </c>
      <c r="C186" s="84"/>
      <c r="D186" s="84"/>
      <c r="E186" s="84"/>
      <c r="F186" s="84">
        <v>2550</v>
      </c>
      <c r="G186" s="84"/>
    </row>
    <row r="187" spans="1:7" s="73" customFormat="1" ht="14.25" customHeight="1">
      <c r="A187" s="84" t="s">
        <v>295</v>
      </c>
      <c r="B187" s="84" t="s">
        <v>2566</v>
      </c>
      <c r="C187" s="84"/>
      <c r="D187" s="84"/>
      <c r="E187" s="84"/>
      <c r="F187" s="84">
        <v>2070</v>
      </c>
      <c r="G187" s="84"/>
    </row>
    <row r="188" spans="1:7" s="73" customFormat="1" ht="14.25" customHeight="1">
      <c r="A188" s="84" t="s">
        <v>295</v>
      </c>
      <c r="B188" s="84" t="s">
        <v>2567</v>
      </c>
      <c r="C188" s="84"/>
      <c r="D188" s="84"/>
      <c r="E188" s="84"/>
      <c r="F188" s="84">
        <v>2340</v>
      </c>
      <c r="G188" s="84"/>
    </row>
    <row r="189" spans="1:7" s="73" customFormat="1" ht="14.25" customHeight="1">
      <c r="A189" s="91" t="s">
        <v>295</v>
      </c>
      <c r="B189" s="94" t="s">
        <v>2568</v>
      </c>
      <c r="C189" s="94"/>
      <c r="D189" s="94"/>
      <c r="E189" s="94"/>
      <c r="F189" s="94">
        <v>2050</v>
      </c>
      <c r="G189" s="94"/>
    </row>
    <row r="190" spans="1:7" s="73" customFormat="1" ht="14.25" customHeight="1">
      <c r="A190" s="88" t="s">
        <v>303</v>
      </c>
      <c r="B190" s="80" t="s">
        <v>2569</v>
      </c>
      <c r="C190" s="80">
        <v>8830</v>
      </c>
      <c r="D190" s="80">
        <v>8790</v>
      </c>
      <c r="E190" s="80">
        <v>11630</v>
      </c>
      <c r="F190" s="80">
        <v>1790</v>
      </c>
      <c r="G190" s="95">
        <v>5550</v>
      </c>
    </row>
    <row r="191" spans="1:7" s="73" customFormat="1" ht="14.25" customHeight="1">
      <c r="A191" s="84" t="s">
        <v>303</v>
      </c>
      <c r="B191" s="84" t="s">
        <v>2570</v>
      </c>
      <c r="C191" s="84">
        <v>9780</v>
      </c>
      <c r="D191" s="84">
        <v>9710</v>
      </c>
      <c r="E191" s="84">
        <v>12550</v>
      </c>
      <c r="F191" s="84">
        <v>1980</v>
      </c>
      <c r="G191" s="96">
        <v>6130</v>
      </c>
    </row>
    <row r="192" spans="1:7" s="73" customFormat="1" ht="14.25" customHeight="1">
      <c r="A192" s="84" t="s">
        <v>303</v>
      </c>
      <c r="B192" s="84" t="s">
        <v>2571</v>
      </c>
      <c r="C192" s="84">
        <v>8180</v>
      </c>
      <c r="D192" s="84">
        <v>8140</v>
      </c>
      <c r="E192" s="84">
        <v>10870</v>
      </c>
      <c r="F192" s="84">
        <v>1690</v>
      </c>
      <c r="G192" s="96">
        <v>5140</v>
      </c>
    </row>
    <row r="193" spans="1:7" s="73" customFormat="1" ht="14.25" customHeight="1">
      <c r="A193" s="84" t="s">
        <v>303</v>
      </c>
      <c r="B193" s="84" t="s">
        <v>2572</v>
      </c>
      <c r="C193" s="84">
        <v>8440</v>
      </c>
      <c r="D193" s="84">
        <v>8390</v>
      </c>
      <c r="E193" s="84">
        <v>11210</v>
      </c>
      <c r="F193" s="84">
        <v>1600</v>
      </c>
      <c r="G193" s="96">
        <v>5300</v>
      </c>
    </row>
    <row r="194" spans="1:7" s="73" customFormat="1" ht="14.25" customHeight="1">
      <c r="A194" s="84" t="s">
        <v>303</v>
      </c>
      <c r="B194" s="84" t="s">
        <v>2573</v>
      </c>
      <c r="C194" s="84">
        <v>8780</v>
      </c>
      <c r="D194" s="84">
        <v>8730</v>
      </c>
      <c r="E194" s="84">
        <v>11550</v>
      </c>
      <c r="F194" s="84">
        <v>1660</v>
      </c>
      <c r="G194" s="96">
        <v>5520</v>
      </c>
    </row>
    <row r="195" spans="1:7" s="73" customFormat="1" ht="14.25" customHeight="1">
      <c r="A195" s="84" t="s">
        <v>303</v>
      </c>
      <c r="B195" s="84" t="s">
        <v>2574</v>
      </c>
      <c r="C195" s="84">
        <v>8720</v>
      </c>
      <c r="D195" s="84">
        <v>8670</v>
      </c>
      <c r="E195" s="84">
        <v>11450</v>
      </c>
      <c r="F195" s="84">
        <v>1720</v>
      </c>
      <c r="G195" s="96">
        <v>5480</v>
      </c>
    </row>
    <row r="196" spans="1:7" s="73" customFormat="1" ht="14.25" customHeight="1">
      <c r="A196" s="84" t="s">
        <v>303</v>
      </c>
      <c r="B196" s="84" t="s">
        <v>2575</v>
      </c>
      <c r="C196" s="84">
        <v>8460</v>
      </c>
      <c r="D196" s="84">
        <v>8410</v>
      </c>
      <c r="E196" s="84">
        <v>11230</v>
      </c>
      <c r="F196" s="84">
        <v>1730</v>
      </c>
      <c r="G196" s="96">
        <v>5310</v>
      </c>
    </row>
    <row r="197" spans="1:7" s="73" customFormat="1" ht="14.25" customHeight="1">
      <c r="A197" s="84" t="s">
        <v>303</v>
      </c>
      <c r="B197" s="84" t="s">
        <v>2576</v>
      </c>
      <c r="C197" s="84">
        <v>8790</v>
      </c>
      <c r="D197" s="84">
        <v>8730</v>
      </c>
      <c r="E197" s="84">
        <v>11560</v>
      </c>
      <c r="F197" s="84">
        <v>1750</v>
      </c>
      <c r="G197" s="96">
        <v>5520</v>
      </c>
    </row>
    <row r="198" spans="1:7" s="73" customFormat="1" ht="14.25" customHeight="1">
      <c r="A198" s="84" t="s">
        <v>303</v>
      </c>
      <c r="B198" s="84" t="s">
        <v>2577</v>
      </c>
      <c r="C198" s="84">
        <v>8720</v>
      </c>
      <c r="D198" s="84">
        <v>8680</v>
      </c>
      <c r="E198" s="84">
        <v>11470</v>
      </c>
      <c r="F198" s="84"/>
      <c r="G198" s="96">
        <v>5480</v>
      </c>
    </row>
    <row r="199" spans="1:7" s="73" customFormat="1" ht="14.25" customHeight="1">
      <c r="A199" s="84" t="s">
        <v>303</v>
      </c>
      <c r="B199" s="84" t="s">
        <v>2578</v>
      </c>
      <c r="C199" s="84">
        <v>8690</v>
      </c>
      <c r="D199" s="84">
        <v>8630</v>
      </c>
      <c r="E199" s="84">
        <v>11350</v>
      </c>
      <c r="F199" s="84">
        <v>1600</v>
      </c>
      <c r="G199" s="96">
        <v>5450</v>
      </c>
    </row>
    <row r="200" spans="1:7" s="73" customFormat="1" ht="14.25" customHeight="1">
      <c r="A200" s="84" t="s">
        <v>303</v>
      </c>
      <c r="B200" s="84" t="s">
        <v>2579</v>
      </c>
      <c r="C200" s="84"/>
      <c r="D200" s="84"/>
      <c r="E200" s="84"/>
      <c r="F200" s="84">
        <v>1510</v>
      </c>
      <c r="G200" s="96"/>
    </row>
    <row r="201" spans="1:7" s="73" customFormat="1" ht="14.25" customHeight="1">
      <c r="A201" s="84" t="s">
        <v>303</v>
      </c>
      <c r="B201" s="84" t="s">
        <v>2580</v>
      </c>
      <c r="C201" s="84">
        <v>8440</v>
      </c>
      <c r="D201" s="84">
        <v>8390</v>
      </c>
      <c r="E201" s="84">
        <v>10930</v>
      </c>
      <c r="F201" s="84">
        <v>1500</v>
      </c>
      <c r="G201" s="96">
        <v>5300</v>
      </c>
    </row>
    <row r="202" spans="1:7" s="73" customFormat="1" ht="14.25" customHeight="1">
      <c r="A202" s="84" t="s">
        <v>303</v>
      </c>
      <c r="B202" s="84" t="s">
        <v>2581</v>
      </c>
      <c r="C202" s="84">
        <v>8530</v>
      </c>
      <c r="D202" s="84">
        <v>8490</v>
      </c>
      <c r="E202" s="84">
        <v>11160</v>
      </c>
      <c r="F202" s="84">
        <v>1580</v>
      </c>
      <c r="G202" s="96">
        <v>5360</v>
      </c>
    </row>
    <row r="203" spans="1:7" s="73" customFormat="1" ht="14.25" customHeight="1">
      <c r="A203" s="84" t="s">
        <v>303</v>
      </c>
      <c r="B203" s="84" t="s">
        <v>2582</v>
      </c>
      <c r="C203" s="84">
        <v>8130</v>
      </c>
      <c r="D203" s="84">
        <v>8070</v>
      </c>
      <c r="E203" s="84">
        <v>10820</v>
      </c>
      <c r="F203" s="84">
        <v>1690</v>
      </c>
      <c r="G203" s="96">
        <v>5100</v>
      </c>
    </row>
    <row r="204" spans="1:7" s="73" customFormat="1" ht="14.25" customHeight="1">
      <c r="A204" s="84" t="s">
        <v>303</v>
      </c>
      <c r="B204" s="84" t="s">
        <v>2583</v>
      </c>
      <c r="C204" s="84">
        <v>8350</v>
      </c>
      <c r="D204" s="84">
        <v>8290</v>
      </c>
      <c r="E204" s="84">
        <v>11080</v>
      </c>
      <c r="F204" s="84">
        <v>1450</v>
      </c>
      <c r="G204" s="96">
        <v>5240</v>
      </c>
    </row>
    <row r="205" spans="1:7" s="73" customFormat="1" ht="14.25" customHeight="1">
      <c r="A205" s="84" t="s">
        <v>303</v>
      </c>
      <c r="B205" s="84" t="s">
        <v>2584</v>
      </c>
      <c r="C205" s="84">
        <v>7190</v>
      </c>
      <c r="D205" s="84">
        <v>7130</v>
      </c>
      <c r="E205" s="84">
        <v>9490</v>
      </c>
      <c r="F205" s="84">
        <v>1470</v>
      </c>
      <c r="G205" s="96">
        <v>4510</v>
      </c>
    </row>
    <row r="206" spans="1:7" s="73" customFormat="1" ht="14.25" customHeight="1">
      <c r="A206" s="84" t="s">
        <v>303</v>
      </c>
      <c r="B206" s="84" t="s">
        <v>2585</v>
      </c>
      <c r="C206" s="84">
        <v>7000</v>
      </c>
      <c r="D206" s="84">
        <v>6950</v>
      </c>
      <c r="E206" s="84">
        <v>9170</v>
      </c>
      <c r="F206" s="84">
        <v>1400</v>
      </c>
      <c r="G206" s="96">
        <v>4380</v>
      </c>
    </row>
    <row r="207" spans="1:7" s="73" customFormat="1" ht="14.25" customHeight="1">
      <c r="A207" s="84" t="s">
        <v>303</v>
      </c>
      <c r="B207" s="84" t="s">
        <v>2586</v>
      </c>
      <c r="C207" s="84">
        <v>6950</v>
      </c>
      <c r="D207" s="84">
        <v>6900</v>
      </c>
      <c r="E207" s="84">
        <v>9110</v>
      </c>
      <c r="F207" s="84">
        <v>1790</v>
      </c>
      <c r="G207" s="96">
        <v>4360</v>
      </c>
    </row>
    <row r="208" spans="1:7" s="73" customFormat="1" ht="14.25" customHeight="1">
      <c r="A208" s="84" t="s">
        <v>303</v>
      </c>
      <c r="B208" s="84" t="s">
        <v>2587</v>
      </c>
      <c r="C208" s="84">
        <v>9470</v>
      </c>
      <c r="D208" s="84">
        <v>9410</v>
      </c>
      <c r="E208" s="84">
        <v>12330</v>
      </c>
      <c r="F208" s="84">
        <v>1770</v>
      </c>
      <c r="G208" s="96">
        <v>5940</v>
      </c>
    </row>
    <row r="209" spans="1:7" s="73" customFormat="1" ht="14.25" customHeight="1">
      <c r="A209" s="84" t="s">
        <v>303</v>
      </c>
      <c r="B209" s="84" t="s">
        <v>2588</v>
      </c>
      <c r="C209" s="84">
        <v>8740</v>
      </c>
      <c r="D209" s="84">
        <v>8700</v>
      </c>
      <c r="E209" s="84">
        <v>11500</v>
      </c>
      <c r="F209" s="84">
        <v>1730</v>
      </c>
      <c r="G209" s="96">
        <v>5490</v>
      </c>
    </row>
    <row r="210" spans="1:7" s="73" customFormat="1" ht="14.25" customHeight="1">
      <c r="A210" s="84" t="s">
        <v>303</v>
      </c>
      <c r="B210" s="84" t="s">
        <v>2589</v>
      </c>
      <c r="C210" s="84">
        <v>8710</v>
      </c>
      <c r="D210" s="84">
        <v>8660</v>
      </c>
      <c r="E210" s="84">
        <v>11440</v>
      </c>
      <c r="F210" s="84">
        <v>1740</v>
      </c>
      <c r="G210" s="96">
        <v>5470</v>
      </c>
    </row>
    <row r="211" spans="1:7" s="73" customFormat="1" ht="14.25" customHeight="1">
      <c r="A211" s="84" t="s">
        <v>303</v>
      </c>
      <c r="B211" s="84" t="s">
        <v>2590</v>
      </c>
      <c r="C211" s="84">
        <v>9480</v>
      </c>
      <c r="D211" s="84">
        <v>9430</v>
      </c>
      <c r="E211" s="84">
        <v>12360</v>
      </c>
      <c r="F211" s="84">
        <v>1820</v>
      </c>
      <c r="G211" s="96">
        <v>5950</v>
      </c>
    </row>
    <row r="212" spans="1:7" s="73" customFormat="1" ht="14.25" customHeight="1">
      <c r="A212" s="84" t="s">
        <v>303</v>
      </c>
      <c r="B212" s="84" t="s">
        <v>2591</v>
      </c>
      <c r="C212" s="84">
        <v>9070</v>
      </c>
      <c r="D212" s="84">
        <v>9020</v>
      </c>
      <c r="E212" s="84">
        <v>11720</v>
      </c>
      <c r="F212" s="84">
        <v>1850</v>
      </c>
      <c r="G212" s="96">
        <v>5700</v>
      </c>
    </row>
    <row r="213" spans="1:7" s="73" customFormat="1" ht="14.25" customHeight="1">
      <c r="A213" s="84" t="s">
        <v>303</v>
      </c>
      <c r="B213" s="84" t="s">
        <v>2592</v>
      </c>
      <c r="C213" s="84">
        <v>9030</v>
      </c>
      <c r="D213" s="84">
        <v>8980</v>
      </c>
      <c r="E213" s="84">
        <v>11670</v>
      </c>
      <c r="F213" s="84">
        <v>1690</v>
      </c>
      <c r="G213" s="96">
        <v>5670</v>
      </c>
    </row>
    <row r="214" spans="1:7" s="73" customFormat="1" ht="14.25" customHeight="1">
      <c r="A214" s="84" t="s">
        <v>303</v>
      </c>
      <c r="B214" s="84" t="s">
        <v>2593</v>
      </c>
      <c r="C214" s="84">
        <v>8090</v>
      </c>
      <c r="D214" s="84">
        <v>8030</v>
      </c>
      <c r="E214" s="84">
        <v>10780</v>
      </c>
      <c r="F214" s="84">
        <v>1570</v>
      </c>
      <c r="G214" s="96">
        <v>5070</v>
      </c>
    </row>
    <row r="215" spans="1:7" s="73" customFormat="1" ht="14.25" customHeight="1">
      <c r="A215" s="84" t="s">
        <v>303</v>
      </c>
      <c r="B215" s="84" t="s">
        <v>2594</v>
      </c>
      <c r="C215" s="84">
        <v>7950</v>
      </c>
      <c r="D215" s="84">
        <v>7900</v>
      </c>
      <c r="E215" s="84">
        <v>10560</v>
      </c>
      <c r="F215" s="84">
        <v>1630</v>
      </c>
      <c r="G215" s="96">
        <v>4990</v>
      </c>
    </row>
    <row r="216" spans="1:7" s="73" customFormat="1" ht="14.25" customHeight="1">
      <c r="A216" s="84" t="s">
        <v>303</v>
      </c>
      <c r="B216" s="84" t="s">
        <v>2595</v>
      </c>
      <c r="C216" s="84">
        <v>8490</v>
      </c>
      <c r="D216" s="84">
        <v>8440</v>
      </c>
      <c r="E216" s="84">
        <v>11260</v>
      </c>
      <c r="F216" s="84">
        <v>1690</v>
      </c>
      <c r="G216" s="96">
        <v>5330</v>
      </c>
    </row>
    <row r="217" spans="1:7" s="73" customFormat="1" ht="14.25" customHeight="1">
      <c r="A217" s="84" t="s">
        <v>303</v>
      </c>
      <c r="B217" s="84" t="s">
        <v>2596</v>
      </c>
      <c r="C217" s="84">
        <v>8200</v>
      </c>
      <c r="D217" s="84">
        <v>8150</v>
      </c>
      <c r="E217" s="84">
        <v>10910</v>
      </c>
      <c r="F217" s="84">
        <v>1670</v>
      </c>
      <c r="G217" s="96">
        <v>5150</v>
      </c>
    </row>
    <row r="218" spans="1:7" s="73" customFormat="1" ht="14.25" customHeight="1">
      <c r="A218" s="84" t="s">
        <v>303</v>
      </c>
      <c r="B218" s="84" t="s">
        <v>2597</v>
      </c>
      <c r="C218" s="84"/>
      <c r="D218" s="84"/>
      <c r="E218" s="84"/>
      <c r="F218" s="84">
        <v>2040</v>
      </c>
      <c r="G218" s="96"/>
    </row>
    <row r="219" spans="1:7" s="73" customFormat="1" ht="14.25" customHeight="1">
      <c r="A219" s="84" t="s">
        <v>303</v>
      </c>
      <c r="B219" s="84" t="s">
        <v>2598</v>
      </c>
      <c r="C219" s="84"/>
      <c r="D219" s="84"/>
      <c r="E219" s="84"/>
      <c r="F219" s="84">
        <v>2040</v>
      </c>
      <c r="G219" s="96"/>
    </row>
    <row r="220" spans="1:7" s="73" customFormat="1" ht="14.25" customHeight="1">
      <c r="A220" s="84" t="s">
        <v>303</v>
      </c>
      <c r="B220" s="84" t="s">
        <v>2599</v>
      </c>
      <c r="C220" s="84"/>
      <c r="D220" s="84"/>
      <c r="E220" s="84"/>
      <c r="F220" s="84">
        <v>2040</v>
      </c>
      <c r="G220" s="96"/>
    </row>
    <row r="221" spans="1:7" s="73" customFormat="1" ht="14.25" customHeight="1">
      <c r="A221" s="84" t="s">
        <v>303</v>
      </c>
      <c r="B221" s="84" t="s">
        <v>2600</v>
      </c>
      <c r="C221" s="84"/>
      <c r="D221" s="84"/>
      <c r="E221" s="84"/>
      <c r="F221" s="84">
        <v>2040</v>
      </c>
      <c r="G221" s="96"/>
    </row>
    <row r="222" spans="1:7" s="73" customFormat="1" ht="14.25" customHeight="1">
      <c r="A222" s="84" t="s">
        <v>303</v>
      </c>
      <c r="B222" s="84" t="s">
        <v>2601</v>
      </c>
      <c r="C222" s="84"/>
      <c r="D222" s="84"/>
      <c r="E222" s="84"/>
      <c r="F222" s="84">
        <v>2040</v>
      </c>
      <c r="G222" s="96"/>
    </row>
    <row r="223" spans="1:7" s="73" customFormat="1" ht="14.25" customHeight="1">
      <c r="A223" s="84" t="s">
        <v>303</v>
      </c>
      <c r="B223" s="84" t="s">
        <v>2602</v>
      </c>
      <c r="C223" s="84"/>
      <c r="D223" s="84"/>
      <c r="E223" s="84"/>
      <c r="F223" s="84">
        <v>1930</v>
      </c>
      <c r="G223" s="96"/>
    </row>
    <row r="224" spans="1:7" s="73" customFormat="1" ht="14.25" customHeight="1">
      <c r="A224" s="84" t="s">
        <v>303</v>
      </c>
      <c r="B224" s="84" t="s">
        <v>2603</v>
      </c>
      <c r="C224" s="84"/>
      <c r="D224" s="84"/>
      <c r="E224" s="84"/>
      <c r="F224" s="84">
        <v>1930</v>
      </c>
      <c r="G224" s="96"/>
    </row>
    <row r="225" spans="1:7" s="73" customFormat="1" ht="14.25" customHeight="1">
      <c r="A225" s="84" t="s">
        <v>303</v>
      </c>
      <c r="B225" s="84" t="s">
        <v>2604</v>
      </c>
      <c r="C225" s="84"/>
      <c r="D225" s="84"/>
      <c r="E225" s="84"/>
      <c r="F225" s="84">
        <v>1930</v>
      </c>
      <c r="G225" s="96"/>
    </row>
    <row r="226" spans="1:7" s="73" customFormat="1" ht="14.25" customHeight="1">
      <c r="A226" s="84" t="s">
        <v>303</v>
      </c>
      <c r="B226" s="84" t="s">
        <v>2605</v>
      </c>
      <c r="C226" s="84"/>
      <c r="D226" s="84"/>
      <c r="E226" s="84"/>
      <c r="F226" s="84">
        <v>1700</v>
      </c>
      <c r="G226" s="96"/>
    </row>
    <row r="227" spans="1:7" s="73" customFormat="1" ht="14.25" customHeight="1">
      <c r="A227" s="84" t="s">
        <v>303</v>
      </c>
      <c r="B227" s="84" t="s">
        <v>2893</v>
      </c>
      <c r="C227" s="84"/>
      <c r="D227" s="84"/>
      <c r="E227" s="84"/>
      <c r="F227" s="84">
        <v>1520</v>
      </c>
      <c r="G227" s="96"/>
    </row>
    <row r="228" spans="1:7" s="73" customFormat="1" ht="14.25" customHeight="1">
      <c r="A228" s="84" t="s">
        <v>303</v>
      </c>
      <c r="B228" s="84" t="s">
        <v>2894</v>
      </c>
      <c r="C228" s="84"/>
      <c r="D228" s="84"/>
      <c r="E228" s="84"/>
      <c r="F228" s="84">
        <v>1520</v>
      </c>
      <c r="G228" s="96"/>
    </row>
    <row r="229" spans="1:7" s="73" customFormat="1" ht="14.25" customHeight="1">
      <c r="A229" s="84" t="s">
        <v>303</v>
      </c>
      <c r="B229" s="84" t="s">
        <v>2895</v>
      </c>
      <c r="C229" s="84"/>
      <c r="D229" s="84"/>
      <c r="E229" s="84"/>
      <c r="F229" s="84">
        <v>1520</v>
      </c>
      <c r="G229" s="96"/>
    </row>
    <row r="230" spans="1:7" s="73" customFormat="1" ht="14.25" customHeight="1">
      <c r="A230" s="84" t="s">
        <v>303</v>
      </c>
      <c r="B230" s="84" t="s">
        <v>2609</v>
      </c>
      <c r="C230" s="84"/>
      <c r="D230" s="84"/>
      <c r="E230" s="84"/>
      <c r="F230" s="84">
        <v>1820</v>
      </c>
      <c r="G230" s="96"/>
    </row>
    <row r="231" spans="1:7" s="73" customFormat="1" ht="14.25" customHeight="1">
      <c r="A231" s="84" t="s">
        <v>303</v>
      </c>
      <c r="B231" s="84" t="s">
        <v>2610</v>
      </c>
      <c r="C231" s="84"/>
      <c r="D231" s="84"/>
      <c r="E231" s="84"/>
      <c r="F231" s="84">
        <v>1760</v>
      </c>
      <c r="G231" s="96"/>
    </row>
    <row r="232" spans="1:7" s="73" customFormat="1" ht="14.25" customHeight="1">
      <c r="A232" s="84" t="s">
        <v>303</v>
      </c>
      <c r="B232" s="84" t="s">
        <v>2896</v>
      </c>
      <c r="C232" s="84"/>
      <c r="D232" s="84"/>
      <c r="E232" s="84"/>
      <c r="F232" s="84">
        <v>1840</v>
      </c>
      <c r="G232" s="96"/>
    </row>
    <row r="233" spans="1:7" s="73" customFormat="1" ht="14.25" customHeight="1">
      <c r="A233" s="97" t="s">
        <v>303</v>
      </c>
      <c r="B233" s="90" t="s">
        <v>2612</v>
      </c>
      <c r="C233" s="90"/>
      <c r="D233" s="90"/>
      <c r="E233" s="90"/>
      <c r="F233" s="90">
        <v>1770</v>
      </c>
      <c r="G233" s="98"/>
    </row>
    <row r="234" spans="1:7" s="73" customFormat="1" ht="14.25" customHeight="1">
      <c r="A234" s="88" t="s">
        <v>311</v>
      </c>
      <c r="B234" s="80" t="s">
        <v>2613</v>
      </c>
      <c r="C234" s="84">
        <v>6980</v>
      </c>
      <c r="D234" s="84">
        <v>6970</v>
      </c>
      <c r="E234" s="84">
        <v>8720</v>
      </c>
      <c r="F234" s="84">
        <v>1350</v>
      </c>
      <c r="G234" s="84">
        <v>4280</v>
      </c>
    </row>
    <row r="235" spans="1:7" s="73" customFormat="1" ht="14.25" customHeight="1">
      <c r="A235" s="84" t="s">
        <v>311</v>
      </c>
      <c r="B235" s="84" t="s">
        <v>2614</v>
      </c>
      <c r="C235" s="84">
        <v>7620</v>
      </c>
      <c r="D235" s="84">
        <v>7580</v>
      </c>
      <c r="E235" s="84">
        <v>9360</v>
      </c>
      <c r="F235" s="84">
        <v>1490</v>
      </c>
      <c r="G235" s="84">
        <v>4650</v>
      </c>
    </row>
    <row r="236" spans="1:7" s="73" customFormat="1" ht="14.25" customHeight="1">
      <c r="A236" s="84" t="s">
        <v>311</v>
      </c>
      <c r="B236" s="84" t="s">
        <v>2615</v>
      </c>
      <c r="C236" s="84">
        <v>6650</v>
      </c>
      <c r="D236" s="84">
        <v>6630</v>
      </c>
      <c r="E236" s="84">
        <v>8330</v>
      </c>
      <c r="F236" s="84">
        <v>1250</v>
      </c>
      <c r="G236" s="84">
        <v>4070</v>
      </c>
    </row>
    <row r="237" spans="1:7" s="73" customFormat="1" ht="14.25" customHeight="1">
      <c r="A237" s="84" t="s">
        <v>311</v>
      </c>
      <c r="B237" s="84" t="s">
        <v>2616</v>
      </c>
      <c r="C237" s="84">
        <v>5850</v>
      </c>
      <c r="D237" s="84">
        <v>5820</v>
      </c>
      <c r="E237" s="84">
        <v>7260</v>
      </c>
      <c r="F237" s="84">
        <v>1140</v>
      </c>
      <c r="G237" s="84">
        <v>3570</v>
      </c>
    </row>
    <row r="238" spans="1:7" s="73" customFormat="1" ht="14.25" customHeight="1">
      <c r="A238" s="84" t="s">
        <v>311</v>
      </c>
      <c r="B238" s="84" t="s">
        <v>2617</v>
      </c>
      <c r="C238" s="84">
        <v>6920</v>
      </c>
      <c r="D238" s="84">
        <v>6890</v>
      </c>
      <c r="E238" s="84">
        <v>8640</v>
      </c>
      <c r="F238" s="84">
        <v>1310</v>
      </c>
      <c r="G238" s="84">
        <v>4230</v>
      </c>
    </row>
    <row r="239" spans="1:7" s="73" customFormat="1" ht="14.25" customHeight="1">
      <c r="A239" s="84" t="s">
        <v>311</v>
      </c>
      <c r="B239" s="84" t="s">
        <v>2618</v>
      </c>
      <c r="C239" s="84">
        <v>6780</v>
      </c>
      <c r="D239" s="84">
        <v>6750</v>
      </c>
      <c r="E239" s="84">
        <v>8440</v>
      </c>
      <c r="F239" s="84">
        <v>1160</v>
      </c>
      <c r="G239" s="84">
        <v>4140</v>
      </c>
    </row>
    <row r="240" spans="1:7" s="73" customFormat="1" ht="14.25" customHeight="1">
      <c r="A240" s="84" t="s">
        <v>311</v>
      </c>
      <c r="B240" s="84" t="s">
        <v>2619</v>
      </c>
      <c r="C240" s="84">
        <v>5420</v>
      </c>
      <c r="D240" s="84">
        <v>5380</v>
      </c>
      <c r="E240" s="84">
        <v>6640</v>
      </c>
      <c r="F240" s="84">
        <v>1020</v>
      </c>
      <c r="G240" s="84">
        <v>3300</v>
      </c>
    </row>
    <row r="241" spans="1:7" s="73" customFormat="1" ht="14.25" customHeight="1">
      <c r="A241" s="84" t="s">
        <v>311</v>
      </c>
      <c r="B241" s="84" t="s">
        <v>2620</v>
      </c>
      <c r="C241" s="84">
        <v>6660</v>
      </c>
      <c r="D241" s="84">
        <v>6640</v>
      </c>
      <c r="E241" s="84">
        <v>8340</v>
      </c>
      <c r="F241" s="84">
        <v>1130</v>
      </c>
      <c r="G241" s="84">
        <v>4080</v>
      </c>
    </row>
    <row r="242" spans="1:7" s="73" customFormat="1" ht="14.25" customHeight="1">
      <c r="A242" s="84" t="s">
        <v>311</v>
      </c>
      <c r="B242" s="84" t="s">
        <v>2621</v>
      </c>
      <c r="C242" s="84">
        <v>6580</v>
      </c>
      <c r="D242" s="84">
        <v>6550</v>
      </c>
      <c r="E242" s="84">
        <v>8090</v>
      </c>
      <c r="F242" s="84">
        <v>1240</v>
      </c>
      <c r="G242" s="84">
        <v>4020</v>
      </c>
    </row>
    <row r="243" spans="1:7" s="73" customFormat="1" ht="14.25" customHeight="1">
      <c r="A243" s="84" t="s">
        <v>311</v>
      </c>
      <c r="B243" s="84" t="s">
        <v>2622</v>
      </c>
      <c r="C243" s="84">
        <v>6000</v>
      </c>
      <c r="D243" s="84">
        <v>5970</v>
      </c>
      <c r="E243" s="84">
        <v>7370</v>
      </c>
      <c r="F243" s="84">
        <v>1070</v>
      </c>
      <c r="G243" s="84">
        <v>3670</v>
      </c>
    </row>
    <row r="244" spans="1:7" s="73" customFormat="1" ht="14.25" customHeight="1">
      <c r="A244" s="84" t="s">
        <v>311</v>
      </c>
      <c r="B244" s="84" t="s">
        <v>2623</v>
      </c>
      <c r="C244" s="84">
        <v>5840</v>
      </c>
      <c r="D244" s="84">
        <v>5810</v>
      </c>
      <c r="E244" s="84">
        <v>7240</v>
      </c>
      <c r="F244" s="84">
        <v>1100</v>
      </c>
      <c r="G244" s="84">
        <v>3560</v>
      </c>
    </row>
    <row r="245" spans="1:7" s="73" customFormat="1" ht="14.25" customHeight="1">
      <c r="A245" s="84" t="s">
        <v>311</v>
      </c>
      <c r="B245" s="84" t="s">
        <v>2624</v>
      </c>
      <c r="C245" s="84">
        <v>6040</v>
      </c>
      <c r="D245" s="84">
        <v>6000</v>
      </c>
      <c r="E245" s="84">
        <v>7420</v>
      </c>
      <c r="F245" s="84">
        <v>1140</v>
      </c>
      <c r="G245" s="84">
        <v>3690</v>
      </c>
    </row>
    <row r="246" spans="1:7" s="73" customFormat="1" ht="14.25" customHeight="1">
      <c r="A246" s="84" t="s">
        <v>311</v>
      </c>
      <c r="B246" s="84" t="s">
        <v>2625</v>
      </c>
      <c r="C246" s="84">
        <v>5890</v>
      </c>
      <c r="D246" s="84">
        <v>5860</v>
      </c>
      <c r="E246" s="84">
        <v>7300</v>
      </c>
      <c r="F246" s="84">
        <v>1110</v>
      </c>
      <c r="G246" s="84">
        <v>3590</v>
      </c>
    </row>
    <row r="247" spans="1:7" s="73" customFormat="1" ht="14.25" customHeight="1">
      <c r="A247" s="84" t="s">
        <v>311</v>
      </c>
      <c r="B247" s="84" t="s">
        <v>2626</v>
      </c>
      <c r="C247" s="84">
        <v>6480</v>
      </c>
      <c r="D247" s="84">
        <v>6450</v>
      </c>
      <c r="E247" s="84">
        <v>8010</v>
      </c>
      <c r="F247" s="84">
        <v>1170</v>
      </c>
      <c r="G247" s="84">
        <v>3960</v>
      </c>
    </row>
    <row r="248" spans="1:7" s="73" customFormat="1" ht="14.25" customHeight="1">
      <c r="A248" s="84" t="s">
        <v>311</v>
      </c>
      <c r="B248" s="84" t="s">
        <v>2627</v>
      </c>
      <c r="C248" s="84">
        <v>6860</v>
      </c>
      <c r="D248" s="84">
        <v>6840</v>
      </c>
      <c r="E248" s="84">
        <v>8520</v>
      </c>
      <c r="F248" s="84">
        <v>1240</v>
      </c>
      <c r="G248" s="84">
        <v>4200</v>
      </c>
    </row>
    <row r="249" spans="1:7" s="73" customFormat="1" ht="14.25" customHeight="1">
      <c r="A249" s="84" t="s">
        <v>311</v>
      </c>
      <c r="B249" s="84" t="s">
        <v>2628</v>
      </c>
      <c r="C249" s="84">
        <v>7180</v>
      </c>
      <c r="D249" s="84">
        <v>7140</v>
      </c>
      <c r="E249" s="84">
        <v>8900</v>
      </c>
      <c r="F249" s="84">
        <v>1350</v>
      </c>
      <c r="G249" s="84">
        <v>4380</v>
      </c>
    </row>
    <row r="250" spans="1:7" s="73" customFormat="1" ht="14.25" customHeight="1">
      <c r="A250" s="84" t="s">
        <v>311</v>
      </c>
      <c r="B250" s="84" t="s">
        <v>2629</v>
      </c>
      <c r="C250" s="84">
        <v>6880</v>
      </c>
      <c r="D250" s="84">
        <v>6860</v>
      </c>
      <c r="E250" s="84">
        <v>8550</v>
      </c>
      <c r="F250" s="84">
        <v>1220</v>
      </c>
      <c r="G250" s="84">
        <v>4210</v>
      </c>
    </row>
    <row r="251" spans="1:7" s="73" customFormat="1" ht="14.25" customHeight="1">
      <c r="A251" s="84" t="s">
        <v>311</v>
      </c>
      <c r="B251" s="84" t="s">
        <v>2630</v>
      </c>
      <c r="C251" s="84"/>
      <c r="D251" s="84"/>
      <c r="E251" s="84"/>
      <c r="F251" s="84">
        <v>1100</v>
      </c>
      <c r="G251" s="84"/>
    </row>
    <row r="252" spans="1:7" s="73" customFormat="1" ht="14.25" customHeight="1">
      <c r="A252" s="84" t="s">
        <v>311</v>
      </c>
      <c r="B252" s="84" t="s">
        <v>2631</v>
      </c>
      <c r="C252" s="84">
        <v>7240</v>
      </c>
      <c r="D252" s="84">
        <v>7200</v>
      </c>
      <c r="E252" s="84">
        <v>9040</v>
      </c>
      <c r="F252" s="84">
        <v>1380</v>
      </c>
      <c r="G252" s="84">
        <v>4420</v>
      </c>
    </row>
    <row r="253" spans="1:7" s="73" customFormat="1" ht="14.25" customHeight="1">
      <c r="A253" s="84" t="s">
        <v>311</v>
      </c>
      <c r="B253" s="84" t="s">
        <v>2632</v>
      </c>
      <c r="C253" s="84">
        <v>6670</v>
      </c>
      <c r="D253" s="84">
        <v>6650</v>
      </c>
      <c r="E253" s="84">
        <v>8350</v>
      </c>
      <c r="F253" s="84">
        <v>1260</v>
      </c>
      <c r="G253" s="84">
        <v>4080</v>
      </c>
    </row>
    <row r="254" spans="1:7" s="73" customFormat="1" ht="14.25" customHeight="1">
      <c r="A254" s="84" t="s">
        <v>311</v>
      </c>
      <c r="B254" s="84" t="s">
        <v>2633</v>
      </c>
      <c r="C254" s="84">
        <v>7630</v>
      </c>
      <c r="D254" s="84">
        <v>7590</v>
      </c>
      <c r="E254" s="84">
        <v>9380</v>
      </c>
      <c r="F254" s="84">
        <v>1320</v>
      </c>
      <c r="G254" s="84">
        <v>4660</v>
      </c>
    </row>
    <row r="255" spans="1:7" s="73" customFormat="1" ht="14.25" customHeight="1">
      <c r="A255" s="84" t="s">
        <v>311</v>
      </c>
      <c r="B255" s="84" t="s">
        <v>2634</v>
      </c>
      <c r="C255" s="84">
        <v>6940</v>
      </c>
      <c r="D255" s="84">
        <v>6890</v>
      </c>
      <c r="E255" s="84">
        <v>8650</v>
      </c>
      <c r="F255" s="84">
        <v>1210</v>
      </c>
      <c r="G255" s="84">
        <v>4230</v>
      </c>
    </row>
    <row r="256" spans="1:7" s="73" customFormat="1" ht="14.25" customHeight="1">
      <c r="A256" s="84" t="s">
        <v>311</v>
      </c>
      <c r="B256" s="84" t="s">
        <v>2635</v>
      </c>
      <c r="C256" s="84">
        <v>7520</v>
      </c>
      <c r="D256" s="84">
        <v>7490</v>
      </c>
      <c r="E256" s="84">
        <v>9240</v>
      </c>
      <c r="F256" s="84">
        <v>1270</v>
      </c>
      <c r="G256" s="84">
        <v>4590</v>
      </c>
    </row>
    <row r="257" spans="1:7" s="73" customFormat="1" ht="14.25" customHeight="1">
      <c r="A257" s="84" t="s">
        <v>311</v>
      </c>
      <c r="B257" s="84" t="s">
        <v>2636</v>
      </c>
      <c r="C257" s="84">
        <v>6280</v>
      </c>
      <c r="D257" s="84">
        <v>6230</v>
      </c>
      <c r="E257" s="84">
        <v>7740</v>
      </c>
      <c r="F257" s="84">
        <v>1080</v>
      </c>
      <c r="G257" s="84">
        <v>3830</v>
      </c>
    </row>
    <row r="258" spans="1:7" s="73" customFormat="1" ht="14.25" customHeight="1">
      <c r="A258" s="84" t="s">
        <v>311</v>
      </c>
      <c r="B258" s="84" t="s">
        <v>2637</v>
      </c>
      <c r="C258" s="84">
        <v>6190</v>
      </c>
      <c r="D258" s="84">
        <v>6160</v>
      </c>
      <c r="E258" s="84">
        <v>7680</v>
      </c>
      <c r="F258" s="84">
        <v>1170</v>
      </c>
      <c r="G258" s="84">
        <v>3780</v>
      </c>
    </row>
    <row r="259" spans="1:7" s="73" customFormat="1" ht="14.25" customHeight="1">
      <c r="A259" s="84" t="s">
        <v>311</v>
      </c>
      <c r="B259" s="84" t="s">
        <v>2638</v>
      </c>
      <c r="C259" s="84">
        <v>7610</v>
      </c>
      <c r="D259" s="84">
        <v>7570</v>
      </c>
      <c r="E259" s="84">
        <v>9350</v>
      </c>
      <c r="F259" s="84">
        <v>1350</v>
      </c>
      <c r="G259" s="84">
        <v>4650</v>
      </c>
    </row>
    <row r="260" spans="1:7" s="73" customFormat="1" ht="14.25" customHeight="1">
      <c r="A260" s="84" t="s">
        <v>311</v>
      </c>
      <c r="B260" s="84" t="s">
        <v>2639</v>
      </c>
      <c r="C260" s="84">
        <v>6920</v>
      </c>
      <c r="D260" s="84">
        <v>6880</v>
      </c>
      <c r="E260" s="84">
        <v>8380</v>
      </c>
      <c r="F260" s="84">
        <v>1160</v>
      </c>
      <c r="G260" s="84">
        <v>4220</v>
      </c>
    </row>
    <row r="261" spans="1:7" s="73" customFormat="1" ht="14.25" customHeight="1">
      <c r="A261" s="84" t="s">
        <v>311</v>
      </c>
      <c r="B261" s="84" t="s">
        <v>2640</v>
      </c>
      <c r="C261" s="84">
        <v>6850</v>
      </c>
      <c r="D261" s="84">
        <v>6810</v>
      </c>
      <c r="E261" s="84">
        <v>8290</v>
      </c>
      <c r="F261" s="84">
        <v>1130</v>
      </c>
      <c r="G261" s="84">
        <v>4180</v>
      </c>
    </row>
    <row r="262" spans="1:7" s="73" customFormat="1" ht="14.25" customHeight="1">
      <c r="A262" s="84" t="s">
        <v>311</v>
      </c>
      <c r="B262" s="84" t="s">
        <v>2641</v>
      </c>
      <c r="C262" s="84">
        <v>5860</v>
      </c>
      <c r="D262" s="84">
        <v>5820</v>
      </c>
      <c r="E262" s="84">
        <v>7640</v>
      </c>
      <c r="F262" s="84">
        <v>1070</v>
      </c>
      <c r="G262" s="84">
        <v>3570</v>
      </c>
    </row>
    <row r="263" spans="1:7" s="73" customFormat="1" ht="14.25" customHeight="1">
      <c r="A263" s="84" t="s">
        <v>311</v>
      </c>
      <c r="B263" s="84" t="s">
        <v>2642</v>
      </c>
      <c r="C263" s="84">
        <v>5870</v>
      </c>
      <c r="D263" s="84">
        <v>5840</v>
      </c>
      <c r="E263" s="84">
        <v>7270</v>
      </c>
      <c r="F263" s="84">
        <v>1190</v>
      </c>
      <c r="G263" s="84">
        <v>3580</v>
      </c>
    </row>
    <row r="264" spans="1:7" s="73" customFormat="1" ht="14.25" customHeight="1">
      <c r="A264" s="84" t="s">
        <v>311</v>
      </c>
      <c r="B264" s="84" t="s">
        <v>2643</v>
      </c>
      <c r="C264" s="84">
        <v>6190</v>
      </c>
      <c r="D264" s="84">
        <v>6150</v>
      </c>
      <c r="E264" s="84">
        <v>7660</v>
      </c>
      <c r="F264" s="84">
        <v>1160</v>
      </c>
      <c r="G264" s="84">
        <v>3770</v>
      </c>
    </row>
    <row r="265" spans="1:7" s="73" customFormat="1" ht="14.25" customHeight="1">
      <c r="A265" s="84" t="s">
        <v>311</v>
      </c>
      <c r="B265" s="84" t="s">
        <v>2644</v>
      </c>
      <c r="C265" s="84"/>
      <c r="D265" s="84"/>
      <c r="E265" s="84"/>
      <c r="F265" s="84">
        <v>1500</v>
      </c>
      <c r="G265" s="84"/>
    </row>
    <row r="266" spans="1:7" s="73" customFormat="1" ht="14.25" customHeight="1">
      <c r="A266" s="84" t="s">
        <v>311</v>
      </c>
      <c r="B266" s="84" t="s">
        <v>2645</v>
      </c>
      <c r="C266" s="84"/>
      <c r="D266" s="84"/>
      <c r="E266" s="84"/>
      <c r="F266" s="84">
        <v>1500</v>
      </c>
      <c r="G266" s="84"/>
    </row>
    <row r="267" spans="1:7" s="73" customFormat="1" ht="14.25" customHeight="1">
      <c r="A267" s="84" t="s">
        <v>311</v>
      </c>
      <c r="B267" s="84" t="s">
        <v>2646</v>
      </c>
      <c r="C267" s="84"/>
      <c r="D267" s="84"/>
      <c r="E267" s="84"/>
      <c r="F267" s="84">
        <v>1500</v>
      </c>
      <c r="G267" s="84"/>
    </row>
    <row r="268" spans="1:7" s="73" customFormat="1" ht="14.25" customHeight="1">
      <c r="A268" s="84" t="s">
        <v>311</v>
      </c>
      <c r="B268" s="84" t="s">
        <v>2647</v>
      </c>
      <c r="C268" s="84"/>
      <c r="D268" s="84"/>
      <c r="E268" s="84"/>
      <c r="F268" s="84">
        <v>1290</v>
      </c>
      <c r="G268" s="84"/>
    </row>
    <row r="269" spans="1:7" s="73" customFormat="1" ht="14.25" customHeight="1">
      <c r="A269" s="84" t="s">
        <v>311</v>
      </c>
      <c r="B269" s="84" t="s">
        <v>2648</v>
      </c>
      <c r="C269" s="84"/>
      <c r="D269" s="84"/>
      <c r="E269" s="84"/>
      <c r="F269" s="84">
        <v>1150</v>
      </c>
      <c r="G269" s="84"/>
    </row>
    <row r="270" spans="1:7" s="73" customFormat="1" ht="14.25" customHeight="1">
      <c r="A270" s="84" t="s">
        <v>311</v>
      </c>
      <c r="B270" s="84" t="s">
        <v>2649</v>
      </c>
      <c r="C270" s="84"/>
      <c r="D270" s="84"/>
      <c r="E270" s="84"/>
      <c r="F270" s="84">
        <v>1380</v>
      </c>
      <c r="G270" s="84"/>
    </row>
    <row r="271" spans="1:7" s="73" customFormat="1" ht="14.25" customHeight="1">
      <c r="A271" s="84" t="s">
        <v>311</v>
      </c>
      <c r="B271" s="84" t="s">
        <v>2650</v>
      </c>
      <c r="C271" s="84"/>
      <c r="D271" s="84"/>
      <c r="E271" s="84"/>
      <c r="F271" s="84">
        <v>1460</v>
      </c>
      <c r="G271" s="84"/>
    </row>
    <row r="272" spans="1:7" s="73" customFormat="1" ht="14.25" customHeight="1">
      <c r="A272" s="84" t="s">
        <v>311</v>
      </c>
      <c r="B272" s="84" t="s">
        <v>2651</v>
      </c>
      <c r="C272" s="84"/>
      <c r="D272" s="84"/>
      <c r="E272" s="84"/>
      <c r="F272" s="84">
        <v>1460</v>
      </c>
      <c r="G272" s="84"/>
    </row>
    <row r="273" spans="1:7" s="73" customFormat="1" ht="14.25" customHeight="1">
      <c r="A273" s="84" t="s">
        <v>311</v>
      </c>
      <c r="B273" s="84" t="s">
        <v>2652</v>
      </c>
      <c r="C273" s="84"/>
      <c r="D273" s="84"/>
      <c r="E273" s="84"/>
      <c r="F273" s="84">
        <v>1490</v>
      </c>
      <c r="G273" s="84"/>
    </row>
    <row r="274" spans="1:7" s="73" customFormat="1" ht="14.25" customHeight="1">
      <c r="A274" s="84" t="s">
        <v>311</v>
      </c>
      <c r="B274" s="84" t="s">
        <v>2653</v>
      </c>
      <c r="C274" s="84"/>
      <c r="D274" s="84"/>
      <c r="E274" s="84"/>
      <c r="F274" s="84">
        <v>1490</v>
      </c>
      <c r="G274" s="84"/>
    </row>
    <row r="275" spans="1:7" s="73" customFormat="1" ht="14.25" customHeight="1">
      <c r="A275" s="84" t="s">
        <v>311</v>
      </c>
      <c r="B275" s="84" t="s">
        <v>2654</v>
      </c>
      <c r="C275" s="84"/>
      <c r="D275" s="84"/>
      <c r="E275" s="84"/>
      <c r="F275" s="84">
        <v>1220</v>
      </c>
      <c r="G275" s="84"/>
    </row>
    <row r="276" spans="1:7" s="73" customFormat="1" ht="14.25" customHeight="1">
      <c r="A276" s="91" t="s">
        <v>311</v>
      </c>
      <c r="B276" s="93" t="s">
        <v>2655</v>
      </c>
      <c r="C276" s="94"/>
      <c r="D276" s="94"/>
      <c r="E276" s="94"/>
      <c r="F276" s="94">
        <v>1380</v>
      </c>
      <c r="G276" s="94"/>
    </row>
    <row r="277" spans="1:7" s="73" customFormat="1" ht="14.25" customHeight="1">
      <c r="A277" s="88" t="s">
        <v>318</v>
      </c>
      <c r="B277" s="80" t="s">
        <v>2656</v>
      </c>
      <c r="C277" s="80">
        <v>5790</v>
      </c>
      <c r="D277" s="80">
        <v>5740</v>
      </c>
      <c r="E277" s="80">
        <v>6730</v>
      </c>
      <c r="F277" s="80">
        <v>1110</v>
      </c>
      <c r="G277" s="95">
        <v>3460</v>
      </c>
    </row>
    <row r="278" spans="1:7" s="73" customFormat="1" ht="14.25" customHeight="1">
      <c r="A278" s="84" t="s">
        <v>318</v>
      </c>
      <c r="B278" s="84" t="s">
        <v>2657</v>
      </c>
      <c r="C278" s="84">
        <v>5740</v>
      </c>
      <c r="D278" s="84">
        <v>5670</v>
      </c>
      <c r="E278" s="84">
        <v>6680</v>
      </c>
      <c r="F278" s="84">
        <v>1070</v>
      </c>
      <c r="G278" s="96">
        <v>3420</v>
      </c>
    </row>
    <row r="279" spans="1:7" s="73" customFormat="1" ht="14.25" customHeight="1">
      <c r="A279" s="84" t="s">
        <v>318</v>
      </c>
      <c r="B279" s="84" t="s">
        <v>2658</v>
      </c>
      <c r="C279" s="84">
        <v>4760</v>
      </c>
      <c r="D279" s="84">
        <v>4720</v>
      </c>
      <c r="E279" s="84">
        <v>5540</v>
      </c>
      <c r="F279" s="84">
        <v>810</v>
      </c>
      <c r="G279" s="96">
        <v>2850</v>
      </c>
    </row>
    <row r="280" spans="1:7" s="73" customFormat="1" ht="14.25" customHeight="1">
      <c r="A280" s="84" t="s">
        <v>318</v>
      </c>
      <c r="B280" s="84" t="s">
        <v>2659</v>
      </c>
      <c r="C280" s="84">
        <v>4010</v>
      </c>
      <c r="D280" s="84">
        <v>3950</v>
      </c>
      <c r="E280" s="84">
        <v>4710</v>
      </c>
      <c r="F280" s="84">
        <v>800</v>
      </c>
      <c r="G280" s="96">
        <v>2390</v>
      </c>
    </row>
    <row r="281" spans="1:7" s="73" customFormat="1" ht="14.25" customHeight="1">
      <c r="A281" s="84" t="s">
        <v>318</v>
      </c>
      <c r="B281" s="84" t="s">
        <v>2660</v>
      </c>
      <c r="C281" s="84">
        <v>4480</v>
      </c>
      <c r="D281" s="84">
        <v>4420</v>
      </c>
      <c r="E281" s="84">
        <v>5230</v>
      </c>
      <c r="F281" s="84">
        <v>870</v>
      </c>
      <c r="G281" s="96">
        <v>2660</v>
      </c>
    </row>
    <row r="282" spans="1:7" s="73" customFormat="1" ht="14.25" customHeight="1">
      <c r="A282" s="84" t="s">
        <v>318</v>
      </c>
      <c r="B282" s="84" t="s">
        <v>2661</v>
      </c>
      <c r="C282" s="84">
        <v>5360</v>
      </c>
      <c r="D282" s="84">
        <v>5300</v>
      </c>
      <c r="E282" s="84">
        <v>6190</v>
      </c>
      <c r="F282" s="84">
        <v>950</v>
      </c>
      <c r="G282" s="96">
        <v>3190</v>
      </c>
    </row>
    <row r="283" spans="1:7" s="73" customFormat="1" ht="14.25" customHeight="1">
      <c r="A283" s="84" t="s">
        <v>318</v>
      </c>
      <c r="B283" s="84" t="s">
        <v>2662</v>
      </c>
      <c r="C283" s="84">
        <v>4950</v>
      </c>
      <c r="D283" s="84">
        <v>4900</v>
      </c>
      <c r="E283" s="84">
        <v>5720</v>
      </c>
      <c r="F283" s="84">
        <v>920</v>
      </c>
      <c r="G283" s="96">
        <v>2950</v>
      </c>
    </row>
    <row r="284" spans="1:7" s="73" customFormat="1" ht="14.25" customHeight="1">
      <c r="A284" s="84" t="s">
        <v>318</v>
      </c>
      <c r="B284" s="84" t="s">
        <v>2663</v>
      </c>
      <c r="C284" s="84">
        <v>5610</v>
      </c>
      <c r="D284" s="84">
        <v>5560</v>
      </c>
      <c r="E284" s="84">
        <v>6520</v>
      </c>
      <c r="F284" s="84">
        <v>1030</v>
      </c>
      <c r="G284" s="96">
        <v>3360</v>
      </c>
    </row>
    <row r="285" spans="1:7" s="73" customFormat="1" ht="14.25" customHeight="1">
      <c r="A285" s="84" t="s">
        <v>318</v>
      </c>
      <c r="B285" s="84" t="s">
        <v>2664</v>
      </c>
      <c r="C285" s="84">
        <v>5340</v>
      </c>
      <c r="D285" s="84">
        <v>5290</v>
      </c>
      <c r="E285" s="84">
        <v>6170</v>
      </c>
      <c r="F285" s="84">
        <v>1080</v>
      </c>
      <c r="G285" s="96">
        <v>3180</v>
      </c>
    </row>
    <row r="286" spans="1:7" s="73" customFormat="1" ht="14.25" customHeight="1">
      <c r="A286" s="84" t="s">
        <v>318</v>
      </c>
      <c r="B286" s="84" t="s">
        <v>2665</v>
      </c>
      <c r="C286" s="84">
        <v>4890</v>
      </c>
      <c r="D286" s="84">
        <v>4840</v>
      </c>
      <c r="E286" s="84">
        <v>5640</v>
      </c>
      <c r="F286" s="84">
        <v>960</v>
      </c>
      <c r="G286" s="96">
        <v>2910</v>
      </c>
    </row>
    <row r="287" spans="1:7" s="73" customFormat="1" ht="14.25" customHeight="1">
      <c r="A287" s="84" t="s">
        <v>318</v>
      </c>
      <c r="B287" s="84" t="s">
        <v>2666</v>
      </c>
      <c r="C287" s="84">
        <v>4960</v>
      </c>
      <c r="D287" s="84">
        <v>4920</v>
      </c>
      <c r="E287" s="84">
        <v>5730</v>
      </c>
      <c r="F287" s="84">
        <v>930</v>
      </c>
      <c r="G287" s="96">
        <v>2960</v>
      </c>
    </row>
    <row r="288" spans="1:7" s="73" customFormat="1" ht="14.25" customHeight="1">
      <c r="A288" s="84" t="s">
        <v>318</v>
      </c>
      <c r="B288" s="84" t="s">
        <v>2667</v>
      </c>
      <c r="C288" s="84">
        <v>4350</v>
      </c>
      <c r="D288" s="84">
        <v>4300</v>
      </c>
      <c r="E288" s="84">
        <v>4900</v>
      </c>
      <c r="F288" s="84">
        <v>820</v>
      </c>
      <c r="G288" s="96">
        <v>2590</v>
      </c>
    </row>
    <row r="289" spans="1:7" s="73" customFormat="1" ht="14.25" customHeight="1">
      <c r="A289" s="84" t="s">
        <v>318</v>
      </c>
      <c r="B289" s="84" t="s">
        <v>2668</v>
      </c>
      <c r="C289" s="84">
        <v>5230</v>
      </c>
      <c r="D289" s="84">
        <v>5170</v>
      </c>
      <c r="E289" s="84">
        <v>6060</v>
      </c>
      <c r="F289" s="84">
        <v>900</v>
      </c>
      <c r="G289" s="96">
        <v>3120</v>
      </c>
    </row>
    <row r="290" spans="1:7" s="73" customFormat="1" ht="14.25" customHeight="1">
      <c r="A290" s="84" t="s">
        <v>318</v>
      </c>
      <c r="B290" s="84" t="s">
        <v>2669</v>
      </c>
      <c r="C290" s="84">
        <v>5550</v>
      </c>
      <c r="D290" s="84">
        <v>5500</v>
      </c>
      <c r="E290" s="84">
        <v>6440</v>
      </c>
      <c r="F290" s="84">
        <v>960</v>
      </c>
      <c r="G290" s="96">
        <v>3320</v>
      </c>
    </row>
    <row r="291" spans="1:7" s="73" customFormat="1" ht="14.25" customHeight="1">
      <c r="A291" s="84" t="s">
        <v>318</v>
      </c>
      <c r="B291" s="84" t="s">
        <v>2670</v>
      </c>
      <c r="C291" s="84">
        <v>5440</v>
      </c>
      <c r="D291" s="84">
        <v>5400</v>
      </c>
      <c r="E291" s="84">
        <v>6320</v>
      </c>
      <c r="F291" s="84">
        <v>930</v>
      </c>
      <c r="G291" s="96">
        <v>3250</v>
      </c>
    </row>
    <row r="292" spans="1:7" s="73" customFormat="1" ht="14.25" customHeight="1">
      <c r="A292" s="84" t="s">
        <v>318</v>
      </c>
      <c r="B292" s="84" t="s">
        <v>2671</v>
      </c>
      <c r="C292" s="84">
        <v>5400</v>
      </c>
      <c r="D292" s="84">
        <v>5360</v>
      </c>
      <c r="E292" s="84">
        <v>6270</v>
      </c>
      <c r="F292" s="84">
        <v>1040</v>
      </c>
      <c r="G292" s="96">
        <v>3230</v>
      </c>
    </row>
    <row r="293" spans="1:7" s="73" customFormat="1" ht="14.25" customHeight="1">
      <c r="A293" s="84" t="s">
        <v>318</v>
      </c>
      <c r="B293" s="84" t="s">
        <v>2672</v>
      </c>
      <c r="C293" s="84">
        <v>5320</v>
      </c>
      <c r="D293" s="84">
        <v>5270</v>
      </c>
      <c r="E293" s="84">
        <v>6160</v>
      </c>
      <c r="F293" s="84">
        <v>990</v>
      </c>
      <c r="G293" s="96">
        <v>3170</v>
      </c>
    </row>
    <row r="294" spans="1:7" s="73" customFormat="1" ht="14.25" customHeight="1">
      <c r="A294" s="84" t="s">
        <v>318</v>
      </c>
      <c r="B294" s="84" t="s">
        <v>2673</v>
      </c>
      <c r="C294" s="84">
        <v>5260</v>
      </c>
      <c r="D294" s="84">
        <v>5210</v>
      </c>
      <c r="E294" s="84">
        <v>6100</v>
      </c>
      <c r="F294" s="84">
        <v>950</v>
      </c>
      <c r="G294" s="96">
        <v>3150</v>
      </c>
    </row>
    <row r="295" spans="1:7" s="73" customFormat="1" ht="14.25" customHeight="1">
      <c r="A295" s="84" t="s">
        <v>318</v>
      </c>
      <c r="B295" s="84" t="s">
        <v>2674</v>
      </c>
      <c r="C295" s="84">
        <v>5610</v>
      </c>
      <c r="D295" s="84">
        <v>5570</v>
      </c>
      <c r="E295" s="84">
        <v>6530</v>
      </c>
      <c r="F295" s="84">
        <v>960</v>
      </c>
      <c r="G295" s="96">
        <v>3360</v>
      </c>
    </row>
    <row r="296" spans="1:7" s="73" customFormat="1" ht="14.25" customHeight="1">
      <c r="A296" s="84" t="s">
        <v>318</v>
      </c>
      <c r="B296" s="84" t="s">
        <v>2675</v>
      </c>
      <c r="C296" s="84">
        <v>5540</v>
      </c>
      <c r="D296" s="84">
        <v>5490</v>
      </c>
      <c r="E296" s="84">
        <v>6430</v>
      </c>
      <c r="F296" s="84">
        <v>980</v>
      </c>
      <c r="G296" s="96">
        <v>3310</v>
      </c>
    </row>
    <row r="297" spans="1:7" s="73" customFormat="1" ht="14.25" customHeight="1">
      <c r="A297" s="84" t="s">
        <v>318</v>
      </c>
      <c r="B297" s="84" t="s">
        <v>2676</v>
      </c>
      <c r="C297" s="84">
        <v>5480</v>
      </c>
      <c r="D297" s="84">
        <v>5420</v>
      </c>
      <c r="E297" s="84">
        <v>6370</v>
      </c>
      <c r="F297" s="84">
        <v>990</v>
      </c>
      <c r="G297" s="96">
        <v>3270</v>
      </c>
    </row>
    <row r="298" spans="1:7" s="73" customFormat="1" ht="14.25" customHeight="1">
      <c r="A298" s="84" t="s">
        <v>318</v>
      </c>
      <c r="B298" s="84" t="s">
        <v>2677</v>
      </c>
      <c r="C298" s="84">
        <v>5090</v>
      </c>
      <c r="D298" s="84">
        <v>5050</v>
      </c>
      <c r="E298" s="84">
        <v>5910</v>
      </c>
      <c r="F298" s="84">
        <v>900</v>
      </c>
      <c r="G298" s="96">
        <v>3040</v>
      </c>
    </row>
    <row r="299" spans="1:7" s="73" customFormat="1" ht="14.25" customHeight="1">
      <c r="A299" s="84" t="s">
        <v>318</v>
      </c>
      <c r="B299" s="92" t="s">
        <v>2678</v>
      </c>
      <c r="C299" s="84">
        <v>5430</v>
      </c>
      <c r="D299" s="84">
        <v>5380</v>
      </c>
      <c r="E299" s="84">
        <v>6280</v>
      </c>
      <c r="F299" s="84">
        <v>1000</v>
      </c>
      <c r="G299" s="96">
        <v>3240</v>
      </c>
    </row>
    <row r="300" spans="1:7" s="73" customFormat="1" ht="14.25" customHeight="1">
      <c r="A300" s="84" t="s">
        <v>318</v>
      </c>
      <c r="B300" s="92" t="s">
        <v>2679</v>
      </c>
      <c r="C300" s="84">
        <v>4740</v>
      </c>
      <c r="D300" s="84">
        <v>4680</v>
      </c>
      <c r="E300" s="84">
        <v>5450</v>
      </c>
      <c r="F300" s="84">
        <v>900</v>
      </c>
      <c r="G300" s="96">
        <v>2830</v>
      </c>
    </row>
    <row r="301" spans="1:7" s="73" customFormat="1" ht="14.25" customHeight="1">
      <c r="A301" s="84" t="s">
        <v>318</v>
      </c>
      <c r="B301" s="92" t="s">
        <v>2680</v>
      </c>
      <c r="C301" s="84">
        <v>4870</v>
      </c>
      <c r="D301" s="84">
        <v>4810</v>
      </c>
      <c r="E301" s="84">
        <v>5560</v>
      </c>
      <c r="F301" s="84">
        <v>990</v>
      </c>
      <c r="G301" s="96">
        <v>2910</v>
      </c>
    </row>
    <row r="302" spans="1:7" s="73" customFormat="1" ht="14.25" customHeight="1">
      <c r="A302" s="84" t="s">
        <v>318</v>
      </c>
      <c r="B302" s="84" t="s">
        <v>2681</v>
      </c>
      <c r="C302" s="84">
        <v>5520</v>
      </c>
      <c r="D302" s="84">
        <v>5470</v>
      </c>
      <c r="E302" s="84">
        <v>6410</v>
      </c>
      <c r="F302" s="84">
        <v>950</v>
      </c>
      <c r="G302" s="96">
        <v>3300</v>
      </c>
    </row>
    <row r="303" spans="1:7" s="73" customFormat="1" ht="14.25" customHeight="1">
      <c r="A303" s="84" t="s">
        <v>318</v>
      </c>
      <c r="B303" s="84" t="s">
        <v>2682</v>
      </c>
      <c r="C303" s="84">
        <v>5630</v>
      </c>
      <c r="D303" s="84">
        <v>5590</v>
      </c>
      <c r="E303" s="84">
        <v>6550</v>
      </c>
      <c r="F303" s="84">
        <v>1010</v>
      </c>
      <c r="G303" s="96">
        <v>3370</v>
      </c>
    </row>
    <row r="304" spans="1:7" s="73" customFormat="1" ht="14.25" customHeight="1">
      <c r="A304" s="84" t="s">
        <v>318</v>
      </c>
      <c r="B304" s="84" t="s">
        <v>2683</v>
      </c>
      <c r="C304" s="84">
        <v>5680</v>
      </c>
      <c r="D304" s="84">
        <v>5620</v>
      </c>
      <c r="E304" s="84">
        <v>6620</v>
      </c>
      <c r="F304" s="84">
        <v>1050</v>
      </c>
      <c r="G304" s="96">
        <v>3390</v>
      </c>
    </row>
    <row r="305" spans="1:7" s="73" customFormat="1" ht="14.25" customHeight="1">
      <c r="A305" s="84" t="s">
        <v>318</v>
      </c>
      <c r="B305" s="84" t="s">
        <v>2684</v>
      </c>
      <c r="C305" s="84">
        <v>5590</v>
      </c>
      <c r="D305" s="84">
        <v>5530</v>
      </c>
      <c r="E305" s="84">
        <v>6460</v>
      </c>
      <c r="F305" s="84">
        <v>900</v>
      </c>
      <c r="G305" s="96">
        <v>3340</v>
      </c>
    </row>
    <row r="306" spans="1:7" s="73" customFormat="1" ht="14.25" customHeight="1">
      <c r="A306" s="84" t="s">
        <v>318</v>
      </c>
      <c r="B306" s="84" t="s">
        <v>2685</v>
      </c>
      <c r="C306" s="84">
        <v>5560</v>
      </c>
      <c r="D306" s="84">
        <v>5510</v>
      </c>
      <c r="E306" s="84">
        <v>6440</v>
      </c>
      <c r="F306" s="84">
        <v>900</v>
      </c>
      <c r="G306" s="96">
        <v>3320</v>
      </c>
    </row>
    <row r="307" spans="1:7" s="73" customFormat="1" ht="14.25" customHeight="1">
      <c r="A307" s="84" t="s">
        <v>318</v>
      </c>
      <c r="B307" s="84" t="s">
        <v>2686</v>
      </c>
      <c r="C307" s="84">
        <v>5650</v>
      </c>
      <c r="D307" s="84">
        <v>5600</v>
      </c>
      <c r="E307" s="84">
        <v>6590</v>
      </c>
      <c r="F307" s="84">
        <v>930</v>
      </c>
      <c r="G307" s="96">
        <v>3380</v>
      </c>
    </row>
    <row r="308" spans="1:7" s="73" customFormat="1" ht="14.25" customHeight="1">
      <c r="A308" s="84" t="s">
        <v>318</v>
      </c>
      <c r="B308" s="84" t="s">
        <v>2687</v>
      </c>
      <c r="C308" s="84">
        <v>5620</v>
      </c>
      <c r="D308" s="84">
        <v>5580</v>
      </c>
      <c r="E308" s="84">
        <v>6540</v>
      </c>
      <c r="F308" s="84">
        <v>910</v>
      </c>
      <c r="G308" s="96">
        <v>3370</v>
      </c>
    </row>
    <row r="309" spans="1:7" s="73" customFormat="1" ht="14.25" customHeight="1">
      <c r="A309" s="84" t="s">
        <v>318</v>
      </c>
      <c r="B309" s="84" t="s">
        <v>2688</v>
      </c>
      <c r="C309" s="84">
        <v>5060</v>
      </c>
      <c r="D309" s="84">
        <v>5020</v>
      </c>
      <c r="E309" s="84">
        <v>6370</v>
      </c>
      <c r="F309" s="84">
        <v>800</v>
      </c>
      <c r="G309" s="96">
        <v>3020</v>
      </c>
    </row>
    <row r="310" spans="1:7" s="73" customFormat="1" ht="14.25" customHeight="1">
      <c r="A310" s="84" t="s">
        <v>318</v>
      </c>
      <c r="B310" s="84" t="s">
        <v>2689</v>
      </c>
      <c r="C310" s="84">
        <v>5150</v>
      </c>
      <c r="D310" s="84">
        <v>5110</v>
      </c>
      <c r="E310" s="84">
        <v>6500</v>
      </c>
      <c r="F310" s="84">
        <v>880</v>
      </c>
      <c r="G310" s="96">
        <v>3080</v>
      </c>
    </row>
    <row r="311" spans="1:7" s="73" customFormat="1" ht="14.25" customHeight="1">
      <c r="A311" s="84" t="s">
        <v>318</v>
      </c>
      <c r="B311" s="84" t="s">
        <v>2690</v>
      </c>
      <c r="C311" s="84">
        <v>4750</v>
      </c>
      <c r="D311" s="84">
        <v>4710</v>
      </c>
      <c r="E311" s="84">
        <v>5510</v>
      </c>
      <c r="F311" s="84">
        <v>880</v>
      </c>
      <c r="G311" s="96">
        <v>2840</v>
      </c>
    </row>
    <row r="312" spans="1:7" s="73" customFormat="1" ht="14.25" customHeight="1">
      <c r="A312" s="84" t="s">
        <v>318</v>
      </c>
      <c r="B312" s="84" t="s">
        <v>2691</v>
      </c>
      <c r="C312" s="84">
        <v>4690</v>
      </c>
      <c r="D312" s="84">
        <v>4640</v>
      </c>
      <c r="E312" s="84">
        <v>5420</v>
      </c>
      <c r="F312" s="84">
        <v>800</v>
      </c>
      <c r="G312" s="96">
        <v>2800</v>
      </c>
    </row>
    <row r="313" spans="1:7" s="73" customFormat="1" ht="14.25" customHeight="1">
      <c r="A313" s="84" t="s">
        <v>318</v>
      </c>
      <c r="B313" s="84" t="s">
        <v>2692</v>
      </c>
      <c r="C313" s="84">
        <v>4810</v>
      </c>
      <c r="D313" s="84">
        <v>4760</v>
      </c>
      <c r="E313" s="84">
        <v>5550</v>
      </c>
      <c r="F313" s="84">
        <v>920</v>
      </c>
      <c r="G313" s="96">
        <v>2870</v>
      </c>
    </row>
    <row r="314" spans="1:7" s="73" customFormat="1" ht="14.25" customHeight="1">
      <c r="A314" s="84" t="s">
        <v>318</v>
      </c>
      <c r="B314" s="84" t="s">
        <v>2693</v>
      </c>
      <c r="C314" s="84"/>
      <c r="D314" s="84"/>
      <c r="E314" s="84"/>
      <c r="F314" s="84">
        <v>1020</v>
      </c>
      <c r="G314" s="96"/>
    </row>
    <row r="315" spans="1:7" s="73" customFormat="1" ht="14.25" customHeight="1">
      <c r="A315" s="84" t="s">
        <v>318</v>
      </c>
      <c r="B315" s="84" t="s">
        <v>2694</v>
      </c>
      <c r="C315" s="84"/>
      <c r="D315" s="84"/>
      <c r="E315" s="84"/>
      <c r="F315" s="84">
        <v>1050</v>
      </c>
      <c r="G315" s="96"/>
    </row>
    <row r="316" spans="1:7" s="73" customFormat="1" ht="14.25" customHeight="1">
      <c r="A316" s="84" t="s">
        <v>318</v>
      </c>
      <c r="B316" s="84" t="s">
        <v>2695</v>
      </c>
      <c r="C316" s="84"/>
      <c r="D316" s="84"/>
      <c r="E316" s="84"/>
      <c r="F316" s="84">
        <v>900</v>
      </c>
      <c r="G316" s="96"/>
    </row>
    <row r="317" spans="1:7" s="73" customFormat="1" ht="14.25" customHeight="1">
      <c r="A317" s="84" t="s">
        <v>318</v>
      </c>
      <c r="B317" s="84" t="s">
        <v>2696</v>
      </c>
      <c r="C317" s="84"/>
      <c r="D317" s="84"/>
      <c r="E317" s="84"/>
      <c r="F317" s="84">
        <v>920</v>
      </c>
      <c r="G317" s="96"/>
    </row>
    <row r="318" spans="1:7" s="73" customFormat="1" ht="14.25" customHeight="1">
      <c r="A318" s="84" t="s">
        <v>318</v>
      </c>
      <c r="B318" s="84" t="s">
        <v>2697</v>
      </c>
      <c r="C318" s="84"/>
      <c r="D318" s="84"/>
      <c r="E318" s="84"/>
      <c r="F318" s="84">
        <v>1080</v>
      </c>
      <c r="G318" s="96"/>
    </row>
    <row r="319" spans="1:7" s="73" customFormat="1" ht="14.25" customHeight="1">
      <c r="A319" s="84" t="s">
        <v>318</v>
      </c>
      <c r="B319" s="84" t="s">
        <v>2698</v>
      </c>
      <c r="C319" s="84"/>
      <c r="D319" s="84"/>
      <c r="E319" s="84"/>
      <c r="F319" s="84">
        <v>1020</v>
      </c>
      <c r="G319" s="96"/>
    </row>
    <row r="320" spans="1:7" s="73" customFormat="1" ht="14.25" customHeight="1">
      <c r="A320" s="84" t="s">
        <v>318</v>
      </c>
      <c r="B320" s="84" t="s">
        <v>2699</v>
      </c>
      <c r="C320" s="84"/>
      <c r="D320" s="84"/>
      <c r="E320" s="84"/>
      <c r="F320" s="84">
        <v>1050</v>
      </c>
      <c r="G320" s="96"/>
    </row>
    <row r="321" spans="1:7" s="73" customFormat="1" ht="14.25" customHeight="1">
      <c r="A321" s="84" t="s">
        <v>318</v>
      </c>
      <c r="B321" s="84" t="s">
        <v>2700</v>
      </c>
      <c r="C321" s="84"/>
      <c r="D321" s="84"/>
      <c r="E321" s="84"/>
      <c r="F321" s="84">
        <v>960</v>
      </c>
      <c r="G321" s="96"/>
    </row>
    <row r="322" spans="1:7" s="73" customFormat="1" ht="14.25" customHeight="1">
      <c r="A322" s="84" t="s">
        <v>318</v>
      </c>
      <c r="B322" s="84" t="s">
        <v>2701</v>
      </c>
      <c r="C322" s="84"/>
      <c r="D322" s="84"/>
      <c r="E322" s="84"/>
      <c r="F322" s="84">
        <v>960</v>
      </c>
      <c r="G322" s="96"/>
    </row>
    <row r="323" spans="1:7" s="73" customFormat="1" ht="14.25" customHeight="1">
      <c r="A323" s="84" t="s">
        <v>318</v>
      </c>
      <c r="B323" s="84" t="s">
        <v>2702</v>
      </c>
      <c r="C323" s="84"/>
      <c r="D323" s="84"/>
      <c r="E323" s="84"/>
      <c r="F323" s="84">
        <v>880</v>
      </c>
      <c r="G323" s="96"/>
    </row>
    <row r="324" spans="1:7" s="73" customFormat="1" ht="14.25" customHeight="1">
      <c r="A324" s="84" t="s">
        <v>318</v>
      </c>
      <c r="B324" s="84" t="s">
        <v>2703</v>
      </c>
      <c r="C324" s="84"/>
      <c r="D324" s="84"/>
      <c r="E324" s="84"/>
      <c r="F324" s="84">
        <v>930</v>
      </c>
      <c r="G324" s="96"/>
    </row>
    <row r="325" spans="1:7" s="73" customFormat="1" ht="14.25" customHeight="1">
      <c r="A325" s="84" t="s">
        <v>318</v>
      </c>
      <c r="B325" s="85" t="s">
        <v>2704</v>
      </c>
      <c r="C325" s="84"/>
      <c r="D325" s="84"/>
      <c r="E325" s="84"/>
      <c r="F325" s="84">
        <v>900</v>
      </c>
      <c r="G325" s="96"/>
    </row>
    <row r="326" spans="1:7" s="73" customFormat="1" ht="14.25" customHeight="1">
      <c r="A326" s="97" t="s">
        <v>318</v>
      </c>
      <c r="B326" s="90" t="s">
        <v>2705</v>
      </c>
      <c r="C326" s="90"/>
      <c r="D326" s="90"/>
      <c r="E326" s="90"/>
      <c r="F326" s="90">
        <v>790</v>
      </c>
      <c r="G326" s="98"/>
    </row>
    <row r="327" spans="1:7" s="73" customFormat="1" ht="14.25" customHeight="1">
      <c r="A327" s="88" t="s">
        <v>324</v>
      </c>
      <c r="B327" s="80" t="s">
        <v>2706</v>
      </c>
      <c r="C327" s="84">
        <v>3750</v>
      </c>
      <c r="D327" s="84">
        <v>3710</v>
      </c>
      <c r="E327" s="84">
        <v>4080</v>
      </c>
      <c r="F327" s="84">
        <v>860</v>
      </c>
      <c r="G327" s="84">
        <v>2210</v>
      </c>
    </row>
    <row r="328" spans="1:7" s="73" customFormat="1" ht="14.25" customHeight="1">
      <c r="A328" s="84" t="s">
        <v>324</v>
      </c>
      <c r="B328" s="84" t="s">
        <v>2707</v>
      </c>
      <c r="C328" s="84">
        <v>3330</v>
      </c>
      <c r="D328" s="84">
        <v>3290</v>
      </c>
      <c r="E328" s="84">
        <v>3610</v>
      </c>
      <c r="F328" s="84">
        <v>850</v>
      </c>
      <c r="G328" s="84">
        <v>1960</v>
      </c>
    </row>
    <row r="329" spans="1:7" s="73" customFormat="1" ht="14.25" customHeight="1">
      <c r="A329" s="84" t="s">
        <v>324</v>
      </c>
      <c r="B329" s="84" t="s">
        <v>2708</v>
      </c>
      <c r="C329" s="84">
        <v>2730</v>
      </c>
      <c r="D329" s="84">
        <v>2690</v>
      </c>
      <c r="E329" s="84">
        <v>3100</v>
      </c>
      <c r="F329" s="84">
        <v>660</v>
      </c>
      <c r="G329" s="84">
        <v>1610</v>
      </c>
    </row>
    <row r="330" spans="1:7" s="73" customFormat="1" ht="14.25" customHeight="1">
      <c r="A330" s="84" t="s">
        <v>324</v>
      </c>
      <c r="B330" s="84" t="s">
        <v>2709</v>
      </c>
      <c r="C330" s="84">
        <v>3270</v>
      </c>
      <c r="D330" s="84">
        <v>3240</v>
      </c>
      <c r="E330" s="84">
        <v>3560</v>
      </c>
      <c r="F330" s="84">
        <v>680</v>
      </c>
      <c r="G330" s="84">
        <v>1940</v>
      </c>
    </row>
    <row r="331" spans="1:7" s="73" customFormat="1" ht="14.25" customHeight="1">
      <c r="A331" s="84" t="s">
        <v>324</v>
      </c>
      <c r="B331" s="84" t="s">
        <v>2710</v>
      </c>
      <c r="C331" s="84">
        <v>3770</v>
      </c>
      <c r="D331" s="84">
        <v>3740</v>
      </c>
      <c r="E331" s="84">
        <v>4110</v>
      </c>
      <c r="F331" s="84">
        <v>730</v>
      </c>
      <c r="G331" s="84">
        <v>2230</v>
      </c>
    </row>
    <row r="332" spans="1:7" s="73" customFormat="1" ht="14.25" customHeight="1">
      <c r="A332" s="84" t="s">
        <v>324</v>
      </c>
      <c r="B332" s="84" t="s">
        <v>2711</v>
      </c>
      <c r="C332" s="84">
        <v>3520</v>
      </c>
      <c r="D332" s="84">
        <v>3480</v>
      </c>
      <c r="E332" s="84">
        <v>3830</v>
      </c>
      <c r="F332" s="84">
        <v>720</v>
      </c>
      <c r="G332" s="84">
        <v>2090</v>
      </c>
    </row>
    <row r="333" spans="1:7" s="73" customFormat="1" ht="14.25" customHeight="1">
      <c r="A333" s="84" t="s">
        <v>324</v>
      </c>
      <c r="B333" s="84" t="s">
        <v>2712</v>
      </c>
      <c r="C333" s="84">
        <v>3840</v>
      </c>
      <c r="D333" s="84">
        <v>3800</v>
      </c>
      <c r="E333" s="84">
        <v>4200</v>
      </c>
      <c r="F333" s="84">
        <v>760</v>
      </c>
      <c r="G333" s="84">
        <v>2270</v>
      </c>
    </row>
    <row r="334" spans="1:7" s="73" customFormat="1" ht="14.25" customHeight="1">
      <c r="A334" s="84" t="s">
        <v>324</v>
      </c>
      <c r="B334" s="84" t="s">
        <v>2713</v>
      </c>
      <c r="C334" s="84">
        <v>3960</v>
      </c>
      <c r="D334" s="84">
        <v>3910</v>
      </c>
      <c r="E334" s="84">
        <v>4340</v>
      </c>
      <c r="F334" s="84">
        <v>780</v>
      </c>
      <c r="G334" s="84">
        <v>2340</v>
      </c>
    </row>
    <row r="335" spans="1:7" s="73" customFormat="1" ht="14.25" customHeight="1">
      <c r="A335" s="84" t="s">
        <v>324</v>
      </c>
      <c r="B335" s="84" t="s">
        <v>2714</v>
      </c>
      <c r="C335" s="84">
        <v>3710</v>
      </c>
      <c r="D335" s="84">
        <v>3670</v>
      </c>
      <c r="E335" s="84">
        <v>4030</v>
      </c>
      <c r="F335" s="84">
        <v>750</v>
      </c>
      <c r="G335" s="84">
        <v>2200</v>
      </c>
    </row>
    <row r="336" spans="1:7" s="73" customFormat="1" ht="14.25" customHeight="1">
      <c r="A336" s="84" t="s">
        <v>324</v>
      </c>
      <c r="B336" s="84" t="s">
        <v>2715</v>
      </c>
      <c r="C336" s="84">
        <v>3570</v>
      </c>
      <c r="D336" s="84">
        <v>3530</v>
      </c>
      <c r="E336" s="84">
        <v>3880</v>
      </c>
      <c r="F336" s="84">
        <v>770</v>
      </c>
      <c r="G336" s="84">
        <v>2110</v>
      </c>
    </row>
    <row r="337" spans="1:10" s="73" customFormat="1" ht="14.25" customHeight="1">
      <c r="A337" s="84" t="s">
        <v>324</v>
      </c>
      <c r="B337" s="84" t="s">
        <v>2716</v>
      </c>
      <c r="C337" s="84">
        <v>3780</v>
      </c>
      <c r="D337" s="84">
        <v>3750</v>
      </c>
      <c r="E337" s="84">
        <v>4130</v>
      </c>
      <c r="F337" s="84">
        <v>750</v>
      </c>
      <c r="G337" s="84">
        <v>2240</v>
      </c>
    </row>
    <row r="338" spans="1:10" s="73" customFormat="1" ht="14.25" customHeight="1">
      <c r="A338" s="84" t="s">
        <v>324</v>
      </c>
      <c r="B338" s="84" t="s">
        <v>2717</v>
      </c>
      <c r="C338" s="84">
        <v>3600</v>
      </c>
      <c r="D338" s="84">
        <v>3570</v>
      </c>
      <c r="E338" s="84">
        <v>3920</v>
      </c>
      <c r="F338" s="84">
        <v>790</v>
      </c>
      <c r="G338" s="84">
        <v>2140</v>
      </c>
    </row>
    <row r="339" spans="1:10" s="73" customFormat="1" ht="14.25" customHeight="1">
      <c r="A339" s="84" t="s">
        <v>324</v>
      </c>
      <c r="B339" s="84" t="s">
        <v>2718</v>
      </c>
      <c r="C339" s="84">
        <v>3540</v>
      </c>
      <c r="D339" s="84">
        <v>3500</v>
      </c>
      <c r="E339" s="84">
        <v>3850</v>
      </c>
      <c r="F339" s="84">
        <v>780</v>
      </c>
      <c r="G339" s="84">
        <v>2100</v>
      </c>
    </row>
    <row r="340" spans="1:10" s="73" customFormat="1" ht="14.25" customHeight="1">
      <c r="A340" s="84" t="s">
        <v>324</v>
      </c>
      <c r="B340" s="84" t="s">
        <v>2719</v>
      </c>
      <c r="C340" s="84">
        <v>3850</v>
      </c>
      <c r="D340" s="84">
        <v>3810</v>
      </c>
      <c r="E340" s="84">
        <v>4210</v>
      </c>
      <c r="F340" s="84">
        <v>750</v>
      </c>
      <c r="G340" s="84">
        <v>2280</v>
      </c>
    </row>
    <row r="341" spans="1:10" s="73" customFormat="1" ht="14.25" customHeight="1">
      <c r="A341" s="84" t="s">
        <v>324</v>
      </c>
      <c r="B341" s="84" t="s">
        <v>2720</v>
      </c>
      <c r="C341" s="84">
        <v>3780</v>
      </c>
      <c r="D341" s="84">
        <v>3750</v>
      </c>
      <c r="E341" s="84">
        <v>4140</v>
      </c>
      <c r="F341" s="84">
        <v>720</v>
      </c>
      <c r="G341" s="84">
        <v>2240</v>
      </c>
    </row>
    <row r="342" spans="1:10" s="73" customFormat="1" ht="14.25" customHeight="1">
      <c r="A342" s="84" t="s">
        <v>324</v>
      </c>
      <c r="B342" s="84" t="s">
        <v>2721</v>
      </c>
      <c r="C342" s="84">
        <v>3670</v>
      </c>
      <c r="D342" s="84">
        <v>3620</v>
      </c>
      <c r="E342" s="84">
        <v>3990</v>
      </c>
      <c r="F342" s="84">
        <v>760</v>
      </c>
      <c r="G342" s="84">
        <v>2170</v>
      </c>
    </row>
    <row r="343" spans="1:10" s="73" customFormat="1" ht="14.25" customHeight="1">
      <c r="A343" s="84" t="s">
        <v>324</v>
      </c>
      <c r="B343" s="84" t="s">
        <v>2722</v>
      </c>
      <c r="C343" s="84">
        <v>3760</v>
      </c>
      <c r="D343" s="84">
        <v>3720</v>
      </c>
      <c r="E343" s="84">
        <v>4090</v>
      </c>
      <c r="F343" s="84">
        <v>780</v>
      </c>
      <c r="G343" s="84">
        <v>2220</v>
      </c>
    </row>
    <row r="344" spans="1:10" s="73" customFormat="1" ht="14.25" customHeight="1">
      <c r="A344" s="84" t="s">
        <v>324</v>
      </c>
      <c r="B344" s="84" t="s">
        <v>2723</v>
      </c>
      <c r="C344" s="84">
        <v>3680</v>
      </c>
      <c r="D344" s="84">
        <v>3640</v>
      </c>
      <c r="E344" s="84">
        <v>4010</v>
      </c>
      <c r="F344" s="84">
        <v>750</v>
      </c>
      <c r="G344" s="84">
        <v>2180</v>
      </c>
    </row>
    <row r="345" spans="1:10">
      <c r="A345" s="84" t="s">
        <v>324</v>
      </c>
      <c r="B345" s="84" t="s">
        <v>2724</v>
      </c>
      <c r="C345" s="84">
        <v>3190</v>
      </c>
      <c r="D345" s="84">
        <v>3140</v>
      </c>
      <c r="E345" s="84">
        <v>3450</v>
      </c>
      <c r="F345" s="84">
        <v>720</v>
      </c>
      <c r="G345" s="84">
        <v>1880</v>
      </c>
      <c r="J345" s="73"/>
    </row>
    <row r="346" spans="1:10">
      <c r="A346" s="84" t="s">
        <v>324</v>
      </c>
      <c r="B346" s="84" t="s">
        <v>2725</v>
      </c>
      <c r="C346" s="84">
        <v>3630</v>
      </c>
      <c r="D346" s="84">
        <v>3590</v>
      </c>
      <c r="E346" s="84">
        <v>3940</v>
      </c>
      <c r="F346" s="84">
        <v>730</v>
      </c>
      <c r="G346" s="84">
        <v>2150</v>
      </c>
      <c r="J346" s="73"/>
    </row>
    <row r="347" spans="1:10">
      <c r="A347" s="84" t="s">
        <v>324</v>
      </c>
      <c r="B347" s="84" t="s">
        <v>2726</v>
      </c>
      <c r="C347" s="84">
        <v>3860</v>
      </c>
      <c r="D347" s="84">
        <v>3820</v>
      </c>
      <c r="E347" s="84">
        <v>4220</v>
      </c>
      <c r="F347" s="84">
        <v>750</v>
      </c>
      <c r="G347" s="84">
        <v>2280</v>
      </c>
      <c r="J347" s="73"/>
    </row>
    <row r="348" spans="1:10">
      <c r="A348" s="84" t="s">
        <v>324</v>
      </c>
      <c r="B348" s="84" t="s">
        <v>2727</v>
      </c>
      <c r="C348" s="84">
        <v>4000</v>
      </c>
      <c r="D348" s="84">
        <v>3950</v>
      </c>
      <c r="E348" s="84">
        <v>4430</v>
      </c>
      <c r="F348" s="84">
        <v>760</v>
      </c>
      <c r="G348" s="84">
        <v>2360</v>
      </c>
      <c r="J348" s="73"/>
    </row>
    <row r="349" spans="1:10">
      <c r="A349" s="84" t="s">
        <v>324</v>
      </c>
      <c r="B349" s="84" t="s">
        <v>2728</v>
      </c>
      <c r="C349" s="84">
        <v>3820</v>
      </c>
      <c r="D349" s="84">
        <v>3780</v>
      </c>
      <c r="E349" s="84">
        <v>4170</v>
      </c>
      <c r="F349" s="84">
        <v>710</v>
      </c>
      <c r="G349" s="84">
        <v>2260</v>
      </c>
      <c r="J349" s="73"/>
    </row>
    <row r="350" spans="1:10">
      <c r="A350" s="84" t="s">
        <v>324</v>
      </c>
      <c r="B350" s="84" t="s">
        <v>2729</v>
      </c>
      <c r="C350" s="84">
        <v>3760</v>
      </c>
      <c r="D350" s="84">
        <v>3730</v>
      </c>
      <c r="E350" s="84">
        <v>4100</v>
      </c>
      <c r="F350" s="84">
        <v>800</v>
      </c>
      <c r="G350" s="84">
        <v>2230</v>
      </c>
      <c r="J350" s="73"/>
    </row>
    <row r="351" spans="1:10">
      <c r="A351" s="84" t="s">
        <v>324</v>
      </c>
      <c r="B351" s="84" t="s">
        <v>2730</v>
      </c>
      <c r="C351" s="84">
        <v>3610</v>
      </c>
      <c r="D351" s="84">
        <v>3580</v>
      </c>
      <c r="E351" s="84">
        <v>3930</v>
      </c>
      <c r="F351" s="84">
        <v>700</v>
      </c>
      <c r="G351" s="84">
        <v>2140</v>
      </c>
      <c r="J351" s="73"/>
    </row>
    <row r="352" spans="1:10">
      <c r="A352" s="84" t="s">
        <v>324</v>
      </c>
      <c r="B352" s="84" t="s">
        <v>2731</v>
      </c>
      <c r="C352" s="84">
        <v>3670</v>
      </c>
      <c r="D352" s="84">
        <v>3630</v>
      </c>
      <c r="E352" s="84">
        <v>4000</v>
      </c>
      <c r="F352" s="84">
        <v>750</v>
      </c>
      <c r="G352" s="84">
        <v>2180</v>
      </c>
    </row>
    <row r="353" spans="1:7" s="74" customFormat="1">
      <c r="A353" s="84" t="s">
        <v>324</v>
      </c>
      <c r="B353" s="84" t="s">
        <v>2732</v>
      </c>
      <c r="C353" s="84">
        <v>3190</v>
      </c>
      <c r="D353" s="84">
        <v>3150</v>
      </c>
      <c r="E353" s="84">
        <v>3640</v>
      </c>
      <c r="F353" s="84">
        <v>630</v>
      </c>
      <c r="G353" s="84">
        <v>1890</v>
      </c>
    </row>
    <row r="354" spans="1:7" s="74" customFormat="1">
      <c r="A354" s="84" t="s">
        <v>324</v>
      </c>
      <c r="B354" s="84" t="s">
        <v>2733</v>
      </c>
      <c r="C354" s="84">
        <v>3450</v>
      </c>
      <c r="D354" s="84">
        <v>3420</v>
      </c>
      <c r="E354" s="84">
        <v>3960</v>
      </c>
      <c r="F354" s="84">
        <v>660</v>
      </c>
      <c r="G354" s="84">
        <v>2050</v>
      </c>
    </row>
    <row r="355" spans="1:7" s="74" customFormat="1">
      <c r="A355" s="84" t="s">
        <v>324</v>
      </c>
      <c r="B355" s="84" t="s">
        <v>2734</v>
      </c>
      <c r="C355" s="84">
        <v>3650</v>
      </c>
      <c r="D355" s="84">
        <v>3610</v>
      </c>
      <c r="E355" s="84">
        <v>4200</v>
      </c>
      <c r="F355" s="84">
        <v>640</v>
      </c>
      <c r="G355" s="84">
        <v>2160</v>
      </c>
    </row>
    <row r="356" spans="1:7" s="74" customFormat="1">
      <c r="A356" s="84" t="s">
        <v>324</v>
      </c>
      <c r="B356" s="84" t="s">
        <v>2735</v>
      </c>
      <c r="C356" s="84">
        <v>3260</v>
      </c>
      <c r="D356" s="84">
        <v>3230</v>
      </c>
      <c r="E356" s="84">
        <v>3740</v>
      </c>
      <c r="F356" s="84">
        <v>600</v>
      </c>
      <c r="G356" s="84">
        <v>1930</v>
      </c>
    </row>
    <row r="357" spans="1:7" s="74" customFormat="1">
      <c r="A357" s="91" t="s">
        <v>324</v>
      </c>
      <c r="B357" s="94" t="s">
        <v>2736</v>
      </c>
      <c r="C357" s="94">
        <v>3690</v>
      </c>
      <c r="D357" s="94">
        <v>3650</v>
      </c>
      <c r="E357" s="94">
        <v>4020</v>
      </c>
      <c r="F357" s="94">
        <v>700</v>
      </c>
      <c r="G357" s="94">
        <v>2190</v>
      </c>
    </row>
    <row r="358" spans="1:7" s="74" customFormat="1">
      <c r="A358" s="88" t="s">
        <v>330</v>
      </c>
      <c r="B358" s="80" t="s">
        <v>2737</v>
      </c>
      <c r="C358" s="80">
        <v>2080</v>
      </c>
      <c r="D358" s="80">
        <v>2040</v>
      </c>
      <c r="E358" s="80">
        <v>2010</v>
      </c>
      <c r="F358" s="80">
        <v>530</v>
      </c>
      <c r="G358" s="95">
        <v>1230</v>
      </c>
    </row>
    <row r="359" spans="1:7" s="74" customFormat="1">
      <c r="A359" s="84" t="s">
        <v>330</v>
      </c>
      <c r="B359" s="84" t="s">
        <v>2738</v>
      </c>
      <c r="C359" s="84">
        <v>1850</v>
      </c>
      <c r="D359" s="84">
        <v>1820</v>
      </c>
      <c r="E359" s="84">
        <v>1780</v>
      </c>
      <c r="F359" s="84">
        <v>520</v>
      </c>
      <c r="G359" s="96">
        <v>1100</v>
      </c>
    </row>
    <row r="360" spans="1:7" s="74" customFormat="1">
      <c r="A360" s="84" t="s">
        <v>330</v>
      </c>
      <c r="B360" s="84" t="s">
        <v>2739</v>
      </c>
      <c r="C360" s="84">
        <v>2020</v>
      </c>
      <c r="D360" s="84">
        <v>1990</v>
      </c>
      <c r="E360" s="84">
        <v>1950</v>
      </c>
      <c r="F360" s="84">
        <v>500</v>
      </c>
      <c r="G360" s="96">
        <v>1200</v>
      </c>
    </row>
    <row r="361" spans="1:7" s="74" customFormat="1">
      <c r="A361" s="84" t="s">
        <v>330</v>
      </c>
      <c r="B361" s="84" t="s">
        <v>2740</v>
      </c>
      <c r="C361" s="84">
        <v>2260</v>
      </c>
      <c r="D361" s="84">
        <v>2220</v>
      </c>
      <c r="E361" s="84">
        <v>2180</v>
      </c>
      <c r="F361" s="84">
        <v>580</v>
      </c>
      <c r="G361" s="96">
        <v>1340</v>
      </c>
    </row>
    <row r="362" spans="1:7" s="74" customFormat="1">
      <c r="A362" s="84" t="s">
        <v>330</v>
      </c>
      <c r="B362" s="84" t="s">
        <v>2741</v>
      </c>
      <c r="C362" s="84">
        <v>2650</v>
      </c>
      <c r="D362" s="84">
        <v>2610</v>
      </c>
      <c r="E362" s="84">
        <v>2570</v>
      </c>
      <c r="F362" s="84">
        <v>630</v>
      </c>
      <c r="G362" s="96">
        <v>1570</v>
      </c>
    </row>
    <row r="363" spans="1:7" s="74" customFormat="1">
      <c r="A363" s="84" t="s">
        <v>330</v>
      </c>
      <c r="B363" s="84" t="s">
        <v>2742</v>
      </c>
      <c r="C363" s="84">
        <v>2390</v>
      </c>
      <c r="D363" s="84">
        <v>2360</v>
      </c>
      <c r="E363" s="84">
        <v>2320</v>
      </c>
      <c r="F363" s="84">
        <v>600</v>
      </c>
      <c r="G363" s="96">
        <v>1420</v>
      </c>
    </row>
    <row r="364" spans="1:7" s="74" customFormat="1">
      <c r="A364" s="84" t="s">
        <v>330</v>
      </c>
      <c r="B364" s="84" t="s">
        <v>2743</v>
      </c>
      <c r="C364" s="84">
        <v>2050</v>
      </c>
      <c r="D364" s="84">
        <v>2030</v>
      </c>
      <c r="E364" s="84">
        <v>1990</v>
      </c>
      <c r="F364" s="84">
        <v>550</v>
      </c>
      <c r="G364" s="96">
        <v>1220</v>
      </c>
    </row>
    <row r="365" spans="1:7" s="74" customFormat="1">
      <c r="A365" s="84" t="s">
        <v>330</v>
      </c>
      <c r="B365" s="84" t="s">
        <v>2744</v>
      </c>
      <c r="C365" s="84">
        <v>2140</v>
      </c>
      <c r="D365" s="84">
        <v>2100</v>
      </c>
      <c r="E365" s="84">
        <v>2060</v>
      </c>
      <c r="F365" s="84">
        <v>540</v>
      </c>
      <c r="G365" s="96">
        <v>1270</v>
      </c>
    </row>
    <row r="366" spans="1:7" s="74" customFormat="1">
      <c r="A366" s="84" t="s">
        <v>330</v>
      </c>
      <c r="B366" s="84" t="s">
        <v>2745</v>
      </c>
      <c r="C366" s="84">
        <v>2410</v>
      </c>
      <c r="D366" s="84">
        <v>2370</v>
      </c>
      <c r="E366" s="84">
        <v>2330</v>
      </c>
      <c r="F366" s="84">
        <v>570</v>
      </c>
      <c r="G366" s="96">
        <v>1440</v>
      </c>
    </row>
    <row r="367" spans="1:7" s="74" customFormat="1">
      <c r="A367" s="84" t="s">
        <v>330</v>
      </c>
      <c r="B367" s="84" t="s">
        <v>2746</v>
      </c>
      <c r="C367" s="84">
        <v>2300</v>
      </c>
      <c r="D367" s="84">
        <v>2260</v>
      </c>
      <c r="E367" s="84">
        <v>2220</v>
      </c>
      <c r="F367" s="84">
        <v>560</v>
      </c>
      <c r="G367" s="96">
        <v>1370</v>
      </c>
    </row>
    <row r="368" spans="1:7" s="74" customFormat="1">
      <c r="A368" s="84" t="s">
        <v>330</v>
      </c>
      <c r="B368" s="84" t="s">
        <v>2747</v>
      </c>
      <c r="C368" s="84">
        <v>2430</v>
      </c>
      <c r="D368" s="84">
        <v>2390</v>
      </c>
      <c r="E368" s="84">
        <v>2350</v>
      </c>
      <c r="F368" s="84">
        <v>570</v>
      </c>
      <c r="G368" s="96">
        <v>1450</v>
      </c>
    </row>
    <row r="369" spans="1:7" s="74" customFormat="1">
      <c r="A369" s="84" t="s">
        <v>330</v>
      </c>
      <c r="B369" s="84" t="s">
        <v>2748</v>
      </c>
      <c r="C369" s="84">
        <v>2320</v>
      </c>
      <c r="D369" s="84">
        <v>2290</v>
      </c>
      <c r="E369" s="84">
        <v>2250</v>
      </c>
      <c r="F369" s="84">
        <v>550</v>
      </c>
      <c r="G369" s="96">
        <v>1380</v>
      </c>
    </row>
    <row r="370" spans="1:7" s="74" customFormat="1">
      <c r="A370" s="84" t="s">
        <v>330</v>
      </c>
      <c r="B370" s="84" t="s">
        <v>2749</v>
      </c>
      <c r="C370" s="84">
        <v>2190</v>
      </c>
      <c r="D370" s="84">
        <v>2170</v>
      </c>
      <c r="E370" s="84">
        <v>2130</v>
      </c>
      <c r="F370" s="84">
        <v>530</v>
      </c>
      <c r="G370" s="96">
        <v>1310</v>
      </c>
    </row>
    <row r="371" spans="1:7" s="74" customFormat="1">
      <c r="A371" s="84" t="s">
        <v>330</v>
      </c>
      <c r="B371" s="84" t="s">
        <v>2750</v>
      </c>
      <c r="C371" s="84">
        <v>2460</v>
      </c>
      <c r="D371" s="84">
        <v>2420</v>
      </c>
      <c r="E371" s="84">
        <v>2370</v>
      </c>
      <c r="F371" s="84">
        <v>560</v>
      </c>
      <c r="G371" s="96">
        <v>1470</v>
      </c>
    </row>
    <row r="372" spans="1:7" s="74" customFormat="1">
      <c r="A372" s="84" t="s">
        <v>330</v>
      </c>
      <c r="B372" s="84" t="s">
        <v>2751</v>
      </c>
      <c r="C372" s="84">
        <v>2250</v>
      </c>
      <c r="D372" s="84">
        <v>2210</v>
      </c>
      <c r="E372" s="84">
        <v>2180</v>
      </c>
      <c r="F372" s="84">
        <v>550</v>
      </c>
      <c r="G372" s="96">
        <v>1340</v>
      </c>
    </row>
    <row r="373" spans="1:7" s="74" customFormat="1">
      <c r="A373" s="84" t="s">
        <v>330</v>
      </c>
      <c r="B373" s="84" t="s">
        <v>2752</v>
      </c>
      <c r="C373" s="84">
        <v>2210</v>
      </c>
      <c r="D373" s="84">
        <v>2190</v>
      </c>
      <c r="E373" s="84">
        <v>2150</v>
      </c>
      <c r="F373" s="84">
        <v>530</v>
      </c>
      <c r="G373" s="96">
        <v>1320</v>
      </c>
    </row>
    <row r="374" spans="1:7" s="74" customFormat="1">
      <c r="A374" s="84" t="s">
        <v>330</v>
      </c>
      <c r="B374" s="84" t="s">
        <v>2753</v>
      </c>
      <c r="C374" s="84">
        <v>2320</v>
      </c>
      <c r="D374" s="84">
        <v>2280</v>
      </c>
      <c r="E374" s="84">
        <v>2230</v>
      </c>
      <c r="F374" s="84">
        <v>580</v>
      </c>
      <c r="G374" s="96">
        <v>1380</v>
      </c>
    </row>
    <row r="375" spans="1:7" s="74" customFormat="1">
      <c r="A375" s="84" t="s">
        <v>330</v>
      </c>
      <c r="B375" s="84" t="s">
        <v>2754</v>
      </c>
      <c r="C375" s="84">
        <v>2090</v>
      </c>
      <c r="D375" s="84">
        <v>2050</v>
      </c>
      <c r="E375" s="84">
        <v>2020</v>
      </c>
      <c r="F375" s="84">
        <v>520</v>
      </c>
      <c r="G375" s="96">
        <v>1240</v>
      </c>
    </row>
    <row r="376" spans="1:7" s="74" customFormat="1">
      <c r="A376" s="84" t="s">
        <v>330</v>
      </c>
      <c r="B376" s="84" t="s">
        <v>2755</v>
      </c>
      <c r="C376" s="84">
        <v>2010</v>
      </c>
      <c r="D376" s="84">
        <v>1980</v>
      </c>
      <c r="E376" s="84">
        <v>1940</v>
      </c>
      <c r="F376" s="84">
        <v>540</v>
      </c>
      <c r="G376" s="96">
        <v>1190</v>
      </c>
    </row>
    <row r="377" spans="1:7" s="74" customFormat="1">
      <c r="A377" s="91" t="s">
        <v>330</v>
      </c>
      <c r="B377" s="94" t="s">
        <v>2756</v>
      </c>
      <c r="C377" s="94">
        <v>1930</v>
      </c>
      <c r="D377" s="94">
        <v>1890</v>
      </c>
      <c r="E377" s="94">
        <v>1860</v>
      </c>
      <c r="F377" s="94">
        <v>530</v>
      </c>
      <c r="G377" s="99">
        <v>1150</v>
      </c>
    </row>
    <row r="378" spans="1:7" s="74" customFormat="1">
      <c r="A378" s="100" t="s">
        <v>336</v>
      </c>
      <c r="B378" s="80" t="s">
        <v>2757</v>
      </c>
      <c r="C378" s="80">
        <v>1520</v>
      </c>
      <c r="D378" s="80">
        <v>1490</v>
      </c>
      <c r="E378" s="80">
        <v>1460</v>
      </c>
      <c r="F378" s="80">
        <v>460</v>
      </c>
      <c r="G378" s="95">
        <v>940</v>
      </c>
    </row>
    <row r="379" spans="1:7" s="74" customFormat="1">
      <c r="A379" s="101" t="s">
        <v>336</v>
      </c>
      <c r="B379" s="84" t="s">
        <v>2758</v>
      </c>
      <c r="C379" s="84">
        <v>1500</v>
      </c>
      <c r="D379" s="84">
        <v>1470</v>
      </c>
      <c r="E379" s="84">
        <v>1430</v>
      </c>
      <c r="F379" s="84">
        <v>460</v>
      </c>
      <c r="G379" s="96">
        <v>920</v>
      </c>
    </row>
    <row r="380" spans="1:7" s="74" customFormat="1">
      <c r="A380" s="101" t="s">
        <v>336</v>
      </c>
      <c r="B380" s="84" t="s">
        <v>2759</v>
      </c>
      <c r="C380" s="84">
        <v>1620</v>
      </c>
      <c r="D380" s="84">
        <v>1590</v>
      </c>
      <c r="E380" s="84">
        <v>1560</v>
      </c>
      <c r="F380" s="84">
        <v>480</v>
      </c>
      <c r="G380" s="96">
        <v>1000</v>
      </c>
    </row>
    <row r="381" spans="1:7" s="74" customFormat="1">
      <c r="A381" s="101" t="s">
        <v>336</v>
      </c>
      <c r="B381" s="84" t="s">
        <v>2760</v>
      </c>
      <c r="C381" s="84">
        <v>1460</v>
      </c>
      <c r="D381" s="84">
        <v>1430</v>
      </c>
      <c r="E381" s="84">
        <v>1390</v>
      </c>
      <c r="F381" s="84">
        <v>450</v>
      </c>
      <c r="G381" s="96">
        <v>900</v>
      </c>
    </row>
    <row r="382" spans="1:7" s="74" customFormat="1">
      <c r="A382" s="101" t="s">
        <v>336</v>
      </c>
      <c r="B382" s="84" t="s">
        <v>2761</v>
      </c>
      <c r="C382" s="84">
        <v>1310</v>
      </c>
      <c r="D382" s="84">
        <v>1280</v>
      </c>
      <c r="E382" s="84">
        <v>1250</v>
      </c>
      <c r="F382" s="84">
        <v>440</v>
      </c>
      <c r="G382" s="96">
        <v>800</v>
      </c>
    </row>
    <row r="383" spans="1:7" s="74" customFormat="1">
      <c r="A383" s="101" t="s">
        <v>336</v>
      </c>
      <c r="B383" s="84" t="s">
        <v>2762</v>
      </c>
      <c r="C383" s="84">
        <v>1260</v>
      </c>
      <c r="D383" s="84">
        <v>1230</v>
      </c>
      <c r="E383" s="84">
        <v>1200</v>
      </c>
      <c r="F383" s="84">
        <v>420</v>
      </c>
      <c r="G383" s="96">
        <v>770</v>
      </c>
    </row>
    <row r="384" spans="1:7" s="74" customFormat="1">
      <c r="A384" s="102" t="s">
        <v>336</v>
      </c>
      <c r="B384" s="90" t="s">
        <v>2763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45980</v>
      </c>
      <c r="D1" s="7" t="s">
        <v>2897</v>
      </c>
      <c r="E1" s="9">
        <f>'数据-取费表'!B22</f>
        <v>2</v>
      </c>
      <c r="F1" s="7" t="s">
        <v>2898</v>
      </c>
      <c r="G1" s="10">
        <f ca="1">IF(OR(C1&lt;C27,E1&lt;=1),INDIRECT("d"&amp;$K$1)/100,ROUND((D5+(E1-C5)*(D7-D5)/(C7-C5))/100,4))</f>
        <v>3.1300000000000001E-2</v>
      </c>
      <c r="H1" s="7" t="s">
        <v>2899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2898</v>
      </c>
      <c r="E2" s="14"/>
      <c r="F2" s="14" t="s">
        <v>2900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2906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2907</v>
      </c>
      <c r="C10" s="40"/>
      <c r="D10" s="40"/>
      <c r="E10" s="40"/>
      <c r="F10" s="40"/>
      <c r="G10" s="40"/>
      <c r="H10" s="40"/>
      <c r="I10" s="3"/>
      <c r="J10" s="3"/>
      <c r="K10" s="40"/>
      <c r="L10" s="41" t="s">
        <v>2908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2909</v>
      </c>
      <c r="C11" s="45" t="s">
        <v>2910</v>
      </c>
      <c r="D11" s="46" t="s">
        <v>2911</v>
      </c>
      <c r="E11" s="47"/>
      <c r="F11" s="46" t="s">
        <v>2912</v>
      </c>
      <c r="G11" s="48"/>
      <c r="H11" s="47"/>
      <c r="I11" s="46" t="s">
        <v>2913</v>
      </c>
      <c r="J11" s="47"/>
      <c r="K11" s="43"/>
      <c r="L11" s="44" t="s">
        <v>2909</v>
      </c>
      <c r="M11" s="45" t="s">
        <v>2910</v>
      </c>
      <c r="N11" s="44" t="s">
        <v>2914</v>
      </c>
      <c r="O11" s="46" t="s">
        <v>2915</v>
      </c>
      <c r="P11" s="48"/>
      <c r="Q11" s="48"/>
      <c r="R11" s="48"/>
      <c r="S11" s="48"/>
      <c r="T11" s="47"/>
      <c r="U11" s="46" t="s">
        <v>2916</v>
      </c>
      <c r="V11" s="48"/>
      <c r="W11" s="47"/>
      <c r="X11" s="44" t="s">
        <v>2917</v>
      </c>
      <c r="Y11" s="44" t="s">
        <v>2918</v>
      </c>
      <c r="Z11" s="44" t="s">
        <v>2919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2920</v>
      </c>
      <c r="E12" s="52" t="s">
        <v>2902</v>
      </c>
      <c r="F12" s="52" t="s">
        <v>2903</v>
      </c>
      <c r="G12" s="52" t="s">
        <v>2904</v>
      </c>
      <c r="H12" s="52" t="s">
        <v>2905</v>
      </c>
      <c r="I12" s="53" t="s">
        <v>2921</v>
      </c>
      <c r="J12" s="53" t="s">
        <v>2921</v>
      </c>
      <c r="K12" s="43"/>
      <c r="L12" s="50"/>
      <c r="M12" s="51"/>
      <c r="N12" s="50"/>
      <c r="O12" s="53" t="s">
        <v>2922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2923</v>
      </c>
      <c r="C13" s="56">
        <v>45797</v>
      </c>
      <c r="D13" s="57">
        <v>3</v>
      </c>
      <c r="E13" s="57">
        <v>3</v>
      </c>
      <c r="F13" s="57">
        <f t="shared" ref="F13:F18" si="0">D13</f>
        <v>3</v>
      </c>
      <c r="G13" s="57">
        <f t="shared" ref="G13:G18" si="1">D13</f>
        <v>3</v>
      </c>
      <c r="H13" s="57">
        <v>3.5</v>
      </c>
      <c r="I13" s="57"/>
      <c r="J13" s="57"/>
      <c r="K13" s="54"/>
      <c r="L13" s="55" t="s">
        <v>2923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2924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2925</v>
      </c>
      <c r="Y42" s="62" t="s">
        <v>2925</v>
      </c>
      <c r="Z42" s="62" t="s">
        <v>2925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2925</v>
      </c>
      <c r="Y43" s="62" t="s">
        <v>2925</v>
      </c>
      <c r="Z43" s="62" t="s">
        <v>2925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2925</v>
      </c>
      <c r="Y44" s="62" t="s">
        <v>2925</v>
      </c>
      <c r="Z44" s="62" t="s">
        <v>2925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2925</v>
      </c>
      <c r="Y45" s="62" t="s">
        <v>2925</v>
      </c>
      <c r="Z45" s="62" t="s">
        <v>2925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2925</v>
      </c>
      <c r="Y46" s="62" t="s">
        <v>2925</v>
      </c>
      <c r="Z46" s="62" t="s">
        <v>2925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2925</v>
      </c>
      <c r="Y47" s="62" t="s">
        <v>2925</v>
      </c>
      <c r="Z47" s="62" t="s">
        <v>2925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2925</v>
      </c>
      <c r="Y48" s="62" t="s">
        <v>2925</v>
      </c>
      <c r="Z48" s="62" t="s">
        <v>2925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2925</v>
      </c>
      <c r="Y49" s="62" t="s">
        <v>2925</v>
      </c>
      <c r="Z49" s="62" t="s">
        <v>2925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2925</v>
      </c>
      <c r="Y50" s="62" t="s">
        <v>2925</v>
      </c>
      <c r="Z50" s="62" t="s">
        <v>2925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2925</v>
      </c>
      <c r="V51" s="62" t="s">
        <v>2925</v>
      </c>
      <c r="W51" s="62" t="s">
        <v>2925</v>
      </c>
      <c r="X51" s="62" t="s">
        <v>2925</v>
      </c>
      <c r="Y51" s="62" t="s">
        <v>2925</v>
      </c>
      <c r="Z51" s="62" t="s">
        <v>2925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2925</v>
      </c>
      <c r="J70" s="62" t="s">
        <v>2925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3126" t="s">
        <v>110</v>
      </c>
      <c r="E3" s="3126" t="s">
        <v>111</v>
      </c>
      <c r="F3" s="3126" t="s">
        <v>110</v>
      </c>
      <c r="G3" s="3126" t="s">
        <v>111</v>
      </c>
      <c r="H3" s="3126" t="s">
        <v>110</v>
      </c>
      <c r="I3" s="3126" t="s">
        <v>111</v>
      </c>
    </row>
    <row r="4" spans="1:9" ht="15">
      <c r="A4" s="3127" t="str">
        <f>项目基本情况!S2</f>
        <v>北京市房地产</v>
      </c>
      <c r="B4" s="3126">
        <f>项目基本情况!C17</f>
        <v>50585.8</v>
      </c>
      <c r="C4" s="3126">
        <f>项目基本情况!C18</f>
        <v>11435.33</v>
      </c>
      <c r="D4" s="3126">
        <f ca="1">结果表!D118</f>
        <v>40761</v>
      </c>
      <c r="E4" s="3126">
        <f ca="1">结果表!E118</f>
        <v>8058</v>
      </c>
      <c r="F4" s="3126">
        <f ca="1">结果表!F118</f>
        <v>0</v>
      </c>
      <c r="G4" s="3126">
        <f ca="1">结果表!G118</f>
        <v>0</v>
      </c>
      <c r="H4" s="3126">
        <f ca="1">结果表!H118</f>
        <v>40761</v>
      </c>
      <c r="I4" s="3126">
        <f ca="1">结果表!I118</f>
        <v>8058</v>
      </c>
    </row>
    <row r="5" spans="1:9" ht="30" customHeight="1">
      <c r="A5" s="3191" t="s">
        <v>112</v>
      </c>
      <c r="B5" s="3191"/>
      <c r="C5" s="3191"/>
      <c r="D5" s="3191" t="str">
        <f ca="1">结果表!D119</f>
        <v>肆亿零柒佰陆拾壹万元整</v>
      </c>
      <c r="E5" s="3191"/>
      <c r="F5" s="3191" t="str">
        <f ca="1">结果表!F119</f>
        <v>零元整</v>
      </c>
      <c r="G5" s="3191"/>
      <c r="H5" s="3191" t="str">
        <f ca="1">结果表!H119</f>
        <v>肆亿零柒佰陆拾壹万元整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75">
      <c r="A8" s="3192" t="str">
        <f>结果表!A122</f>
        <v>房地产抵押价值</v>
      </c>
      <c r="B8" s="3192"/>
      <c r="C8" s="3192"/>
      <c r="D8" s="3192">
        <f ca="1">结果表!D122</f>
        <v>40761</v>
      </c>
      <c r="E8" s="3192"/>
      <c r="F8" s="3192"/>
      <c r="G8" s="3192"/>
      <c r="H8" s="3192"/>
      <c r="I8" s="3192"/>
    </row>
    <row r="9" spans="1:9" ht="15">
      <c r="A9" s="3191" t="s">
        <v>112</v>
      </c>
      <c r="B9" s="3191"/>
      <c r="C9" s="3191"/>
      <c r="D9" s="3191" t="str">
        <f ca="1">结果表!D123</f>
        <v>肆亿零柒佰陆拾壹万元整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128"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8" t="s">
        <v>114</v>
      </c>
      <c r="B1" s="3198"/>
      <c r="C1" s="3198"/>
      <c r="D1" s="3198"/>
    </row>
    <row r="2" spans="1:4" ht="18">
      <c r="A2" s="3199" t="s">
        <v>115</v>
      </c>
      <c r="B2" s="3199"/>
      <c r="C2" s="3199"/>
      <c r="D2" s="3199"/>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199" t="s">
        <v>121</v>
      </c>
      <c r="B6" s="3199"/>
      <c r="C6" s="3199"/>
      <c r="D6" s="3199"/>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0" t="s">
        <v>126</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23"/>
      <c r="B23" s="1512"/>
      <c r="C23" s="1512"/>
      <c r="D23" s="1512"/>
    </row>
    <row r="24" spans="1:4">
      <c r="A24" s="3123"/>
      <c r="B24" s="1512"/>
      <c r="C24" s="1512"/>
      <c r="D24" s="1512"/>
    </row>
    <row r="25" spans="1:4" ht="18.75">
      <c r="A25" s="3124" t="s">
        <v>130</v>
      </c>
    </row>
    <row r="26" spans="1:4" ht="18">
      <c r="A26" s="3125"/>
    </row>
    <row r="27" spans="1:4" ht="18.75">
      <c r="A27" s="3125" t="s">
        <v>131</v>
      </c>
    </row>
    <row r="30" spans="1:4" ht="18.75">
      <c r="D30" s="3124"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 min="2" max="16384" width="14.5" style="280"/>
  </cols>
  <sheetData>
    <row r="1" spans="1:7" s="3094" customFormat="1" ht="18.75">
      <c r="A1" s="3096" t="s">
        <v>134</v>
      </c>
    </row>
    <row r="3" spans="1:7">
      <c r="A3" s="3097" t="s">
        <v>135</v>
      </c>
      <c r="B3" s="280" t="s">
        <v>136</v>
      </c>
      <c r="G3" s="3098"/>
    </row>
    <row r="4" spans="1:7">
      <c r="G4" s="3098"/>
    </row>
    <row r="5" spans="1:7">
      <c r="A5" s="3099" t="s">
        <v>137</v>
      </c>
      <c r="B5" s="280" t="s">
        <v>138</v>
      </c>
      <c r="G5" s="3098"/>
    </row>
    <row r="6" spans="1:7">
      <c r="G6" s="3098"/>
    </row>
    <row r="7" spans="1:7">
      <c r="A7" s="3100" t="s">
        <v>139</v>
      </c>
      <c r="B7" s="280" t="s">
        <v>140</v>
      </c>
      <c r="G7" s="3098"/>
    </row>
    <row r="8" spans="1:7">
      <c r="G8" s="3098"/>
    </row>
    <row r="9" spans="1:7">
      <c r="A9" s="3101" t="s">
        <v>141</v>
      </c>
      <c r="B9" s="280"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46002</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4"/>
      <c r="E18" s="3217" t="s">
        <v>199</v>
      </c>
      <c r="F18" s="3216"/>
      <c r="G18" s="3216"/>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2025-12-11T09:55:29Z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